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vot Table" sheetId="1" r:id="rId4"/>
    <sheet state="visible" name="DataFlipped" sheetId="2" r:id="rId5"/>
    <sheet state="visible" name="Raw Data" sheetId="3" r:id="rId6"/>
  </sheets>
  <definedNames>
    <definedName name="NamedRange1">#REF!</definedName>
    <definedName hidden="1" localSheetId="1" name="Z_73D0AD76_D747_4A6F_BB20_C2E8D0EE0107_.wvu.FilterData">DataFlipped!$A$1:$D$2750</definedName>
    <definedName name="SlicerCache_Table_1_Col_3">#N/A</definedName>
  </definedNames>
  <calcPr/>
  <customWorkbookViews>
    <customWorkbookView activeSheetId="0" maximized="1" windowHeight="0" windowWidth="0" guid="{73D0AD76-D747-4A6F-BB20-C2E8D0EE0107}" name="Filter 1"/>
  </customWorkbookViews>
  <pivotCaches>
    <pivotCache cacheId="0" r:id="rId7"/>
  </pivotCaches>
  <extLst>
    <ext uri="{46BE6895-7355-4a93-B00E-2C351335B9C9}">
      <x15:slicerCaches>
        <x14:slicerCache r:id="rId8"/>
      </x15:slicerCaches>
    </ext>
  </extLst>
</workbook>
</file>

<file path=xl/sharedStrings.xml><?xml version="1.0" encoding="utf-8"?>
<sst xmlns="http://schemas.openxmlformats.org/spreadsheetml/2006/main" count="2902" uniqueCount="114">
  <si>
    <t>Sandwichs by Week</t>
  </si>
  <si>
    <t>Sandwich Count</t>
  </si>
  <si>
    <t>WeekofYear</t>
  </si>
  <si>
    <t>Date</t>
  </si>
  <si>
    <t>2023</t>
  </si>
  <si>
    <t>2024</t>
  </si>
  <si>
    <t>2025</t>
  </si>
  <si>
    <t>Grand Total</t>
  </si>
  <si>
    <t>1 Total</t>
  </si>
  <si>
    <t>2 Total</t>
  </si>
  <si>
    <t>You can select different locations.  Right now it is showing only the active ones, not the previous ones.</t>
  </si>
  <si>
    <t>3 Total</t>
  </si>
  <si>
    <t>4 Total</t>
  </si>
  <si>
    <t>5 Total</t>
  </si>
  <si>
    <t>6 Total</t>
  </si>
  <si>
    <t>Year</t>
  </si>
  <si>
    <t>7 Total</t>
  </si>
  <si>
    <t xml:space="preserve">Weekly Average </t>
  </si>
  <si>
    <t>8 Total</t>
  </si>
  <si>
    <t>9 Total</t>
  </si>
  <si>
    <t>10 Total</t>
  </si>
  <si>
    <t>11 Total</t>
  </si>
  <si>
    <t>Events</t>
  </si>
  <si>
    <t>12 Total</t>
  </si>
  <si>
    <t>Week of Event</t>
  </si>
  <si>
    <t>13 Total</t>
  </si>
  <si>
    <t>MLK</t>
  </si>
  <si>
    <t>14 Total</t>
  </si>
  <si>
    <t>SchoolEnd</t>
  </si>
  <si>
    <t>15 Total</t>
  </si>
  <si>
    <t>SchoolStart</t>
  </si>
  <si>
    <t>16 Total</t>
  </si>
  <si>
    <t>Thanksgiving</t>
  </si>
  <si>
    <t>17 Total</t>
  </si>
  <si>
    <t>Christmas</t>
  </si>
  <si>
    <t>18 Total</t>
  </si>
  <si>
    <t>19 Total</t>
  </si>
  <si>
    <t>20 Total</t>
  </si>
  <si>
    <t>Notes:</t>
  </si>
  <si>
    <t>21 Total</t>
  </si>
  <si>
    <t>The Red cells are below the weekly average for the year and Green are above.</t>
  </si>
  <si>
    <t>22 Total</t>
  </si>
  <si>
    <t xml:space="preserve">   The idea is to show if the previous years had "up" wweks or "Down" weeks</t>
  </si>
  <si>
    <t>23 Total</t>
  </si>
  <si>
    <t>If you click the plus sign by the week number it will show the dates for that week.</t>
  </si>
  <si>
    <t>24 Total</t>
  </si>
  <si>
    <t>25 Total</t>
  </si>
  <si>
    <t xml:space="preserve">The Black "Location" block lets you select the locations to include in the data. </t>
  </si>
  <si>
    <t>26 Total</t>
  </si>
  <si>
    <t>The Events table shows the week number for that event by year. This is just for reference when looking at the data.</t>
  </si>
  <si>
    <t>27 Total</t>
  </si>
  <si>
    <t xml:space="preserve">   Idea here is to add to this list if you have other events that effect the counts.</t>
  </si>
  <si>
    <t>28 Total</t>
  </si>
  <si>
    <t>29 Total</t>
  </si>
  <si>
    <t>30 Total</t>
  </si>
  <si>
    <t>31 Total</t>
  </si>
  <si>
    <t>32 Total</t>
  </si>
  <si>
    <t>33 Total</t>
  </si>
  <si>
    <t>34 Total</t>
  </si>
  <si>
    <t>35 Total</t>
  </si>
  <si>
    <t>36 Total</t>
  </si>
  <si>
    <t>37 Total</t>
  </si>
  <si>
    <t>38 Total</t>
  </si>
  <si>
    <t>39 Total</t>
  </si>
  <si>
    <t>40 Total</t>
  </si>
  <si>
    <t>41 Total</t>
  </si>
  <si>
    <t>42 Total</t>
  </si>
  <si>
    <t>43 Total</t>
  </si>
  <si>
    <t>44 Total</t>
  </si>
  <si>
    <t>45 Total</t>
  </si>
  <si>
    <t>46 Total</t>
  </si>
  <si>
    <t>47 Total</t>
  </si>
  <si>
    <t>48 Total</t>
  </si>
  <si>
    <t>49 Total</t>
  </si>
  <si>
    <t>50 Total</t>
  </si>
  <si>
    <t>51 Total</t>
  </si>
  <si>
    <t>52 Total</t>
  </si>
  <si>
    <t>Dollar Value</t>
  </si>
  <si>
    <t>Location</t>
  </si>
  <si>
    <t>Sandwichs</t>
  </si>
  <si>
    <t>ALPHARETTA</t>
  </si>
  <si>
    <t>PREVIOUS BUCKHEAD</t>
  </si>
  <si>
    <t>PREVIOUS OAK GROVE</t>
  </si>
  <si>
    <t xml:space="preserve">DUNWOODY/PTC </t>
  </si>
  <si>
    <t>E COBB/ROSWELL</t>
  </si>
  <si>
    <t>DECATUR</t>
  </si>
  <si>
    <t xml:space="preserve">P'TREE CORNERS </t>
  </si>
  <si>
    <t>UGA/Athens</t>
  </si>
  <si>
    <t xml:space="preserve">SANDY SPRINGS </t>
  </si>
  <si>
    <t xml:space="preserve">INTOWN/DRUID HILLS </t>
  </si>
  <si>
    <t>SNELLVILLE</t>
  </si>
  <si>
    <t>GROUPS</t>
  </si>
  <si>
    <t>Previous Woodstock</t>
  </si>
  <si>
    <t>Previous Lenox/Brookhaven</t>
  </si>
  <si>
    <t>Previous New Chastain</t>
  </si>
  <si>
    <t>Previous Glenwood Park</t>
  </si>
  <si>
    <t>FLOWERY BRANCH</t>
  </si>
  <si>
    <t xml:space="preserve">GROUPS </t>
  </si>
  <si>
    <t>TOTAL</t>
  </si>
  <si>
    <t>Collective Learning</t>
  </si>
  <si>
    <t>NOTES</t>
  </si>
  <si>
    <t># of Sandwiches</t>
  </si>
  <si>
    <t>*</t>
  </si>
  <si>
    <t>Hurricane</t>
  </si>
  <si>
    <t>N/A</t>
  </si>
  <si>
    <t>No Collection</t>
  </si>
  <si>
    <t>57 from prior week</t>
  </si>
  <si>
    <t>No collection</t>
  </si>
  <si>
    <t>?</t>
  </si>
  <si>
    <t>Hosts Only</t>
  </si>
  <si>
    <t>Groups</t>
  </si>
  <si>
    <t>936?</t>
  </si>
  <si>
    <t>TBD</t>
  </si>
  <si>
    <t>Spring break for Dekalb/Gwinnett/Fulton County Schools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</si>
</sst>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h:mm:ss"/>
    <numFmt numFmtId="166" formatCode="&quot;$&quot;#,##0"/>
    <numFmt numFmtId="167" formatCode="m/d/yyyy"/>
  </numFmts>
  <fonts count="11">
    <font>
      <sz val="10.0"/>
      <color rgb="FF000000"/>
      <name val="Arial"/>
      <scheme val="minor"/>
    </font>
    <font>
      <b/>
      <color theme="1"/>
      <name val="Arial"/>
      <scheme val="minor"/>
    </font>
    <font>
      <color theme="1"/>
      <name val="Arial"/>
      <scheme val="minor"/>
    </font>
    <font>
      <b/>
      <color rgb="FFFFFFFF"/>
      <name val="Arial"/>
    </font>
    <font>
      <color rgb="FF000000"/>
      <name val="Arial"/>
    </font>
    <font>
      <b/>
      <sz val="12.0"/>
      <color rgb="FF000000"/>
      <name val="Arial"/>
    </font>
    <font>
      <b/>
      <sz val="12.0"/>
      <color theme="1"/>
      <name val="Arial"/>
    </font>
    <font>
      <b/>
      <sz val="12.0"/>
      <color rgb="FFFF0000"/>
      <name val="Arial"/>
    </font>
    <font>
      <sz val="12.0"/>
      <color theme="1"/>
      <name val="Arial"/>
    </font>
    <font>
      <color theme="1"/>
      <name val="Arial"/>
    </font>
    <font>
      <sz val="12.0"/>
      <color rgb="FF000000"/>
      <name val="Arial"/>
    </font>
  </fonts>
  <fills count="9">
    <fill>
      <patternFill patternType="none"/>
    </fill>
    <fill>
      <patternFill patternType="lightGray"/>
    </fill>
    <fill>
      <patternFill patternType="solid">
        <fgColor rgb="FF4285F4"/>
        <bgColor rgb="FF4285F4"/>
      </patternFill>
    </fill>
    <fill>
      <patternFill patternType="solid">
        <fgColor rgb="FFD9E7FD"/>
        <bgColor rgb="FFD9E7FD"/>
      </patternFill>
    </fill>
    <fill>
      <patternFill patternType="solid">
        <fgColor rgb="FFF3F3F3"/>
        <bgColor rgb="FFF3F3F3"/>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2">
    <border/>
    <border>
      <left style="thin">
        <color rgb="FF8CB5F9"/>
      </left>
      <top style="thin">
        <color rgb="FF8CB5F9"/>
      </top>
      <bottom style="thin">
        <color rgb="FF8CB5F9"/>
      </bottom>
    </border>
    <border>
      <top style="thin">
        <color rgb="FF8CB5F9"/>
      </top>
      <bottom style="thin">
        <color rgb="FF8CB5F9"/>
      </bottom>
    </border>
    <border>
      <right style="thin">
        <color rgb="FF8CB5F9"/>
      </right>
      <top style="thin">
        <color rgb="FF8CB5F9"/>
      </top>
      <bottom style="thin">
        <color rgb="FF8CB5F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165" xfId="0" applyFont="1" applyNumberFormat="1"/>
    <xf borderId="0" fillId="0" fontId="2" numFmtId="0" xfId="0" applyAlignment="1" applyFont="1">
      <alignment readingOrder="0"/>
    </xf>
    <xf borderId="1" fillId="2" fontId="3" numFmtId="0" xfId="0" applyAlignment="1" applyBorder="1" applyFill="1" applyFont="1">
      <alignment readingOrder="0" shrinkToFit="0" vertical="bottom" wrapText="0"/>
    </xf>
    <xf borderId="2" fillId="2" fontId="3" numFmtId="0" xfId="0" applyAlignment="1" applyBorder="1" applyFont="1">
      <alignment readingOrder="0" shrinkToFit="0" vertical="bottom" wrapText="0"/>
    </xf>
    <xf borderId="3" fillId="2" fontId="3" numFmtId="0" xfId="0" applyAlignment="1" applyBorder="1" applyFont="1">
      <alignment readingOrder="0" shrinkToFit="0" vertical="bottom" wrapText="0"/>
    </xf>
    <xf borderId="1" fillId="3" fontId="4" numFmtId="0" xfId="0" applyAlignment="1" applyBorder="1" applyFill="1" applyFont="1">
      <alignment readingOrder="0" shrinkToFit="0" vertical="bottom" wrapText="0"/>
    </xf>
    <xf borderId="2" fillId="3" fontId="4" numFmtId="1" xfId="0" applyAlignment="1" applyBorder="1" applyFont="1" applyNumberFormat="1">
      <alignment horizontal="right" readingOrder="0" shrinkToFit="0" vertical="bottom" wrapText="0"/>
    </xf>
    <xf borderId="3" fillId="3" fontId="4" numFmtId="1" xfId="0" applyAlignment="1" applyBorder="1" applyFont="1" applyNumberFormat="1">
      <alignment horizontal="right" readingOrder="0" shrinkToFit="0" vertical="bottom" wrapText="0"/>
    </xf>
    <xf borderId="0" fillId="0" fontId="1" numFmtId="0" xfId="0" applyAlignment="1" applyFont="1">
      <alignment readingOrder="0"/>
    </xf>
    <xf borderId="2" fillId="3" fontId="4" numFmtId="0" xfId="0" applyAlignment="1" applyBorder="1" applyFont="1">
      <alignment horizontal="right" readingOrder="0" shrinkToFit="0" vertical="bottom" wrapText="0"/>
    </xf>
    <xf borderId="3" fillId="3" fontId="4"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2" fillId="0" fontId="4" numFmtId="0" xfId="0" applyAlignment="1" applyBorder="1" applyFont="1">
      <alignment horizontal="right" readingOrder="0" shrinkToFit="0" vertical="bottom" wrapText="0"/>
    </xf>
    <xf borderId="3" fillId="0" fontId="4" numFmtId="0" xfId="0" applyAlignment="1" applyBorder="1" applyFont="1">
      <alignment horizontal="right" readingOrder="0" shrinkToFit="0" vertical="bottom" wrapText="0"/>
    </xf>
    <xf borderId="4" fillId="4" fontId="2" numFmtId="0" xfId="0" applyBorder="1" applyFill="1" applyFont="1"/>
    <xf borderId="5" fillId="4" fontId="2" numFmtId="0" xfId="0" applyBorder="1" applyFont="1"/>
    <xf borderId="6" fillId="4" fontId="2" numFmtId="0" xfId="0" applyBorder="1" applyFont="1"/>
    <xf borderId="7" fillId="4" fontId="1" numFmtId="0" xfId="0" applyAlignment="1" applyBorder="1" applyFont="1">
      <alignment readingOrder="0"/>
    </xf>
    <xf borderId="0" fillId="4" fontId="2" numFmtId="0" xfId="0" applyFont="1"/>
    <xf borderId="8" fillId="4" fontId="2" numFmtId="0" xfId="0" applyBorder="1" applyFont="1"/>
    <xf borderId="7" fillId="4" fontId="2" numFmtId="0" xfId="0" applyAlignment="1" applyBorder="1" applyFont="1">
      <alignment readingOrder="0"/>
    </xf>
    <xf borderId="9" fillId="4" fontId="2" numFmtId="0" xfId="0" applyAlignment="1" applyBorder="1" applyFont="1">
      <alignment readingOrder="0"/>
    </xf>
    <xf borderId="10" fillId="4" fontId="2" numFmtId="0" xfId="0" applyBorder="1" applyFont="1"/>
    <xf borderId="11" fillId="4" fontId="2" numFmtId="0" xfId="0" applyBorder="1" applyFont="1"/>
    <xf borderId="0" fillId="0" fontId="2" numFmtId="166" xfId="0" applyFont="1" applyNumberFormat="1"/>
    <xf borderId="0" fillId="0" fontId="2" numFmtId="164" xfId="0" applyFont="1" applyNumberFormat="1"/>
    <xf borderId="0" fillId="0" fontId="2" numFmtId="0" xfId="0" applyFont="1"/>
    <xf borderId="0" fillId="0" fontId="5" numFmtId="164" xfId="0" applyAlignment="1" applyFont="1" applyNumberFormat="1">
      <alignment shrinkToFit="0" vertical="top" wrapText="0"/>
    </xf>
    <xf borderId="0" fillId="0" fontId="5" numFmtId="0" xfId="0" applyAlignment="1" applyFont="1">
      <alignment shrinkToFit="0" vertical="top" wrapText="0"/>
    </xf>
    <xf borderId="0" fillId="0" fontId="6" numFmtId="0" xfId="0" applyAlignment="1" applyFont="1">
      <alignment readingOrder="0" shrinkToFit="0" vertical="top" wrapText="1"/>
    </xf>
    <xf borderId="0" fillId="5" fontId="6" numFmtId="0" xfId="0" applyAlignment="1" applyFill="1" applyFont="1">
      <alignment shrinkToFit="0" vertical="top" wrapText="1"/>
    </xf>
    <xf borderId="0" fillId="0" fontId="6" numFmtId="0" xfId="0" applyAlignment="1" applyFont="1">
      <alignment shrinkToFit="0" vertical="top" wrapText="1"/>
    </xf>
    <xf borderId="0" fillId="6" fontId="7" numFmtId="0" xfId="0" applyAlignment="1" applyFill="1" applyFont="1">
      <alignment shrinkToFit="0" vertical="top" wrapText="1"/>
    </xf>
    <xf borderId="0" fillId="0" fontId="6" numFmtId="0" xfId="0" applyAlignment="1" applyFont="1">
      <alignment vertical="top"/>
    </xf>
    <xf borderId="0" fillId="0" fontId="8" numFmtId="164" xfId="0" applyFont="1" applyNumberFormat="1"/>
    <xf borderId="0" fillId="0" fontId="8" numFmtId="0" xfId="0" applyFont="1"/>
    <xf borderId="0" fillId="0" fontId="8" numFmtId="0" xfId="0" applyAlignment="1" applyFont="1">
      <alignment shrinkToFit="0" wrapText="1"/>
    </xf>
    <xf borderId="0" fillId="7" fontId="8" numFmtId="0" xfId="0" applyAlignment="1" applyFill="1" applyFont="1">
      <alignment shrinkToFit="0" wrapText="1"/>
    </xf>
    <xf borderId="0" fillId="0" fontId="8" numFmtId="3" xfId="0" applyAlignment="1" applyFont="1" applyNumberFormat="1">
      <alignment shrinkToFit="0" wrapText="1"/>
    </xf>
    <xf borderId="0" fillId="7" fontId="8" numFmtId="0" xfId="0" applyFont="1"/>
    <xf borderId="0" fillId="0" fontId="8" numFmtId="3" xfId="0" applyFont="1" applyNumberFormat="1"/>
    <xf borderId="0" fillId="0" fontId="8" numFmtId="0" xfId="0" applyAlignment="1" applyFont="1">
      <alignment horizontal="right" shrinkToFit="0" wrapText="1"/>
    </xf>
    <xf borderId="0" fillId="6" fontId="8" numFmtId="0" xfId="0" applyAlignment="1" applyFont="1">
      <alignment shrinkToFit="0" wrapText="1"/>
    </xf>
    <xf borderId="0" fillId="6" fontId="8" numFmtId="0" xfId="0" applyFont="1"/>
    <xf borderId="0" fillId="0" fontId="6" numFmtId="0" xfId="0" applyFont="1"/>
    <xf borderId="0" fillId="5" fontId="6" numFmtId="0" xfId="0" applyAlignment="1" applyFont="1">
      <alignment shrinkToFit="0" wrapText="1"/>
    </xf>
    <xf borderId="0" fillId="5" fontId="6" numFmtId="0" xfId="0" applyFont="1"/>
    <xf borderId="0" fillId="0" fontId="8" numFmtId="0" xfId="0" applyAlignment="1" applyFont="1">
      <alignment shrinkToFit="0" vertical="top" wrapText="1"/>
    </xf>
    <xf borderId="0" fillId="7" fontId="8" numFmtId="0" xfId="0" applyAlignment="1" applyFont="1">
      <alignment shrinkToFit="0" vertical="top" wrapText="1"/>
    </xf>
    <xf borderId="0" fillId="0" fontId="8" numFmtId="3" xfId="0" applyAlignment="1" applyFont="1" applyNumberFormat="1">
      <alignment shrinkToFit="0" vertical="top" wrapText="1"/>
    </xf>
    <xf borderId="0" fillId="0" fontId="8" numFmtId="3" xfId="0" applyAlignment="1" applyFont="1" applyNumberFormat="1">
      <alignment shrinkToFit="0" vertical="bottom" wrapText="1"/>
    </xf>
    <xf borderId="0" fillId="0" fontId="8" numFmtId="0" xfId="0" applyAlignment="1" applyFont="1">
      <alignment shrinkToFit="0" vertical="bottom" wrapText="1"/>
    </xf>
    <xf borderId="0" fillId="0" fontId="8" numFmtId="0" xfId="0" applyAlignment="1" applyFont="1">
      <alignment horizontal="right" shrinkToFit="0" vertical="bottom" wrapText="1"/>
    </xf>
    <xf borderId="0" fillId="0" fontId="9" numFmtId="0" xfId="0" applyFont="1"/>
    <xf borderId="0" fillId="6" fontId="8" numFmtId="164" xfId="0" applyFont="1" applyNumberFormat="1"/>
    <xf borderId="0" fillId="7" fontId="10" numFmtId="0" xfId="0" applyAlignment="1" applyFont="1">
      <alignment horizontal="right"/>
    </xf>
    <xf borderId="0" fillId="0" fontId="8" numFmtId="164" xfId="0" applyAlignment="1" applyFont="1" applyNumberFormat="1">
      <alignment horizontal="right"/>
    </xf>
    <xf borderId="0" fillId="0" fontId="8" numFmtId="0" xfId="0" applyAlignment="1" applyFont="1">
      <alignment horizontal="right"/>
    </xf>
    <xf borderId="0" fillId="6" fontId="8" numFmtId="167" xfId="0" applyFont="1" applyNumberFormat="1"/>
    <xf borderId="0" fillId="6" fontId="8" numFmtId="0" xfId="0" applyAlignment="1" applyFont="1">
      <alignment horizontal="right"/>
    </xf>
    <xf borderId="0" fillId="6" fontId="8" numFmtId="3" xfId="0" applyAlignment="1" applyFont="1" applyNumberFormat="1">
      <alignment horizontal="right"/>
    </xf>
    <xf borderId="0" fillId="6" fontId="8" numFmtId="3" xfId="0" applyFont="1" applyNumberFormat="1"/>
    <xf borderId="0" fillId="0" fontId="8" numFmtId="167" xfId="0" applyFont="1" applyNumberFormat="1"/>
    <xf borderId="0" fillId="8" fontId="8" numFmtId="164" xfId="0" applyFill="1" applyFont="1" applyNumberFormat="1"/>
    <xf borderId="0" fillId="8" fontId="8" numFmtId="0" xfId="0" applyFont="1"/>
    <xf borderId="0" fillId="8" fontId="8" numFmtId="0" xfId="0" applyAlignment="1" applyFont="1">
      <alignment horizontal="right"/>
    </xf>
    <xf borderId="0" fillId="0" fontId="8" numFmtId="3" xfId="0" applyAlignment="1" applyFont="1" applyNumberFormat="1">
      <alignment horizontal="right"/>
    </xf>
    <xf borderId="0" fillId="0" fontId="8" numFmtId="167" xfId="0" applyAlignment="1" applyFont="1" applyNumberFormat="1">
      <alignment horizontal="right" readingOrder="0"/>
    </xf>
  </cellXfs>
  <cellStyles count="1">
    <cellStyle xfId="0" name="Normal" builtinId="0"/>
  </cellStyles>
  <dxfs count="5">
    <dxf>
      <font/>
      <fill>
        <patternFill patternType="solid">
          <fgColor rgb="FFB7E1CD"/>
          <bgColor rgb="FFB7E1CD"/>
        </patternFill>
      </fill>
      <border/>
    </dxf>
    <dxf>
      <font/>
      <fill>
        <patternFill patternType="solid">
          <fgColor rgb="FFE6B8AF"/>
          <bgColor rgb="FFE6B8AF"/>
        </patternFill>
      </fill>
      <border/>
    </dxf>
    <dxf>
      <font>
        <color rgb="FF000000"/>
      </font>
      <fill>
        <patternFill patternType="solid">
          <fgColor rgb="FFE6B8AF"/>
          <bgColor rgb="FFE6B8AF"/>
        </patternFill>
      </fill>
      <border/>
    </dxf>
    <dxf>
      <font>
        <color rgb="FFE6B8AF"/>
      </font>
      <fill>
        <patternFill patternType="solid">
          <fgColor rgb="FFE6B8AF"/>
          <bgColor rgb="FFE6B8A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952500</xdr:colOff>
      <xdr:row>0</xdr:row>
      <xdr:rowOff>66675</xdr:rowOff>
    </xdr:from>
    <xdr:ext cx="2857500" cy="2857500"/>
    <mc:AlternateContent>
      <mc:Choice Requires="sle15">
        <xdr:graphicFrame>
          <xdr:nvGraphicFramePr>
            <xdr:cNvPr id="1" name="Location_1"/>
            <xdr:cNvGraphicFramePr/>
          </xdr:nvGraphicFramePr>
          <xdr:xfrm>
            <a:off x="0" y="0"/>
            <a:ext cx="0" cy="0"/>
          </xdr:xfrm>
          <a:graphic>
            <a:graphicData uri="http://schemas.microsoft.com/office/drawing/2010/slicer">
              <x3Unk:slicer name="Locat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2750" sheet="DataFlipped"/>
  </cacheSource>
  <cacheFields>
    <cacheField name="Date" numFmtId="164">
      <sharedItems containsSemiMixedTypes="0" containsNonDate="0" containsDate="1" containsString="0" minDate="2023-01-04T00:00:00Z" maxDate="2025-06-12T00:00:00Z">
        <d v="2023-01-04T00:00:00Z"/>
        <d v="2023-01-11T00:00:00Z"/>
        <d v="2023-01-18T00:00:00Z"/>
        <d v="2023-01-25T00:00:00Z"/>
        <d v="2023-02-01T00:00:00Z"/>
        <d v="2023-02-08T00:00:00Z"/>
        <d v="2023-02-15T00:00:00Z"/>
        <d v="2023-02-22T00:00:00Z"/>
        <d v="2023-03-01T00:00:00Z"/>
        <d v="2023-03-08T00:00:00Z"/>
        <d v="2023-03-15T00:00:00Z"/>
        <d v="2023-03-22T00:00:00Z"/>
        <d v="2023-03-29T00:00:00Z"/>
        <d v="2023-04-05T00:00:00Z"/>
        <d v="2023-04-12T00:00:00Z"/>
        <d v="2023-04-19T00:00:00Z"/>
        <d v="2023-04-26T00:00:00Z"/>
        <d v="2023-05-03T00:00:00Z"/>
        <d v="2023-05-10T00:00:00Z"/>
        <d v="2023-05-17T00:00:00Z"/>
        <d v="2023-05-24T00:00:00Z"/>
        <d v="2023-05-31T00:00:00Z"/>
        <d v="2023-06-07T00:00:00Z"/>
        <d v="2023-06-14T00:00:00Z"/>
        <d v="2023-06-21T00:00:00Z"/>
        <d v="2023-06-28T00:00:00Z"/>
        <d v="2023-07-05T00:00:00Z"/>
        <d v="2023-07-11T00:00:00Z"/>
        <d v="2023-07-19T00:00:00Z"/>
        <d v="2023-07-26T00:00:00Z"/>
        <d v="2023-08-02T00:00:00Z"/>
        <d v="2023-08-09T00:00:00Z"/>
        <d v="2023-08-16T00:00:00Z"/>
        <d v="2023-08-24T00:00:00Z"/>
        <d v="2023-08-30T00:00:00Z"/>
        <d v="2023-09-06T00:00:00Z"/>
        <d v="2023-09-13T00:00:00Z"/>
        <d v="2023-09-20T00:00:00Z"/>
        <d v="2023-09-27T00:00:00Z"/>
        <d v="2023-10-05T00:00:00Z"/>
        <d v="2023-10-11T00:00:00Z"/>
        <d v="2023-10-18T00:00:00Z"/>
        <d v="2023-10-25T00:00:00Z"/>
        <d v="2023-11-01T00:00:00Z"/>
        <d v="2023-11-08T00:00:00Z"/>
        <d v="2023-11-15T00:00:00Z"/>
        <d v="2023-11-29T00:00:00Z"/>
        <d v="2023-12-06T00:00:00Z"/>
        <d v="2023-12-13T00:00:00Z"/>
        <d v="2023-12-20T00:00:00Z"/>
        <d v="2024-01-03T00:00:00Z"/>
        <d v="2024-01-10T00:00:00Z"/>
        <d v="2024-01-17T00:00:00Z"/>
        <d v="2024-01-24T00:00:00Z"/>
        <d v="2024-01-31T00:00:00Z"/>
        <d v="2024-02-07T00:00:00Z"/>
        <d v="2024-02-14T00:00:00Z"/>
        <d v="2024-02-21T00:00:00Z"/>
        <d v="2024-02-28T00:00:00Z"/>
        <d v="2024-03-06T00:00:00Z"/>
        <d v="2024-03-13T00:00:00Z"/>
        <d v="2024-03-20T00:00:00Z"/>
        <d v="2024-04-03T00:00:00Z"/>
        <d v="2024-04-10T00:00:00Z"/>
        <d v="2024-04-17T00:00:00Z"/>
        <d v="2024-05-01T00:00:00Z"/>
        <d v="2024-05-08T00:00:00Z"/>
        <d v="2024-05-15T00:00:00Z"/>
        <d v="2024-05-22T00:00:00Z"/>
        <d v="2024-05-28T00:00:00Z"/>
        <d v="2024-06-05T00:00:00Z"/>
        <d v="2024-06-12T00:00:00Z"/>
        <d v="2024-06-19T00:00:00Z"/>
        <d v="2024-06-26T00:00:00Z"/>
        <d v="2024-07-10T00:00:00Z"/>
        <d v="2024-07-17T00:00:00Z"/>
        <d v="2024-07-24T00:00:00Z"/>
        <d v="2024-07-31T00:00:00Z"/>
        <d v="2024-08-07T00:00:00Z"/>
        <d v="2024-08-14T00:00:00Z"/>
        <d v="2024-08-21T00:00:00Z"/>
        <d v="2024-08-28T00:00:00Z"/>
        <d v="2024-09-04T00:00:00Z"/>
        <d v="2024-09-11T00:00:00Z"/>
        <d v="2024-09-18T00:00:00Z"/>
        <d v="2024-09-25T00:00:00Z"/>
        <d v="2024-10-02T00:00:00Z"/>
        <d v="2024-10-09T00:00:00Z"/>
        <d v="2024-10-16T00:00:00Z"/>
        <d v="2024-10-23T00:00:00Z"/>
        <d v="2024-10-30T00:00:00Z"/>
        <d v="2024-11-06T00:00:00Z"/>
        <d v="2024-11-13T00:00:00Z"/>
        <d v="2024-11-20T00:00:00Z"/>
        <d v="2024-11-27T00:00:00Z"/>
        <d v="2024-12-04T00:00:00Z"/>
        <d v="2024-12-11T00:00:00Z"/>
        <d v="2024-12-18T00:00:00Z"/>
        <d v="2024-12-26T00:00:00Z"/>
        <d v="2025-01-01T00:00:00Z"/>
        <d v="2025-01-08T00:00:00Z"/>
        <d v="2025-01-15T00:00:00Z"/>
        <d v="2025-01-20T00:00:00Z"/>
        <d v="2025-01-22T00:00:00Z"/>
        <d v="2025-01-29T00:00:00Z"/>
        <d v="2025-02-05T00:00:00Z"/>
        <d v="2025-02-12T00:00:00Z"/>
        <d v="2025-02-19T00:00:00Z"/>
        <d v="2025-02-26T00:00:00Z"/>
        <d v="2025-03-05T00:00:00Z"/>
        <d v="2025-03-12T00:00:00Z"/>
        <d v="2025-03-19T00:00:00Z"/>
        <d v="2025-03-27T00:00:00Z"/>
        <d v="2025-04-02T00:00:00Z"/>
        <d v="2025-04-09T00:00:00Z"/>
        <d v="2025-04-16T00:00:00Z"/>
        <d v="2024-04-23T00:00:00Z"/>
        <d v="2025-04-30T00:00:00Z"/>
        <d v="2025-05-07T00:00:00Z"/>
        <d v="2025-05-14T00:00:00Z"/>
        <d v="2025-05-21T00:00:00Z"/>
        <d v="2025-05-29T00:00:00Z"/>
        <d v="2025-06-04T00:00:00Z"/>
        <d v="2025-06-11T00:00:00Z"/>
      </sharedItems>
      <fieldGroup base="0">
        <rangePr autoStart="0" autoEnd="0" groupBy="years" startDate="2023-01-04T00:00:00Z" endDate="2025-06-12T00:00:00Z"/>
        <groupItems>
          <s v="&lt;01/04/23"/>
          <s v="123"/>
          <s v="124"/>
          <s v="125"/>
          <s v="&gt;06/12/25"/>
        </groupItems>
      </fieldGroup>
    </cacheField>
    <cacheField name="WeekofYea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8.0"/>
        <n v="49.0"/>
        <n v="50.0"/>
        <n v="51.0"/>
        <n v="47.0"/>
        <n v="52.0"/>
      </sharedItems>
    </cacheField>
    <cacheField name="Location" numFmtId="0">
      <sharedItems>
        <s v="ALPHARETTA"/>
        <s v="PREVIOUS BUCKHEAD"/>
        <s v="PREVIOUS OAK GROVE"/>
        <s v="DUNWOODY/PTC "/>
        <s v="E COBB/ROSWELL"/>
        <s v="DECATUR"/>
        <s v="P'TREE CORNERS "/>
        <s v="UGA/Athens"/>
        <s v="SANDY SPRINGS "/>
        <s v="INTOWN/DRUID HILLS "/>
        <s v="SNELLVILLE"/>
        <s v="GROUPS"/>
        <s v="Previous Woodstock"/>
        <s v="Previous Lenox/Brookhaven"/>
        <s v="Previous New Chastain"/>
        <s v="Previous Glenwood Park"/>
        <s v="FLOWERY BRANCH"/>
        <s v="GROUPS "/>
        <s v="TOTAL"/>
        <s v="Collective Learning"/>
        <s v="NOTES"/>
        <s v="# of Sandwiches"/>
      </sharedItems>
    </cacheField>
    <cacheField name="Sandwichs">
      <sharedItems containsBlank="1" containsMixedTypes="1" containsNumber="1" containsInteger="1">
        <n v="818.0"/>
        <n v="0.0"/>
        <n v="1326.0"/>
        <n v="1204.0"/>
        <n v="161.0"/>
        <n v="263.0"/>
        <m/>
        <n v="250.0"/>
        <n v="206.0"/>
        <n v="106.0"/>
        <n v="412.0"/>
        <n v="5134.0"/>
        <n v="888.0"/>
        <n v="1422.0"/>
        <n v="650.0"/>
        <n v="622.0"/>
        <n v="444.0"/>
        <n v="514.0"/>
        <n v="152.0"/>
        <n v="151.0"/>
        <n v="291.0"/>
        <n v="6388.0"/>
        <n v="908.0"/>
        <n v="1243.0"/>
        <n v="1614.0"/>
        <n v="465.0"/>
        <n v="290.0"/>
        <n v="603.0"/>
        <n v="627.0"/>
        <n v="148.0"/>
        <n v="490.0"/>
        <n v="7153.0"/>
        <n v="1025.0"/>
        <n v="2023.0"/>
        <n v="1465.0"/>
        <n v="345.0"/>
        <n v="710.0"/>
        <n v="605.0"/>
        <n v="166.0"/>
        <n v="300.0"/>
        <n v="13902.0"/>
        <n v="1471.0"/>
        <n v="1461.0"/>
        <n v="2096.0"/>
        <n v="230.0"/>
        <n v="496.0"/>
        <n v="988.0"/>
        <n v="762.0"/>
        <n v="183.0"/>
        <n v="2998.0"/>
        <n v="219.0"/>
        <n v="6283.0"/>
        <n v="1889.0"/>
        <n v="1488.0"/>
        <n v="872.0"/>
        <n v="140.0"/>
        <n v="531.0"/>
        <n v="1176.0"/>
        <n v="187.0"/>
        <n v="17340.0"/>
        <n v="2637.0"/>
        <n v="2342.0"/>
        <n v="1292.0"/>
        <n v="269.0"/>
        <n v="479.0"/>
        <n v="855.0"/>
        <n v="191.0"/>
        <n v="4485.0"/>
        <n v="305.0"/>
        <n v="9385.0"/>
        <n v="2195.0"/>
        <n v="2462.0"/>
        <n v="1513.0"/>
        <n v="72.0"/>
        <n v="618.0"/>
        <n v="792.0"/>
        <n v="103.0"/>
        <n v="200.0"/>
        <n v="1230.0"/>
        <n v="6780.0"/>
        <n v="1251.0"/>
        <n v="2243.0"/>
        <n v="885.0"/>
        <n v="498.0"/>
        <n v="958.0"/>
        <n v="350.0"/>
        <n v="159.0"/>
        <n v="436.0"/>
        <n v="6593.0"/>
        <n v="1334.0"/>
        <n v="2572.0"/>
        <n v="1075.0"/>
        <n v="220.0"/>
        <n v="313.0"/>
        <n v="326.0"/>
        <n v="217.0"/>
        <n v="536.0"/>
        <n v="8681.0"/>
        <n v="3005.0"/>
        <n v="2775.0"/>
        <n v="882.0"/>
        <n v="433.0"/>
        <n v="747.0"/>
        <n v="279.0"/>
        <n v="189.0"/>
        <n v="371.0"/>
        <n v="9998.0"/>
        <n v="702.0"/>
        <n v="4041.0"/>
        <n v="1310.0"/>
        <n v="1319.0"/>
        <n v="1328.0"/>
        <n v="104.0"/>
        <n v="471.0"/>
        <n v="503.0"/>
        <n v="9057.0"/>
        <n v="930.0"/>
        <n v="3763.0"/>
        <n v="1057.0"/>
        <n v="60.0"/>
        <n v="655.0"/>
        <n v="493.0"/>
        <n v="594.0"/>
        <n v="267.0"/>
        <n v="1238.0"/>
        <n v="6850.0"/>
        <n v="1034.0"/>
        <n v="2344.0"/>
        <n v="1078.0"/>
        <n v="240.0"/>
        <n v="500.0"/>
        <n v="107.0"/>
        <n v="14032.0"/>
        <n v="1956.0"/>
        <n v="2946.0"/>
        <n v="1968.0"/>
        <n v="93.0"/>
        <n v="938.0"/>
        <n v="377.0"/>
        <n v="239.0"/>
        <n v="5019.0"/>
        <n v="11396.0"/>
        <n v="1077.0"/>
        <n v="4789.0"/>
        <n v="232.0"/>
        <n v="1263.0"/>
        <n v="190.0"/>
        <n v="374.0"/>
        <n v="1906.0"/>
        <n v="8035.0"/>
        <n v="1091.0"/>
        <n v="2875.0"/>
        <n v="1646.0"/>
        <n v="222.0"/>
        <n v="720.0"/>
        <n v="450.0"/>
        <n v="84.0"/>
        <n v="447.0"/>
        <n v="9122.0"/>
        <n v="1266.0"/>
        <n v="3853.0"/>
        <n v="1341.0"/>
        <n v="156.0"/>
        <n v="1165.0"/>
        <n v="218.0"/>
        <n v="94.0"/>
        <n v="221.0"/>
        <n v="808.0"/>
        <n v="5804.0"/>
        <n v="1472.0"/>
        <n v="1246.0"/>
        <n v="125.0"/>
        <n v="233.0"/>
        <n v="538.0"/>
        <n v="9209.0"/>
        <n v="2481.0"/>
        <n v="2035.0"/>
        <n v="1235.0"/>
        <n v="321.0"/>
        <n v="585.0"/>
        <n v="468.0"/>
        <n v="184.0"/>
        <n v="1900.0"/>
        <n v="5427.0"/>
        <n v="574.0"/>
        <n v="1360.0"/>
        <n v="1607.0"/>
        <n v="172.0"/>
        <n v="304.0"/>
        <n v="198.0"/>
        <n v="87.0"/>
        <n v="284.0"/>
        <n v="841.0"/>
        <n v="9172.0"/>
        <n v="1095.0"/>
        <n v="2544.0"/>
        <n v="2439.0"/>
        <n v="100.0"/>
        <n v="533.0"/>
        <n v="560.0"/>
        <n v="138.0"/>
        <n v="255.0"/>
        <n v="1508.0"/>
        <n v="10990.0"/>
        <n v="1399.0"/>
        <n v="3516.0"/>
        <n v="2231.0"/>
        <n v="102.0"/>
        <n v="811.0"/>
        <n v="570.0"/>
        <n v="39.0"/>
        <n v="391.0"/>
        <n v="1931.0"/>
        <n v="8197.0"/>
        <n v="1724.0"/>
        <n v="2274.0"/>
        <n v="1882.0"/>
        <n v="370.0"/>
        <n v="196.0"/>
        <n v="1347.0"/>
        <n v="9110.0"/>
        <n v="1672.0"/>
        <n v="1599.0"/>
        <n v="1880.0"/>
        <n v="126.0"/>
        <n v="460.0"/>
        <n v="179.0"/>
        <n v="96.0"/>
        <n v="3098.0"/>
        <n v="9509.0"/>
        <n v="2143.0"/>
        <n v="2350.0"/>
        <n v="1690.0"/>
        <n v="481.0"/>
        <n v="656.0"/>
        <n v="242.0"/>
        <n v="283.0"/>
        <n v="1664.0"/>
        <n v="8823.0"/>
        <n v="1035.0"/>
        <n v="2606.0"/>
        <n v="1448.0"/>
        <n v="532.0"/>
        <n v="629.0"/>
        <n v="366.0"/>
        <n v="2113.0"/>
        <n v="8894.0"/>
        <n v="2097.0"/>
        <n v="1904.0"/>
        <n v="1864.0"/>
        <n v="85.0"/>
        <n v="690.0"/>
        <n v="923.0"/>
        <n v="127.0"/>
        <n v="349.0"/>
        <n v="6524.0"/>
        <n v="1528.0"/>
        <n v="2480.0"/>
        <n v="862.0"/>
        <n v="522.0"/>
        <n v="214.0"/>
        <n v="128.0"/>
        <n v="235.0"/>
        <n v="555.0"/>
        <n v="6531.0"/>
        <n v="1962.0"/>
        <n v="1777.0"/>
        <n v="1105.0"/>
        <n v="457.0"/>
        <n v="362.0"/>
        <n v="432.0"/>
        <n v="13520.0"/>
        <n v="2218.0"/>
        <n v="1570.0"/>
        <n v="66.0"/>
        <n v="298.0"/>
        <n v="245.0"/>
        <n v="162.0"/>
        <n v="7479.0"/>
        <n v="6562.0"/>
        <n v="1276.0"/>
        <n v="1650.0"/>
        <n v="970.0"/>
        <n v="97.0"/>
        <n v="579.0"/>
        <n v="237.0"/>
        <n v="346.0"/>
        <n v="6060.0"/>
        <n v="1090.0"/>
        <n v="1182.0"/>
        <n v="459.0"/>
        <n v="178.0"/>
        <n v="116.0"/>
        <n v="1485.0"/>
        <n v="7435.0"/>
        <n v="2262.0"/>
        <n v="1881.0"/>
        <n v="1060.0"/>
        <n v="92.0"/>
        <n v="400.0"/>
        <n v="80.0"/>
        <n v="249.0"/>
        <n v="1106.0"/>
        <n v="8499.0"/>
        <n v="615.0"/>
        <n v="2090.0"/>
        <n v="1605.0"/>
        <n v="82.0"/>
        <n v="746.0"/>
        <n v="228.0"/>
        <n v="2045.0"/>
        <n v="8448.0"/>
        <n v="1842.0"/>
        <n v="2138.0"/>
        <n v="495.0"/>
        <n v="437.0"/>
        <n v="109.0"/>
        <n v="635.0"/>
        <n v="1178.0"/>
        <n v="9471.0"/>
        <n v="1922.0"/>
        <n v="1520.0"/>
        <n v="869.0"/>
        <n v="142.0"/>
        <n v="827.0"/>
        <n v="113.0"/>
        <n v="438.0"/>
        <n v="8220.0"/>
        <n v="1022.0"/>
        <n v="2880.0"/>
        <n v="1147.0"/>
        <n v="589.0"/>
        <n v="395.0"/>
        <n v="171.0"/>
        <n v="409.0"/>
        <n v="1482.0"/>
        <n v="6576.0"/>
        <n v="2187.0"/>
        <n v="1127.0"/>
        <n v="580.0"/>
        <n v="194.0"/>
        <n v="10635.0"/>
        <n v="2107.0"/>
        <n v="1800.0"/>
        <n v="722.0"/>
        <n v="130.0"/>
        <n v="1159.0"/>
        <n v="751.0"/>
        <n v="205.0"/>
        <n v="3635.0"/>
        <n v="10308.0"/>
        <n v="1339.0"/>
        <n v="1349.0"/>
        <n v="1379.0"/>
        <n v="121.0"/>
        <n v="669.0"/>
        <n v="1198.0"/>
        <n v="105.0"/>
        <n v="1163.0"/>
        <n v="2985.0"/>
        <n v="6368.0"/>
        <n v="781.0"/>
        <n v="2451.0"/>
        <n v="937.0"/>
        <n v="135.0"/>
        <n v="296.0"/>
        <n v="365.0"/>
        <n v="129.0"/>
        <n v="1055.0"/>
        <n v="9364.0"/>
        <n v="2028.0"/>
        <n v="1805.0"/>
        <n v="1552.0"/>
        <n v="928.0"/>
        <n v="935.0"/>
        <n v="88.0"/>
        <n v="1761.0"/>
        <n v="19414.0"/>
        <n v="1722.0"/>
        <n v="2611.0"/>
        <n v="1501.0"/>
        <n v="91.0"/>
        <n v="996.0"/>
        <n v="626.0"/>
        <n v="90.0"/>
        <n v="499.0"/>
        <n v="11278.0"/>
        <n v="10987.0"/>
        <n v="4232.0"/>
        <n v="2404.0"/>
        <n v="1537.0"/>
        <n v="718.0"/>
        <n v="1203.0"/>
        <n v="388.0"/>
        <n v="332.0"/>
        <n v="12751.0"/>
        <n v="961.0"/>
        <n v="1714.0"/>
        <n v="2233.0"/>
        <n v="111.0"/>
        <n v="944.0"/>
        <n v="1387.0"/>
        <n v="292.0"/>
        <n v="4981.0"/>
        <n v="8749.0"/>
        <n v="1343.0"/>
        <n v="1381.0"/>
        <n v="1806.0"/>
        <n v="630.0"/>
        <n v="1161.0"/>
        <n v="1844.0"/>
        <n v="16444.0"/>
        <n v="2367.0"/>
        <n v="1792.0"/>
        <n v="1787.0"/>
        <n v="1052.0"/>
        <n v="8696.0"/>
        <n v="5042.0"/>
        <n v="609.0"/>
        <n v="1480.0"/>
        <n v="1631.0"/>
        <n v="625.0"/>
        <n v="262.0"/>
        <n v="7090.0"/>
        <n v="2000.0"/>
        <n v="2160.0"/>
        <n v="1162.0"/>
        <n v="771.0"/>
        <n v="225.0"/>
        <n v="185.0"/>
        <n v="485.0"/>
        <n v="19130.0"/>
        <n v="905.0"/>
        <n v="1297.0"/>
        <n v="320.0"/>
        <n v="1013.0"/>
        <n v="1208.0"/>
        <n v="480.0"/>
        <n v="12252.0"/>
        <n v="8454.0"/>
        <n v="1788.0"/>
        <n v="1885.0"/>
        <n v="1278.0"/>
        <n v="700.0"/>
        <n v="823.0"/>
        <n v="180.0"/>
        <n v="1718.0"/>
        <n v="9864.0"/>
        <n v="1859.0"/>
        <n v="1437.0"/>
        <n v="1296.0"/>
        <n v="723.0"/>
        <n v="3254.0"/>
        <n v="7000.0"/>
        <n v="1526.0"/>
        <n v="1048.0"/>
        <n v="110.0"/>
        <n v="1960.0"/>
        <n v="10476.0"/>
        <n v="3087.0"/>
        <n v="1594.0"/>
        <n v="821.0"/>
        <n v="508.0"/>
        <n v="108.0"/>
        <n v="287.0"/>
        <n v="3141.0"/>
        <n v="16353.0"/>
        <n v="2225.0"/>
        <n v="2628.0"/>
        <n v="1789.0"/>
        <n v="822.0"/>
        <n v="1351.0"/>
        <n v="396.0"/>
        <n v="7050.0"/>
        <n v="6300.0"/>
        <n v="1708.0"/>
        <n v="946.0"/>
        <n v="81.0"/>
        <n v="451.0"/>
        <n v="749.0"/>
        <n v="74.0"/>
        <n v="353.0"/>
        <n v="1000.0"/>
        <n v="9931.0"/>
        <n v="1324.0"/>
        <n v="1160.0"/>
        <n v="367.0"/>
        <n v="745.0"/>
        <n v="264.0"/>
        <n v="4544.0"/>
        <n v="8000.0"/>
        <n v="1254.0"/>
        <n v="1878.0"/>
        <n v="1849.0"/>
        <n v="788.0"/>
        <n v="277.0"/>
        <n v="114.0"/>
        <n v="1734.0"/>
        <n v="11315.0"/>
        <n v="795.0"/>
        <n v="1845.0"/>
        <n v="736.0"/>
        <n v="941.0"/>
        <n v="473.0"/>
        <n v="4771.0"/>
        <n v="5407.0"/>
        <n v="757.0"/>
        <n v="1629.0"/>
        <n v="482.0"/>
        <n v="10859.0"/>
        <n v="954.0"/>
        <n v="1588.0"/>
        <n v="1038.0"/>
        <n v="2640.0"/>
        <n v="4287.0"/>
        <n v="10276.0"/>
        <n v="1229.0"/>
        <n v="2750.0"/>
        <n v="968.0"/>
        <n v="2668.0"/>
        <n v="2052.0"/>
        <n v="10026.0"/>
        <n v="2174.0"/>
        <n v="112.0"/>
        <n v="1282.0"/>
        <n v="274.0"/>
        <n v="2382.0"/>
        <n v="7815.0"/>
        <n v="1405.0"/>
        <n v="1944.0"/>
        <n v="916.0"/>
        <n v="1168.0"/>
        <n v="507.0"/>
        <n v="244.0"/>
        <n v="1559.0"/>
        <n v="9254.0"/>
        <n v="1355.0"/>
        <n v="2477.0"/>
        <n v="1259.0"/>
        <n v="581.0"/>
        <n v="673.0"/>
        <n v="484.0"/>
        <n v="2333.0"/>
        <n v="5628.0"/>
        <n v="848.0"/>
        <n v="2341.0"/>
        <n v="582.0"/>
        <n v="644.0"/>
        <n v="278.0"/>
        <n v="402.0"/>
        <n v="5571.0"/>
        <n v="584.0"/>
        <n v="1740.0"/>
        <n v="852.0"/>
        <n v="828.0"/>
        <n v="511.0"/>
        <n v="806.0"/>
        <n v="6979.0"/>
        <n v="1569.0"/>
        <n v="1436.0"/>
        <n v="721.0"/>
        <n v="707.0"/>
        <n v="735.0"/>
        <n v="10580.0"/>
        <n v="2135.0"/>
        <n v="2400.0"/>
        <n v="2323.0"/>
        <n v="2084.0"/>
        <n v="8527.0"/>
        <n v="1218.0"/>
        <n v="1980.0"/>
        <n v="1695.0"/>
        <n v="1088.0"/>
        <n v="586.0"/>
        <n v="454.0"/>
        <n v="1432.0"/>
        <n v="8987.0"/>
        <n v="1272.0"/>
        <n v="1715.0"/>
        <n v="789.0"/>
        <n v="766.0"/>
        <n v="275.0"/>
        <n v="2972.0"/>
        <n v="9810.0"/>
        <n v="1134.0"/>
        <n v="1681.0"/>
        <n v="2170.0"/>
        <n v="583.0"/>
        <n v="784.0"/>
        <n v="426.0"/>
        <n v="3032.0"/>
        <n v="11526.0"/>
        <n v="3333.0"/>
        <n v="1820.0"/>
        <n v="101.0"/>
        <n v="632.0"/>
        <n v="1425.0"/>
        <n v="226.0"/>
        <n v="2476.0"/>
        <n v="9588.0"/>
        <n v="871.0"/>
        <n v="1989.0"/>
        <n v="54.0"/>
        <n v="889.0"/>
        <n v="932.0"/>
        <n v="2700.0"/>
        <n v="9917.0"/>
        <n v="2154.0"/>
        <n v="1460.0"/>
        <n v="1499.0"/>
        <n v="890.0"/>
        <n v="132.0"/>
        <n v="2013.0"/>
        <n v="10953.0"/>
        <n v="1704.0"/>
        <n v="1012.0"/>
        <n v="1455.0"/>
        <n v="1074.0"/>
        <n v="428.0"/>
        <n v="5000.0"/>
        <n v="6132.0"/>
        <n v="356.0"/>
        <n v="547.0"/>
        <n v="150.0"/>
        <n v="7711.0"/>
        <n v="1018.0"/>
        <n v="1698.0"/>
        <n v="1327.0"/>
        <n v="445.0"/>
        <n v="175.0"/>
        <n v="2326.0"/>
        <n v="6273.0"/>
        <n v="1766.0"/>
        <n v="1322.0"/>
        <n v="1290.0"/>
        <n v="545.0"/>
        <n v="846.0"/>
        <n v="6211.0"/>
        <n v="1210.0"/>
        <n v="1184.0"/>
        <n v="1148.0"/>
        <n v="434.0"/>
        <n v="567.0"/>
        <n v="1400.0"/>
        <n v="8608.0"/>
        <n v="875.0"/>
        <n v="1143.0"/>
        <n v="1133.0"/>
        <n v="1059.0"/>
        <n v="223.0"/>
        <n v="3400.0"/>
        <n v="8467.0"/>
        <n v="1640.0"/>
        <n v="724.0"/>
        <n v="1323.0"/>
        <n v="118.0"/>
        <n v="406.0"/>
        <n v="494.0"/>
        <n v="3015.0"/>
        <n v="12267.0"/>
        <n v="1946.0"/>
        <n v="1836.0"/>
        <n v="989.0"/>
        <n v="510.0"/>
        <n v="791.0"/>
        <n v="5650.0"/>
        <n v="14023.0"/>
        <s v="*"/>
        <s v="Hurricane"/>
        <n v="6809.0"/>
        <n v="1493.0"/>
        <n v="1284.0"/>
        <n v="919.0"/>
        <n v="344.0"/>
        <n v="260.0"/>
        <n v="9533.0"/>
        <n v="1032.0"/>
        <n v="1377.0"/>
        <n v="1332.0"/>
        <n v="119.0"/>
        <n v="431.0"/>
        <n v="3746.0"/>
        <n v="8760.0"/>
        <n v="1774.0"/>
        <n v="224.0"/>
        <n v="768.0"/>
        <n v="4279.0"/>
        <n v="7973.0"/>
        <n v="1427.0"/>
        <n v="1017.0"/>
        <n v="452.0"/>
        <n v="1380.0"/>
        <n v="1330.0"/>
        <n v="6454.0"/>
        <n v="1449.0"/>
        <n v="550.0"/>
        <n v="7036.0"/>
        <n v="1226.0"/>
        <n v="1396.0"/>
        <n v="1389.0"/>
        <n v="554.0"/>
        <n v="1780.0"/>
        <n v="16371.0"/>
        <n v="3625.0"/>
        <n v="2378.0"/>
        <n v="1643.0"/>
        <n v="64.0"/>
        <n v="1087.0"/>
        <n v="861.0"/>
        <n v="6409.0"/>
        <s v="N/A"/>
        <s v="No Collection"/>
        <n v="7987.0"/>
        <n v="1439.0"/>
        <n v="442.0"/>
        <n v="1280.0"/>
        <n v="1500.0"/>
        <s v="57 from prior week"/>
        <n v="14137.0"/>
        <n v="2176.0"/>
        <n v="2226.0"/>
        <n v="667.0"/>
        <n v="1190.0"/>
        <n v="6570.0"/>
        <n v="10829.0"/>
        <n v="1342.0"/>
        <n v="1706.0"/>
        <n v="922.0"/>
        <n v="5100.0"/>
        <n v="2504.0"/>
        <n v="504.0"/>
        <n v="748.0"/>
        <n v="563.0"/>
        <n v="7774.0"/>
        <n v="1571.0"/>
        <n v="2397.0"/>
        <n v="1115.0"/>
        <n v="301.0"/>
        <n v="1064.0"/>
        <n v="900.0"/>
        <n v="8691.0"/>
        <n v="1180.0"/>
        <n v="2384.0"/>
        <n v="1776.0"/>
        <n v="664.0"/>
        <n v="727.0"/>
        <n v="1730.0"/>
        <n v="4076.0"/>
        <n v="328.0"/>
        <n v="2120.0"/>
        <s v="?"/>
        <s v="Hosts Only"/>
        <s v="Groups"/>
        <n v="4507.0"/>
        <n v="864.0"/>
        <n v="986.0"/>
        <n v="1192.0"/>
        <n v="662.0"/>
        <n v="258.0"/>
        <n v="12130.0"/>
        <s v="936?"/>
        <s v="TBD"/>
        <n v="1890.0"/>
        <n v="706.0"/>
        <n v="1992.0"/>
        <n v="7140.0"/>
        <n v="8693.0"/>
        <n v="1252.0"/>
        <n v="2173.0"/>
        <n v="1265.0"/>
        <n v="549.0"/>
        <n v="854.0"/>
        <n v="2600.0"/>
        <n v="50.0"/>
        <n v="8500.0"/>
        <n v="1852.0"/>
        <n v="976.0"/>
        <n v="719.0"/>
        <n v="141.0"/>
        <n v="4474.0"/>
        <n v="9446.0"/>
        <n v="2667.0"/>
        <n v="677.0"/>
        <n v="1371.0"/>
        <n v="2650.0"/>
        <n v="5363.0"/>
        <n v="1010.0"/>
        <n v="1153.0"/>
        <n v="516.0"/>
        <n v="8722.0"/>
        <n v="1092.0"/>
        <n v="769.0"/>
        <n v="983.0"/>
        <n v="117.0"/>
        <n v="815.0"/>
        <n v="351.0"/>
        <n v="4795.0"/>
        <n v="9874.0"/>
        <n v="1301.0"/>
        <n v="840.0"/>
        <n v="1597.0"/>
        <n v="796.0"/>
        <n v="4780.0"/>
        <n v="7974.0"/>
        <n v="1097.0"/>
        <n v="1270.0"/>
        <n v="601.0"/>
        <n v="2618.0"/>
        <n v="7297.0"/>
        <n v="1100.0"/>
        <n v="1503.0"/>
        <n v="907.0"/>
        <n v="649.0"/>
        <n v="884.0"/>
        <n v="256.0"/>
        <n v="3278.0"/>
        <n v="12057.0"/>
        <n v="850.0"/>
        <n v="2053.0"/>
        <n v="878.0"/>
        <n v="839.0"/>
        <n v="1647.0"/>
        <n v="272.0"/>
        <n v="5518.0"/>
        <n v="4114.0"/>
        <n v="628.0"/>
        <n v="950.0"/>
        <n v="418.0"/>
        <n v="153.0"/>
        <s v="Spring break for Dekalb/Gwinnett/Fulton County Schools"/>
        <n v="8640.0"/>
        <n v="1556.0"/>
        <n v="2103.0"/>
        <n v="993.0"/>
        <n v="1123.0"/>
        <n v="1240.0"/>
        <n v="1450.0"/>
        <n v="10850.0"/>
        <n v="2244.0"/>
        <n v="2223.0"/>
        <n v="1122.0"/>
        <n v="527.0"/>
        <n v="1344.0"/>
        <n v="3040.0"/>
        <n v="7955.0"/>
        <n v="2032.0"/>
        <n v="915.0"/>
        <n v="744.0"/>
        <n v="398.0"/>
        <n v="2050.0"/>
        <n v="8569.0"/>
        <n v="2396.0"/>
        <n v="2607.0"/>
        <n v="599.0"/>
        <n v="853.0"/>
        <n v="800.0"/>
        <n v="9212.0"/>
        <n v="2520.0"/>
        <n v="2316.0"/>
        <n v="726.0"/>
        <n v="631.0"/>
        <n v="921.0"/>
        <n v="10241.0"/>
        <n v="1783.0"/>
        <n v="1403.0"/>
        <n v="285.0"/>
        <n v="4610.0"/>
        <n v="4721.0"/>
        <n v="1066.0"/>
        <n v="901.0"/>
        <n v="529.0"/>
        <n v="832.0"/>
        <n v="8858.0"/>
        <n v="2767.0"/>
        <n v="1188.0"/>
        <n v="2059.0"/>
        <n v="134.0"/>
        <n v="1221.0"/>
        <n v="689.0"/>
        <n v="10421.0"/>
        <n v="2964.0"/>
        <n v="1186.0"/>
        <n v="203.0"/>
        <n v="425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3:F57" firstHeaderRow="0" firstDataRow="2" firstDataCol="1" rowPageCount="1" colPageCount="1"/>
  <pivotFields>
    <pivotField name="Sandwich Count" axis="axisCol" compact="0" numFmtId="164" outline="0" multipleItemSelectionAllowed="1" showAll="0" sortType="ascending">
      <items>
        <item x="0"/>
        <item x="1"/>
        <item x="2"/>
        <item x="3"/>
        <item x="4"/>
        <item t="default"/>
      </items>
    </pivotField>
    <pivotField name="WeekofYear" axis="axisRow" compact="0" outline="0" multipleItemSelectionAllowed="1" showAll="0" sortType="ascending">
      <items>
        <item sd="0" x="0"/>
        <item sd="0" x="1"/>
        <item x="2"/>
        <item x="3"/>
        <item x="4"/>
        <item x="5"/>
        <item sd="0" x="6"/>
        <item sd="0" x="7"/>
        <item x="8"/>
        <item x="9"/>
        <item x="10"/>
        <item x="11"/>
        <item sd="0"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50"/>
        <item x="46"/>
        <item x="47"/>
        <item x="48"/>
        <item x="49"/>
        <item x="51"/>
        <item t="default"/>
      </items>
    </pivotField>
    <pivotField name="Location" axis="axisPage" compact="0" outline="0" multipleItemSelectionAllowed="1" showAll="0">
      <items>
        <item x="0"/>
        <item h="1" x="1"/>
        <item h="1" x="2"/>
        <item x="3"/>
        <item x="4"/>
        <item x="5"/>
        <item x="6"/>
        <item x="7"/>
        <item x="8"/>
        <item x="9"/>
        <item x="10"/>
        <item x="11"/>
        <item h="1" x="12"/>
        <item h="1" x="13"/>
        <item h="1" x="14"/>
        <item h="1" x="15"/>
        <item x="16"/>
        <item x="17"/>
        <item h="1" x="18"/>
        <item x="19"/>
        <item h="1" x="20"/>
        <item h="1" x="21"/>
        <item t="default"/>
      </items>
    </pivotField>
    <pivotField name="Sandwich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t="default"/>
      </items>
    </pivotField>
  </pivotFields>
  <rowFields>
    <field x="1"/>
    <field x="0"/>
  </rowFields>
  <colFields>
    <field x="0"/>
  </colFields>
  <pageFields>
    <pageField fld="2"/>
  </pageFields>
  <dataFields>
    <dataField name="Sandwichs by Week"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Location">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Location_1" cache="SlicerCache_Table_1_Col_3" caption="Location" rowHeight="247650"/>
</x14:slicers>
</file>

<file path=xl/tables/table1.xml><?xml version="1.0" encoding="utf-8"?>
<table xmlns="http://schemas.openxmlformats.org/spreadsheetml/2006/main" ref="A1:D2750" displayName="Table_1" name="Table_1" id="1">
  <autoFilter ref="$A$1:$D$2750">
    <filterColumn colId="2">
      <filters>
        <filter val="GROUPS"/>
        <filter val="DECATUR"/>
        <filter val="SNELLVILLE"/>
        <filter val="Collective Learning"/>
        <filter val="DUNWOODY/PTC"/>
        <filter val="E COBB/ROSWELL"/>
        <filter val="ALPHARETTA"/>
        <filter val="P'TREE CORNERS"/>
        <filter val="UGA/Athens"/>
        <filter val="INTOWN/DRUID HILLS"/>
        <filter val="FLOWERY BRANCH"/>
        <filter val="SANDY SPRINGS"/>
      </filters>
    </filterColumn>
  </autoFilter>
  <tableColumns count="4">
    <tableColumn name="Date" id="1"/>
    <tableColumn name="WeekofYear" id="2"/>
    <tableColumn name="Location" id="3"/>
    <tableColumn name="Sandwichs"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 Id="rId3"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hidden="1" min="6" max="6" width="12.63"/>
  </cols>
  <sheetData>
    <row r="1"/>
    <row r="2"/>
    <row r="3"/>
    <row r="4">
      <c r="I4" s="4" t="s">
        <v>10</v>
      </c>
    </row>
    <row r="5"/>
    <row r="6"/>
    <row r="7"/>
    <row r="8">
      <c r="I8" s="5" t="s">
        <v>15</v>
      </c>
      <c r="J8" s="6">
        <v>2023.0</v>
      </c>
      <c r="K8" s="6">
        <v>2024.0</v>
      </c>
      <c r="L8" s="7">
        <v>2025.0</v>
      </c>
    </row>
    <row r="9">
      <c r="I9" s="8" t="s">
        <v>17</v>
      </c>
      <c r="J9" s="9">
        <f t="shared" ref="J9:L9" si="1">Average(C3:C54)</f>
        <v>8777.52</v>
      </c>
      <c r="K9" s="9">
        <f t="shared" si="1"/>
        <v>8992.86</v>
      </c>
      <c r="L9" s="10">
        <f t="shared" si="1"/>
        <v>8420.608696</v>
      </c>
    </row>
    <row r="10"/>
    <row r="11"/>
    <row r="12"/>
    <row r="13">
      <c r="I13" s="11" t="s">
        <v>22</v>
      </c>
    </row>
    <row r="14">
      <c r="I14" s="5" t="s">
        <v>24</v>
      </c>
      <c r="J14" s="6">
        <v>2023.0</v>
      </c>
      <c r="K14" s="6">
        <v>2024.0</v>
      </c>
      <c r="L14" s="7">
        <v>2025.0</v>
      </c>
    </row>
    <row r="15">
      <c r="I15" s="8" t="s">
        <v>26</v>
      </c>
      <c r="J15" s="12">
        <v>3.0</v>
      </c>
      <c r="K15" s="12">
        <v>4.0</v>
      </c>
      <c r="L15" s="13">
        <v>4.0</v>
      </c>
    </row>
    <row r="16">
      <c r="I16" s="14" t="s">
        <v>28</v>
      </c>
      <c r="J16" s="15">
        <v>21.0</v>
      </c>
      <c r="K16" s="15">
        <v>22.0</v>
      </c>
      <c r="L16" s="16">
        <v>22.0</v>
      </c>
    </row>
    <row r="17">
      <c r="I17" s="8" t="s">
        <v>30</v>
      </c>
      <c r="J17" s="12">
        <v>31.0</v>
      </c>
      <c r="K17" s="12">
        <v>31.0</v>
      </c>
      <c r="L17" s="13">
        <v>31.0</v>
      </c>
    </row>
    <row r="18">
      <c r="I18" s="14" t="s">
        <v>32</v>
      </c>
      <c r="J18" s="15">
        <v>47.0</v>
      </c>
      <c r="K18" s="15">
        <v>48.0</v>
      </c>
      <c r="L18" s="16">
        <v>48.0</v>
      </c>
    </row>
    <row r="19">
      <c r="I19" s="8" t="s">
        <v>34</v>
      </c>
      <c r="J19" s="12">
        <v>52.0</v>
      </c>
      <c r="K19" s="12">
        <v>52.0</v>
      </c>
      <c r="L19" s="13">
        <v>52.0</v>
      </c>
    </row>
    <row r="20"/>
    <row r="21">
      <c r="H21" s="17"/>
      <c r="I21" s="18"/>
      <c r="J21" s="18"/>
      <c r="K21" s="18"/>
      <c r="L21" s="18"/>
      <c r="M21" s="18"/>
      <c r="N21" s="19"/>
    </row>
    <row r="22">
      <c r="H22" s="20" t="s">
        <v>38</v>
      </c>
      <c r="I22" s="21"/>
      <c r="J22" s="21"/>
      <c r="K22" s="21"/>
      <c r="L22" s="21"/>
      <c r="M22" s="21"/>
      <c r="N22" s="22"/>
    </row>
    <row r="23">
      <c r="H23" s="23" t="s">
        <v>40</v>
      </c>
      <c r="I23" s="21"/>
      <c r="J23" s="21"/>
      <c r="K23" s="21"/>
      <c r="L23" s="21"/>
      <c r="M23" s="21"/>
      <c r="N23" s="22"/>
    </row>
    <row r="24">
      <c r="H24" s="23" t="s">
        <v>42</v>
      </c>
      <c r="I24" s="21"/>
      <c r="J24" s="21"/>
      <c r="K24" s="21"/>
      <c r="L24" s="21"/>
      <c r="M24" s="21"/>
      <c r="N24" s="22"/>
    </row>
    <row r="25">
      <c r="H25" s="23" t="s">
        <v>44</v>
      </c>
      <c r="I25" s="21"/>
      <c r="J25" s="21"/>
      <c r="K25" s="21"/>
      <c r="L25" s="21"/>
      <c r="M25" s="21"/>
      <c r="N25" s="22"/>
    </row>
    <row r="26">
      <c r="H26" s="23" t="s">
        <v>40</v>
      </c>
      <c r="I26" s="21"/>
      <c r="J26" s="21"/>
      <c r="K26" s="21"/>
      <c r="L26" s="21"/>
      <c r="M26" s="21"/>
      <c r="N26" s="22"/>
    </row>
    <row r="27">
      <c r="H27" s="23" t="s">
        <v>47</v>
      </c>
      <c r="I27" s="21"/>
      <c r="J27" s="21"/>
      <c r="K27" s="21"/>
      <c r="L27" s="21"/>
      <c r="M27" s="21"/>
      <c r="N27" s="22"/>
    </row>
    <row r="28">
      <c r="H28" s="23" t="s">
        <v>49</v>
      </c>
      <c r="I28" s="21"/>
      <c r="J28" s="21"/>
      <c r="K28" s="21"/>
      <c r="L28" s="21"/>
      <c r="M28" s="21"/>
      <c r="N28" s="22"/>
    </row>
    <row r="29">
      <c r="H29" s="24" t="s">
        <v>51</v>
      </c>
      <c r="I29" s="25"/>
      <c r="J29" s="25"/>
      <c r="K29" s="25"/>
      <c r="L29" s="25"/>
      <c r="M29" s="25"/>
      <c r="N29" s="26"/>
    </row>
    <row r="30"/>
    <row r="31"/>
    <row r="32"/>
    <row r="33"/>
    <row r="34"/>
    <row r="35"/>
    <row r="36"/>
    <row r="37"/>
    <row r="38"/>
    <row r="39"/>
    <row r="40"/>
    <row r="41"/>
    <row r="42"/>
    <row r="43"/>
    <row r="44"/>
    <row r="45"/>
    <row r="46"/>
    <row r="47"/>
    <row r="48"/>
    <row r="49"/>
    <row r="50"/>
    <row r="51"/>
    <row r="52"/>
    <row r="53"/>
    <row r="54"/>
    <row r="55">
      <c r="H55" s="4" t="s">
        <v>77</v>
      </c>
    </row>
    <row r="58">
      <c r="C58" s="27"/>
      <c r="D58" s="27"/>
      <c r="E58" s="27"/>
      <c r="F58" s="27">
        <f>F55*1.3</f>
        <v>1406850.9</v>
      </c>
    </row>
  </sheetData>
  <conditionalFormatting sqref="C3:C54">
    <cfRule type="expression" dxfId="0" priority="1">
      <formula>C3&gt;=Average ($C$3:$C$54)</formula>
    </cfRule>
  </conditionalFormatting>
  <conditionalFormatting sqref="C3:C54">
    <cfRule type="cellIs" dxfId="1" priority="2" operator="lessThan">
      <formula>AVERAGE ($C$3:$C$54)</formula>
    </cfRule>
  </conditionalFormatting>
  <conditionalFormatting sqref="C3:C54">
    <cfRule type="containsBlanks" dxfId="2" priority="3">
      <formula>LEN(TRIM(C3))=0</formula>
    </cfRule>
  </conditionalFormatting>
  <conditionalFormatting sqref="D3:D54">
    <cfRule type="expression" dxfId="0" priority="4">
      <formula>D3&gt;=Average ($D$3:$D$54)</formula>
    </cfRule>
  </conditionalFormatting>
  <conditionalFormatting sqref="D3:D54">
    <cfRule type="expression" dxfId="1" priority="5">
      <formula>D3&lt;=Average ($D$3:$D$54)</formula>
    </cfRule>
  </conditionalFormatting>
  <conditionalFormatting sqref="E3:E54">
    <cfRule type="containsBlanks" dxfId="3" priority="6">
      <formula>LEN(TRIM(E3))=0</formula>
    </cfRule>
  </conditionalFormatting>
  <conditionalFormatting sqref="E3:E54">
    <cfRule type="expression" dxfId="1" priority="7">
      <formula>E3&lt;Average ($E$3:$E$54)</formula>
    </cfRule>
  </conditionalFormatting>
  <conditionalFormatting sqref="E3:E54">
    <cfRule type="expression" dxfId="0" priority="8">
      <formula>E3&gt;=Average ($E$3:$E$54)</formula>
    </cfRule>
  </conditionalFormatting>
  <printOptions gridLines="1" horizontalCentered="1"/>
  <pageMargins bottom="0.75" footer="0.0" header="0.0" left="0.7" right="0.7" top="0.75"/>
  <pageSetup fitToHeight="0" cellComments="atEnd" orientation="portrait" pageOrder="overThenDown"/>
  <drawing r:id="rId2"/>
  <extLst>
    <ext uri="{3A4CF648-6AED-40f4-86FF-DC5316D8AED3}">
      <x14:slicerList>
        <x14:slicer r:id="rId3"/>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1.88"/>
  </cols>
  <sheetData>
    <row r="1">
      <c r="A1" s="4" t="s">
        <v>3</v>
      </c>
      <c r="B1" s="4" t="s">
        <v>2</v>
      </c>
      <c r="C1" s="4" t="s">
        <v>78</v>
      </c>
      <c r="D1" s="4" t="s">
        <v>79</v>
      </c>
    </row>
    <row r="2">
      <c r="A2" s="28">
        <v>44930.0</v>
      </c>
      <c r="B2" s="29">
        <f t="shared" ref="B2:B2750" si="1">WEEKNUM(A2)</f>
        <v>1</v>
      </c>
      <c r="C2" s="29" t="s">
        <v>80</v>
      </c>
      <c r="D2" s="29">
        <v>818.0</v>
      </c>
    </row>
    <row r="3">
      <c r="A3" s="28">
        <v>44930.0</v>
      </c>
      <c r="B3" s="29">
        <f t="shared" si="1"/>
        <v>1</v>
      </c>
      <c r="C3" s="29" t="s">
        <v>81</v>
      </c>
      <c r="D3" s="29">
        <v>0.0</v>
      </c>
    </row>
    <row r="4">
      <c r="A4" s="28">
        <v>44930.0</v>
      </c>
      <c r="B4" s="29">
        <f t="shared" si="1"/>
        <v>1</v>
      </c>
      <c r="C4" s="29" t="s">
        <v>82</v>
      </c>
      <c r="D4" s="29">
        <v>0.0</v>
      </c>
    </row>
    <row r="5">
      <c r="A5" s="28">
        <v>44930.0</v>
      </c>
      <c r="B5" s="29">
        <f t="shared" si="1"/>
        <v>1</v>
      </c>
      <c r="C5" s="29" t="s">
        <v>83</v>
      </c>
      <c r="D5" s="29">
        <v>1326.0</v>
      </c>
    </row>
    <row r="6">
      <c r="A6" s="28">
        <v>44930.0</v>
      </c>
      <c r="B6" s="29">
        <f t="shared" si="1"/>
        <v>1</v>
      </c>
      <c r="C6" s="29" t="s">
        <v>84</v>
      </c>
      <c r="D6" s="29">
        <v>1204.0</v>
      </c>
    </row>
    <row r="7">
      <c r="A7" s="28">
        <v>44930.0</v>
      </c>
      <c r="B7" s="29">
        <f t="shared" si="1"/>
        <v>1</v>
      </c>
      <c r="C7" s="29" t="s">
        <v>85</v>
      </c>
      <c r="D7" s="29">
        <v>161.0</v>
      </c>
    </row>
    <row r="8">
      <c r="A8" s="28">
        <v>44930.0</v>
      </c>
      <c r="B8" s="29">
        <f t="shared" si="1"/>
        <v>1</v>
      </c>
      <c r="C8" s="29" t="s">
        <v>86</v>
      </c>
      <c r="D8" s="29">
        <v>263.0</v>
      </c>
    </row>
    <row r="9">
      <c r="A9" s="28">
        <v>44930.0</v>
      </c>
      <c r="B9" s="29">
        <f t="shared" si="1"/>
        <v>1</v>
      </c>
      <c r="C9" s="29" t="s">
        <v>87</v>
      </c>
      <c r="D9" s="29"/>
    </row>
    <row r="10">
      <c r="A10" s="28">
        <v>44930.0</v>
      </c>
      <c r="B10" s="29">
        <f t="shared" si="1"/>
        <v>1</v>
      </c>
      <c r="C10" s="29" t="s">
        <v>88</v>
      </c>
      <c r="D10" s="29">
        <v>250.0</v>
      </c>
    </row>
    <row r="11">
      <c r="A11" s="28">
        <v>44930.0</v>
      </c>
      <c r="B11" s="29">
        <f t="shared" si="1"/>
        <v>1</v>
      </c>
      <c r="C11" s="29" t="s">
        <v>89</v>
      </c>
      <c r="D11" s="29">
        <v>206.0</v>
      </c>
    </row>
    <row r="12">
      <c r="A12" s="28">
        <v>44930.0</v>
      </c>
      <c r="B12" s="29">
        <f t="shared" si="1"/>
        <v>1</v>
      </c>
      <c r="C12" s="29" t="s">
        <v>90</v>
      </c>
      <c r="D12" s="29">
        <v>106.0</v>
      </c>
    </row>
    <row r="13">
      <c r="A13" s="28">
        <v>44930.0</v>
      </c>
      <c r="B13" s="29">
        <f t="shared" si="1"/>
        <v>1</v>
      </c>
      <c r="C13" s="29" t="s">
        <v>91</v>
      </c>
      <c r="D13" s="29">
        <v>0.0</v>
      </c>
    </row>
    <row r="14">
      <c r="A14" s="28">
        <v>44930.0</v>
      </c>
      <c r="B14" s="29">
        <f t="shared" si="1"/>
        <v>1</v>
      </c>
      <c r="C14" s="29" t="s">
        <v>92</v>
      </c>
      <c r="D14" s="29">
        <v>0.0</v>
      </c>
    </row>
    <row r="15">
      <c r="A15" s="28">
        <v>44930.0</v>
      </c>
      <c r="B15" s="29">
        <f t="shared" si="1"/>
        <v>1</v>
      </c>
      <c r="C15" s="29" t="s">
        <v>93</v>
      </c>
      <c r="D15" s="29">
        <v>0.0</v>
      </c>
    </row>
    <row r="16">
      <c r="A16" s="28">
        <v>44930.0</v>
      </c>
      <c r="B16" s="29">
        <f t="shared" si="1"/>
        <v>1</v>
      </c>
      <c r="C16" s="29" t="s">
        <v>94</v>
      </c>
      <c r="D16" s="29">
        <v>0.0</v>
      </c>
    </row>
    <row r="17">
      <c r="A17" s="28">
        <v>44930.0</v>
      </c>
      <c r="B17" s="29">
        <f t="shared" si="1"/>
        <v>1</v>
      </c>
      <c r="C17" s="29" t="s">
        <v>95</v>
      </c>
      <c r="D17" s="29">
        <v>0.0</v>
      </c>
    </row>
    <row r="18">
      <c r="A18" s="28">
        <v>44930.0</v>
      </c>
      <c r="B18" s="29">
        <f t="shared" si="1"/>
        <v>1</v>
      </c>
      <c r="C18" s="29" t="s">
        <v>96</v>
      </c>
      <c r="D18" s="29">
        <v>412.0</v>
      </c>
    </row>
    <row r="19">
      <c r="A19" s="28">
        <v>44930.0</v>
      </c>
      <c r="B19" s="29">
        <f t="shared" si="1"/>
        <v>1</v>
      </c>
      <c r="C19" s="29" t="s">
        <v>97</v>
      </c>
      <c r="D19" s="29">
        <v>0.0</v>
      </c>
    </row>
    <row r="20">
      <c r="A20" s="28">
        <v>44930.0</v>
      </c>
      <c r="B20" s="29">
        <f t="shared" si="1"/>
        <v>1</v>
      </c>
      <c r="C20" s="29" t="s">
        <v>98</v>
      </c>
      <c r="D20" s="29"/>
    </row>
    <row r="21">
      <c r="A21" s="28">
        <v>44930.0</v>
      </c>
      <c r="B21" s="29">
        <f t="shared" si="1"/>
        <v>1</v>
      </c>
      <c r="C21" s="29" t="s">
        <v>99</v>
      </c>
      <c r="D21" s="29"/>
    </row>
    <row r="22">
      <c r="A22" s="28">
        <v>44930.0</v>
      </c>
      <c r="B22" s="29">
        <f t="shared" si="1"/>
        <v>1</v>
      </c>
      <c r="C22" s="29" t="s">
        <v>100</v>
      </c>
      <c r="D22" s="29"/>
    </row>
    <row r="23">
      <c r="A23" s="28">
        <v>44937.0</v>
      </c>
      <c r="B23" s="29">
        <f t="shared" si="1"/>
        <v>2</v>
      </c>
      <c r="C23" s="29" t="s">
        <v>101</v>
      </c>
      <c r="D23" s="29">
        <v>5134.0</v>
      </c>
    </row>
    <row r="24">
      <c r="A24" s="28">
        <v>44937.0</v>
      </c>
      <c r="B24" s="29">
        <f t="shared" si="1"/>
        <v>2</v>
      </c>
      <c r="C24" s="29" t="s">
        <v>80</v>
      </c>
      <c r="D24" s="29">
        <v>888.0</v>
      </c>
    </row>
    <row r="25">
      <c r="A25" s="28">
        <v>44937.0</v>
      </c>
      <c r="B25" s="29">
        <f t="shared" si="1"/>
        <v>2</v>
      </c>
      <c r="C25" s="29" t="s">
        <v>81</v>
      </c>
      <c r="D25" s="29">
        <v>0.0</v>
      </c>
    </row>
    <row r="26">
      <c r="A26" s="28">
        <v>44937.0</v>
      </c>
      <c r="B26" s="29">
        <f t="shared" si="1"/>
        <v>2</v>
      </c>
      <c r="C26" s="29" t="s">
        <v>82</v>
      </c>
      <c r="D26" s="29">
        <v>0.0</v>
      </c>
    </row>
    <row r="27">
      <c r="A27" s="28">
        <v>44937.0</v>
      </c>
      <c r="B27" s="29">
        <f t="shared" si="1"/>
        <v>2</v>
      </c>
      <c r="C27" s="29" t="s">
        <v>83</v>
      </c>
      <c r="D27" s="29">
        <v>1422.0</v>
      </c>
    </row>
    <row r="28">
      <c r="A28" s="28">
        <v>44937.0</v>
      </c>
      <c r="B28" s="29">
        <f t="shared" si="1"/>
        <v>2</v>
      </c>
      <c r="C28" s="29" t="s">
        <v>84</v>
      </c>
      <c r="D28" s="29">
        <v>650.0</v>
      </c>
    </row>
    <row r="29">
      <c r="A29" s="28">
        <v>44937.0</v>
      </c>
      <c r="B29" s="29">
        <f t="shared" si="1"/>
        <v>2</v>
      </c>
      <c r="C29" s="29" t="s">
        <v>85</v>
      </c>
      <c r="D29" s="29">
        <v>622.0</v>
      </c>
    </row>
    <row r="30">
      <c r="A30" s="28">
        <v>44937.0</v>
      </c>
      <c r="B30" s="29">
        <f t="shared" si="1"/>
        <v>2</v>
      </c>
      <c r="C30" s="29" t="s">
        <v>86</v>
      </c>
      <c r="D30" s="29">
        <v>444.0</v>
      </c>
    </row>
    <row r="31">
      <c r="A31" s="28">
        <v>44937.0</v>
      </c>
      <c r="B31" s="29">
        <f t="shared" si="1"/>
        <v>2</v>
      </c>
      <c r="C31" s="29" t="s">
        <v>87</v>
      </c>
      <c r="D31" s="29"/>
    </row>
    <row r="32">
      <c r="A32" s="28">
        <v>44937.0</v>
      </c>
      <c r="B32" s="29">
        <f t="shared" si="1"/>
        <v>2</v>
      </c>
      <c r="C32" s="29" t="s">
        <v>88</v>
      </c>
      <c r="D32" s="29">
        <v>514.0</v>
      </c>
    </row>
    <row r="33">
      <c r="A33" s="28">
        <v>44937.0</v>
      </c>
      <c r="B33" s="29">
        <f t="shared" si="1"/>
        <v>2</v>
      </c>
      <c r="C33" s="29" t="s">
        <v>89</v>
      </c>
      <c r="D33" s="29">
        <v>152.0</v>
      </c>
    </row>
    <row r="34">
      <c r="A34" s="28">
        <v>44937.0</v>
      </c>
      <c r="B34" s="29">
        <f t="shared" si="1"/>
        <v>2</v>
      </c>
      <c r="C34" s="29" t="s">
        <v>90</v>
      </c>
      <c r="D34" s="29">
        <v>151.0</v>
      </c>
    </row>
    <row r="35">
      <c r="A35" s="28">
        <v>44937.0</v>
      </c>
      <c r="B35" s="29">
        <f t="shared" si="1"/>
        <v>2</v>
      </c>
      <c r="C35" s="29" t="s">
        <v>91</v>
      </c>
      <c r="D35" s="29"/>
    </row>
    <row r="36">
      <c r="A36" s="28">
        <v>44937.0</v>
      </c>
      <c r="B36" s="29">
        <f t="shared" si="1"/>
        <v>2</v>
      </c>
      <c r="C36" s="29" t="s">
        <v>92</v>
      </c>
      <c r="D36" s="29">
        <v>0.0</v>
      </c>
    </row>
    <row r="37">
      <c r="A37" s="28">
        <v>44937.0</v>
      </c>
      <c r="B37" s="29">
        <f t="shared" si="1"/>
        <v>2</v>
      </c>
      <c r="C37" s="29" t="s">
        <v>93</v>
      </c>
      <c r="D37" s="29">
        <v>0.0</v>
      </c>
    </row>
    <row r="38">
      <c r="A38" s="28">
        <v>44937.0</v>
      </c>
      <c r="B38" s="29">
        <f t="shared" si="1"/>
        <v>2</v>
      </c>
      <c r="C38" s="29" t="s">
        <v>94</v>
      </c>
      <c r="D38" s="29">
        <v>0.0</v>
      </c>
    </row>
    <row r="39">
      <c r="A39" s="28">
        <v>44937.0</v>
      </c>
      <c r="B39" s="29">
        <f t="shared" si="1"/>
        <v>2</v>
      </c>
      <c r="C39" s="29" t="s">
        <v>95</v>
      </c>
      <c r="D39" s="29">
        <v>0.0</v>
      </c>
    </row>
    <row r="40">
      <c r="A40" s="28">
        <v>44937.0</v>
      </c>
      <c r="B40" s="29">
        <f t="shared" si="1"/>
        <v>2</v>
      </c>
      <c r="C40" s="29" t="s">
        <v>96</v>
      </c>
      <c r="D40" s="29">
        <v>291.0</v>
      </c>
    </row>
    <row r="41">
      <c r="A41" s="28">
        <v>44937.0</v>
      </c>
      <c r="B41" s="29">
        <f t="shared" si="1"/>
        <v>2</v>
      </c>
      <c r="C41" s="29" t="s">
        <v>97</v>
      </c>
      <c r="D41" s="29"/>
    </row>
    <row r="42">
      <c r="A42" s="28">
        <v>44937.0</v>
      </c>
      <c r="B42" s="29">
        <f t="shared" si="1"/>
        <v>2</v>
      </c>
      <c r="C42" s="29" t="s">
        <v>98</v>
      </c>
      <c r="D42" s="29"/>
    </row>
    <row r="43">
      <c r="A43" s="28">
        <v>44937.0</v>
      </c>
      <c r="B43" s="29">
        <f t="shared" si="1"/>
        <v>2</v>
      </c>
      <c r="C43" s="29" t="s">
        <v>99</v>
      </c>
      <c r="D43" s="29"/>
    </row>
    <row r="44">
      <c r="A44" s="28">
        <v>44937.0</v>
      </c>
      <c r="B44" s="29">
        <f t="shared" si="1"/>
        <v>2</v>
      </c>
      <c r="C44" s="29" t="s">
        <v>100</v>
      </c>
      <c r="D44" s="29"/>
    </row>
    <row r="45">
      <c r="A45" s="28">
        <v>44944.0</v>
      </c>
      <c r="B45" s="29">
        <f t="shared" si="1"/>
        <v>3</v>
      </c>
      <c r="C45" s="29" t="s">
        <v>101</v>
      </c>
      <c r="D45" s="29">
        <v>6388.0</v>
      </c>
    </row>
    <row r="46">
      <c r="A46" s="28">
        <v>44944.0</v>
      </c>
      <c r="B46" s="29">
        <f t="shared" si="1"/>
        <v>3</v>
      </c>
      <c r="C46" s="29" t="s">
        <v>80</v>
      </c>
      <c r="D46" s="29">
        <v>908.0</v>
      </c>
    </row>
    <row r="47">
      <c r="A47" s="28">
        <v>44944.0</v>
      </c>
      <c r="B47" s="29">
        <f t="shared" si="1"/>
        <v>3</v>
      </c>
      <c r="C47" s="29" t="s">
        <v>81</v>
      </c>
      <c r="D47" s="29">
        <v>0.0</v>
      </c>
    </row>
    <row r="48">
      <c r="A48" s="28">
        <v>44944.0</v>
      </c>
      <c r="B48" s="29">
        <f t="shared" si="1"/>
        <v>3</v>
      </c>
      <c r="C48" s="29" t="s">
        <v>82</v>
      </c>
      <c r="D48" s="29">
        <v>0.0</v>
      </c>
    </row>
    <row r="49">
      <c r="A49" s="28">
        <v>44944.0</v>
      </c>
      <c r="B49" s="29">
        <f t="shared" si="1"/>
        <v>3</v>
      </c>
      <c r="C49" s="29" t="s">
        <v>83</v>
      </c>
      <c r="D49" s="29">
        <v>1243.0</v>
      </c>
    </row>
    <row r="50">
      <c r="A50" s="28">
        <v>44944.0</v>
      </c>
      <c r="B50" s="29">
        <f t="shared" si="1"/>
        <v>3</v>
      </c>
      <c r="C50" s="29" t="s">
        <v>84</v>
      </c>
      <c r="D50" s="29">
        <v>1614.0</v>
      </c>
    </row>
    <row r="51">
      <c r="A51" s="28">
        <v>44944.0</v>
      </c>
      <c r="B51" s="29">
        <f t="shared" si="1"/>
        <v>3</v>
      </c>
      <c r="C51" s="29" t="s">
        <v>85</v>
      </c>
      <c r="D51" s="29">
        <v>465.0</v>
      </c>
    </row>
    <row r="52">
      <c r="A52" s="28">
        <v>44944.0</v>
      </c>
      <c r="B52" s="29">
        <f t="shared" si="1"/>
        <v>3</v>
      </c>
      <c r="C52" s="29" t="s">
        <v>86</v>
      </c>
      <c r="D52" s="29">
        <v>290.0</v>
      </c>
    </row>
    <row r="53">
      <c r="A53" s="28">
        <v>44944.0</v>
      </c>
      <c r="B53" s="29">
        <f t="shared" si="1"/>
        <v>3</v>
      </c>
      <c r="C53" s="29" t="s">
        <v>87</v>
      </c>
      <c r="D53" s="29"/>
    </row>
    <row r="54">
      <c r="A54" s="28">
        <v>44944.0</v>
      </c>
      <c r="B54" s="29">
        <f t="shared" si="1"/>
        <v>3</v>
      </c>
      <c r="C54" s="29" t="s">
        <v>88</v>
      </c>
      <c r="D54" s="29">
        <v>603.0</v>
      </c>
    </row>
    <row r="55">
      <c r="A55" s="28">
        <v>44944.0</v>
      </c>
      <c r="B55" s="29">
        <f t="shared" si="1"/>
        <v>3</v>
      </c>
      <c r="C55" s="29" t="s">
        <v>89</v>
      </c>
      <c r="D55" s="29">
        <v>627.0</v>
      </c>
    </row>
    <row r="56">
      <c r="A56" s="28">
        <v>44944.0</v>
      </c>
      <c r="B56" s="29">
        <f t="shared" si="1"/>
        <v>3</v>
      </c>
      <c r="C56" s="29" t="s">
        <v>90</v>
      </c>
      <c r="D56" s="29">
        <v>148.0</v>
      </c>
    </row>
    <row r="57">
      <c r="A57" s="28">
        <v>44944.0</v>
      </c>
      <c r="B57" s="29">
        <f t="shared" si="1"/>
        <v>3</v>
      </c>
      <c r="C57" s="29" t="s">
        <v>91</v>
      </c>
      <c r="D57" s="29">
        <v>0.0</v>
      </c>
    </row>
    <row r="58">
      <c r="A58" s="28">
        <v>44944.0</v>
      </c>
      <c r="B58" s="29">
        <f t="shared" si="1"/>
        <v>3</v>
      </c>
      <c r="C58" s="29" t="s">
        <v>92</v>
      </c>
      <c r="D58" s="29">
        <v>0.0</v>
      </c>
    </row>
    <row r="59">
      <c r="A59" s="28">
        <v>44944.0</v>
      </c>
      <c r="B59" s="29">
        <f t="shared" si="1"/>
        <v>3</v>
      </c>
      <c r="C59" s="29" t="s">
        <v>93</v>
      </c>
      <c r="D59" s="29">
        <v>0.0</v>
      </c>
    </row>
    <row r="60">
      <c r="A60" s="28">
        <v>44944.0</v>
      </c>
      <c r="B60" s="29">
        <f t="shared" si="1"/>
        <v>3</v>
      </c>
      <c r="C60" s="29" t="s">
        <v>94</v>
      </c>
      <c r="D60" s="29">
        <v>0.0</v>
      </c>
    </row>
    <row r="61">
      <c r="A61" s="28">
        <v>44944.0</v>
      </c>
      <c r="B61" s="29">
        <f t="shared" si="1"/>
        <v>3</v>
      </c>
      <c r="C61" s="29" t="s">
        <v>95</v>
      </c>
      <c r="D61" s="29">
        <v>0.0</v>
      </c>
    </row>
    <row r="62">
      <c r="A62" s="28">
        <v>44944.0</v>
      </c>
      <c r="B62" s="29">
        <f t="shared" si="1"/>
        <v>3</v>
      </c>
      <c r="C62" s="29" t="s">
        <v>96</v>
      </c>
      <c r="D62" s="29">
        <v>490.0</v>
      </c>
    </row>
    <row r="63">
      <c r="A63" s="28">
        <v>44944.0</v>
      </c>
      <c r="B63" s="29">
        <f t="shared" si="1"/>
        <v>3</v>
      </c>
      <c r="C63" s="29" t="s">
        <v>97</v>
      </c>
      <c r="D63" s="29">
        <v>0.0</v>
      </c>
    </row>
    <row r="64">
      <c r="A64" s="28">
        <v>44944.0</v>
      </c>
      <c r="B64" s="29">
        <f t="shared" si="1"/>
        <v>3</v>
      </c>
      <c r="C64" s="29" t="s">
        <v>98</v>
      </c>
      <c r="D64" s="29"/>
    </row>
    <row r="65">
      <c r="A65" s="28">
        <v>44944.0</v>
      </c>
      <c r="B65" s="29">
        <f t="shared" si="1"/>
        <v>3</v>
      </c>
      <c r="C65" s="29" t="s">
        <v>99</v>
      </c>
      <c r="D65" s="29"/>
    </row>
    <row r="66">
      <c r="A66" s="28">
        <v>44944.0</v>
      </c>
      <c r="B66" s="29">
        <f t="shared" si="1"/>
        <v>3</v>
      </c>
      <c r="C66" s="29" t="s">
        <v>100</v>
      </c>
      <c r="D66" s="29"/>
    </row>
    <row r="67">
      <c r="A67" s="28">
        <v>44951.0</v>
      </c>
      <c r="B67" s="29">
        <f t="shared" si="1"/>
        <v>4</v>
      </c>
      <c r="C67" s="29" t="s">
        <v>101</v>
      </c>
      <c r="D67" s="29">
        <v>7153.0</v>
      </c>
    </row>
    <row r="68">
      <c r="A68" s="28">
        <v>44951.0</v>
      </c>
      <c r="B68" s="29">
        <f t="shared" si="1"/>
        <v>4</v>
      </c>
      <c r="C68" s="29" t="s">
        <v>80</v>
      </c>
      <c r="D68" s="29">
        <v>1025.0</v>
      </c>
    </row>
    <row r="69">
      <c r="A69" s="28">
        <v>44951.0</v>
      </c>
      <c r="B69" s="29">
        <f t="shared" si="1"/>
        <v>4</v>
      </c>
      <c r="C69" s="29" t="s">
        <v>81</v>
      </c>
      <c r="D69" s="29">
        <v>0.0</v>
      </c>
    </row>
    <row r="70">
      <c r="A70" s="28">
        <v>44951.0</v>
      </c>
      <c r="B70" s="29">
        <f t="shared" si="1"/>
        <v>4</v>
      </c>
      <c r="C70" s="29" t="s">
        <v>82</v>
      </c>
      <c r="D70" s="29">
        <v>0.0</v>
      </c>
    </row>
    <row r="71">
      <c r="A71" s="28">
        <v>44951.0</v>
      </c>
      <c r="B71" s="29">
        <f t="shared" si="1"/>
        <v>4</v>
      </c>
      <c r="C71" s="29" t="s">
        <v>83</v>
      </c>
      <c r="D71" s="29">
        <v>2023.0</v>
      </c>
    </row>
    <row r="72">
      <c r="A72" s="28">
        <v>44951.0</v>
      </c>
      <c r="B72" s="29">
        <f t="shared" si="1"/>
        <v>4</v>
      </c>
      <c r="C72" s="29" t="s">
        <v>84</v>
      </c>
      <c r="D72" s="29">
        <v>1465.0</v>
      </c>
    </row>
    <row r="73">
      <c r="A73" s="28">
        <v>44951.0</v>
      </c>
      <c r="B73" s="29">
        <f t="shared" si="1"/>
        <v>4</v>
      </c>
      <c r="C73" s="29" t="s">
        <v>85</v>
      </c>
      <c r="D73" s="29">
        <v>345.0</v>
      </c>
    </row>
    <row r="74">
      <c r="A74" s="28">
        <v>44951.0</v>
      </c>
      <c r="B74" s="29">
        <f t="shared" si="1"/>
        <v>4</v>
      </c>
      <c r="C74" s="29" t="s">
        <v>86</v>
      </c>
      <c r="D74" s="29">
        <v>514.0</v>
      </c>
    </row>
    <row r="75">
      <c r="A75" s="28">
        <v>44951.0</v>
      </c>
      <c r="B75" s="29">
        <f t="shared" si="1"/>
        <v>4</v>
      </c>
      <c r="C75" s="29" t="s">
        <v>87</v>
      </c>
      <c r="D75" s="29"/>
    </row>
    <row r="76">
      <c r="A76" s="28">
        <v>44951.0</v>
      </c>
      <c r="B76" s="29">
        <f t="shared" si="1"/>
        <v>4</v>
      </c>
      <c r="C76" s="29" t="s">
        <v>88</v>
      </c>
      <c r="D76" s="29">
        <v>710.0</v>
      </c>
    </row>
    <row r="77">
      <c r="A77" s="28">
        <v>44951.0</v>
      </c>
      <c r="B77" s="29">
        <f t="shared" si="1"/>
        <v>4</v>
      </c>
      <c r="C77" s="29" t="s">
        <v>89</v>
      </c>
      <c r="D77" s="29">
        <v>605.0</v>
      </c>
    </row>
    <row r="78">
      <c r="A78" s="28">
        <v>44951.0</v>
      </c>
      <c r="B78" s="29">
        <f t="shared" si="1"/>
        <v>4</v>
      </c>
      <c r="C78" s="29" t="s">
        <v>90</v>
      </c>
      <c r="D78" s="29">
        <v>166.0</v>
      </c>
    </row>
    <row r="79">
      <c r="A79" s="28">
        <v>44951.0</v>
      </c>
      <c r="B79" s="29">
        <f t="shared" si="1"/>
        <v>4</v>
      </c>
      <c r="C79" s="29" t="s">
        <v>91</v>
      </c>
      <c r="D79" s="29"/>
    </row>
    <row r="80">
      <c r="A80" s="28">
        <v>44951.0</v>
      </c>
      <c r="B80" s="29">
        <f t="shared" si="1"/>
        <v>4</v>
      </c>
      <c r="C80" s="29" t="s">
        <v>92</v>
      </c>
      <c r="D80" s="29">
        <v>0.0</v>
      </c>
    </row>
    <row r="81">
      <c r="A81" s="28">
        <v>44951.0</v>
      </c>
      <c r="B81" s="29">
        <f t="shared" si="1"/>
        <v>4</v>
      </c>
      <c r="C81" s="29" t="s">
        <v>93</v>
      </c>
      <c r="D81" s="29">
        <v>0.0</v>
      </c>
    </row>
    <row r="82">
      <c r="A82" s="28">
        <v>44951.0</v>
      </c>
      <c r="B82" s="29">
        <f t="shared" si="1"/>
        <v>4</v>
      </c>
      <c r="C82" s="29" t="s">
        <v>94</v>
      </c>
      <c r="D82" s="29">
        <v>0.0</v>
      </c>
    </row>
    <row r="83">
      <c r="A83" s="28">
        <v>44951.0</v>
      </c>
      <c r="B83" s="29">
        <f t="shared" si="1"/>
        <v>4</v>
      </c>
      <c r="C83" s="29" t="s">
        <v>95</v>
      </c>
      <c r="D83" s="29">
        <v>0.0</v>
      </c>
    </row>
    <row r="84">
      <c r="A84" s="28">
        <v>44951.0</v>
      </c>
      <c r="B84" s="29">
        <f t="shared" si="1"/>
        <v>4</v>
      </c>
      <c r="C84" s="29" t="s">
        <v>96</v>
      </c>
      <c r="D84" s="29">
        <v>300.0</v>
      </c>
    </row>
    <row r="85">
      <c r="A85" s="28">
        <v>44951.0</v>
      </c>
      <c r="B85" s="29">
        <f t="shared" si="1"/>
        <v>4</v>
      </c>
      <c r="C85" s="29" t="s">
        <v>97</v>
      </c>
      <c r="D85" s="29"/>
    </row>
    <row r="86">
      <c r="A86" s="28">
        <v>44951.0</v>
      </c>
      <c r="B86" s="29">
        <f t="shared" si="1"/>
        <v>4</v>
      </c>
      <c r="C86" s="29" t="s">
        <v>98</v>
      </c>
      <c r="D86" s="29"/>
    </row>
    <row r="87">
      <c r="A87" s="28">
        <v>44951.0</v>
      </c>
      <c r="B87" s="29">
        <f t="shared" si="1"/>
        <v>4</v>
      </c>
      <c r="C87" s="29" t="s">
        <v>99</v>
      </c>
      <c r="D87" s="29"/>
    </row>
    <row r="88">
      <c r="A88" s="28">
        <v>44951.0</v>
      </c>
      <c r="B88" s="29">
        <f t="shared" si="1"/>
        <v>4</v>
      </c>
      <c r="C88" s="29" t="s">
        <v>100</v>
      </c>
      <c r="D88" s="29"/>
    </row>
    <row r="89">
      <c r="A89" s="28">
        <v>44958.0</v>
      </c>
      <c r="B89" s="29">
        <f t="shared" si="1"/>
        <v>5</v>
      </c>
      <c r="C89" s="29" t="s">
        <v>101</v>
      </c>
      <c r="D89" s="29">
        <v>13902.0</v>
      </c>
    </row>
    <row r="90">
      <c r="A90" s="28">
        <v>44958.0</v>
      </c>
      <c r="B90" s="29">
        <f t="shared" si="1"/>
        <v>5</v>
      </c>
      <c r="C90" s="29" t="s">
        <v>80</v>
      </c>
      <c r="D90" s="29">
        <v>1471.0</v>
      </c>
    </row>
    <row r="91">
      <c r="A91" s="28">
        <v>44958.0</v>
      </c>
      <c r="B91" s="29">
        <f t="shared" si="1"/>
        <v>5</v>
      </c>
      <c r="C91" s="29" t="s">
        <v>81</v>
      </c>
      <c r="D91" s="29">
        <v>0.0</v>
      </c>
    </row>
    <row r="92">
      <c r="A92" s="28">
        <v>44958.0</v>
      </c>
      <c r="B92" s="29">
        <f t="shared" si="1"/>
        <v>5</v>
      </c>
      <c r="C92" s="29" t="s">
        <v>82</v>
      </c>
      <c r="D92" s="29">
        <v>0.0</v>
      </c>
    </row>
    <row r="93">
      <c r="A93" s="28">
        <v>44958.0</v>
      </c>
      <c r="B93" s="29">
        <f t="shared" si="1"/>
        <v>5</v>
      </c>
      <c r="C93" s="29" t="s">
        <v>83</v>
      </c>
      <c r="D93" s="29">
        <v>1461.0</v>
      </c>
    </row>
    <row r="94">
      <c r="A94" s="28">
        <v>44958.0</v>
      </c>
      <c r="B94" s="29">
        <f t="shared" si="1"/>
        <v>5</v>
      </c>
      <c r="C94" s="29" t="s">
        <v>84</v>
      </c>
      <c r="D94" s="29">
        <v>2096.0</v>
      </c>
    </row>
    <row r="95">
      <c r="A95" s="28">
        <v>44958.0</v>
      </c>
      <c r="B95" s="29">
        <f t="shared" si="1"/>
        <v>5</v>
      </c>
      <c r="C95" s="29" t="s">
        <v>85</v>
      </c>
      <c r="D95" s="29">
        <v>230.0</v>
      </c>
    </row>
    <row r="96">
      <c r="A96" s="28">
        <v>44958.0</v>
      </c>
      <c r="B96" s="29">
        <f t="shared" si="1"/>
        <v>5</v>
      </c>
      <c r="C96" s="29" t="s">
        <v>86</v>
      </c>
      <c r="D96" s="29">
        <v>496.0</v>
      </c>
    </row>
    <row r="97">
      <c r="A97" s="28">
        <v>44958.0</v>
      </c>
      <c r="B97" s="29">
        <f t="shared" si="1"/>
        <v>5</v>
      </c>
      <c r="C97" s="29" t="s">
        <v>87</v>
      </c>
      <c r="D97" s="29"/>
    </row>
    <row r="98">
      <c r="A98" s="28">
        <v>44958.0</v>
      </c>
      <c r="B98" s="29">
        <f t="shared" si="1"/>
        <v>5</v>
      </c>
      <c r="C98" s="29" t="s">
        <v>88</v>
      </c>
      <c r="D98" s="29">
        <v>988.0</v>
      </c>
    </row>
    <row r="99">
      <c r="A99" s="28">
        <v>44958.0</v>
      </c>
      <c r="B99" s="29">
        <f t="shared" si="1"/>
        <v>5</v>
      </c>
      <c r="C99" s="29" t="s">
        <v>89</v>
      </c>
      <c r="D99" s="29">
        <v>762.0</v>
      </c>
    </row>
    <row r="100">
      <c r="A100" s="28">
        <v>44958.0</v>
      </c>
      <c r="B100" s="29">
        <f t="shared" si="1"/>
        <v>5</v>
      </c>
      <c r="C100" s="29" t="s">
        <v>90</v>
      </c>
      <c r="D100" s="29">
        <v>183.0</v>
      </c>
    </row>
    <row r="101">
      <c r="A101" s="28">
        <v>44958.0</v>
      </c>
      <c r="B101" s="29">
        <f t="shared" si="1"/>
        <v>5</v>
      </c>
      <c r="C101" s="29" t="s">
        <v>91</v>
      </c>
      <c r="D101" s="29">
        <v>2998.0</v>
      </c>
    </row>
    <row r="102">
      <c r="A102" s="28">
        <v>44958.0</v>
      </c>
      <c r="B102" s="29">
        <f t="shared" si="1"/>
        <v>5</v>
      </c>
      <c r="C102" s="29" t="s">
        <v>92</v>
      </c>
      <c r="D102" s="29">
        <v>0.0</v>
      </c>
    </row>
    <row r="103">
      <c r="A103" s="28">
        <v>44958.0</v>
      </c>
      <c r="B103" s="29">
        <f t="shared" si="1"/>
        <v>5</v>
      </c>
      <c r="C103" s="29" t="s">
        <v>93</v>
      </c>
      <c r="D103" s="29">
        <v>0.0</v>
      </c>
    </row>
    <row r="104">
      <c r="A104" s="28">
        <v>44958.0</v>
      </c>
      <c r="B104" s="29">
        <f t="shared" si="1"/>
        <v>5</v>
      </c>
      <c r="C104" s="29" t="s">
        <v>94</v>
      </c>
      <c r="D104" s="29">
        <v>0.0</v>
      </c>
    </row>
    <row r="105">
      <c r="A105" s="28">
        <v>44958.0</v>
      </c>
      <c r="B105" s="29">
        <f t="shared" si="1"/>
        <v>5</v>
      </c>
      <c r="C105" s="29" t="s">
        <v>95</v>
      </c>
      <c r="D105" s="29">
        <v>0.0</v>
      </c>
    </row>
    <row r="106">
      <c r="A106" s="28">
        <v>44958.0</v>
      </c>
      <c r="B106" s="29">
        <f t="shared" si="1"/>
        <v>5</v>
      </c>
      <c r="C106" s="29" t="s">
        <v>96</v>
      </c>
      <c r="D106" s="29">
        <v>219.0</v>
      </c>
    </row>
    <row r="107">
      <c r="A107" s="28">
        <v>44958.0</v>
      </c>
      <c r="B107" s="29">
        <f t="shared" si="1"/>
        <v>5</v>
      </c>
      <c r="C107" s="29" t="s">
        <v>97</v>
      </c>
      <c r="D107" s="29">
        <v>2998.0</v>
      </c>
    </row>
    <row r="108">
      <c r="A108" s="28">
        <v>44958.0</v>
      </c>
      <c r="B108" s="29">
        <f t="shared" si="1"/>
        <v>5</v>
      </c>
      <c r="C108" s="29" t="s">
        <v>98</v>
      </c>
      <c r="D108" s="29"/>
    </row>
    <row r="109">
      <c r="A109" s="28">
        <v>44958.0</v>
      </c>
      <c r="B109" s="29">
        <f t="shared" si="1"/>
        <v>5</v>
      </c>
      <c r="C109" s="29" t="s">
        <v>99</v>
      </c>
      <c r="D109" s="29"/>
    </row>
    <row r="110">
      <c r="A110" s="28">
        <v>44958.0</v>
      </c>
      <c r="B110" s="29">
        <f t="shared" si="1"/>
        <v>5</v>
      </c>
      <c r="C110" s="29" t="s">
        <v>100</v>
      </c>
      <c r="D110" s="29"/>
    </row>
    <row r="111">
      <c r="A111" s="28">
        <v>44965.0</v>
      </c>
      <c r="B111" s="29">
        <f t="shared" si="1"/>
        <v>6</v>
      </c>
      <c r="C111" s="29" t="s">
        <v>101</v>
      </c>
      <c r="D111" s="29">
        <v>6283.0</v>
      </c>
    </row>
    <row r="112">
      <c r="A112" s="28">
        <v>44965.0</v>
      </c>
      <c r="B112" s="29">
        <f t="shared" si="1"/>
        <v>6</v>
      </c>
      <c r="C112" s="29" t="s">
        <v>80</v>
      </c>
      <c r="D112" s="29">
        <v>1889.0</v>
      </c>
    </row>
    <row r="113">
      <c r="A113" s="28">
        <v>44965.0</v>
      </c>
      <c r="B113" s="29">
        <f t="shared" si="1"/>
        <v>6</v>
      </c>
      <c r="C113" s="29" t="s">
        <v>81</v>
      </c>
      <c r="D113" s="29">
        <v>0.0</v>
      </c>
    </row>
    <row r="114">
      <c r="A114" s="28">
        <v>44965.0</v>
      </c>
      <c r="B114" s="29">
        <f t="shared" si="1"/>
        <v>6</v>
      </c>
      <c r="C114" s="29" t="s">
        <v>82</v>
      </c>
      <c r="D114" s="29">
        <v>0.0</v>
      </c>
    </row>
    <row r="115">
      <c r="A115" s="28">
        <v>44965.0</v>
      </c>
      <c r="B115" s="29">
        <f t="shared" si="1"/>
        <v>6</v>
      </c>
      <c r="C115" s="29" t="s">
        <v>83</v>
      </c>
      <c r="D115" s="29">
        <v>1488.0</v>
      </c>
    </row>
    <row r="116">
      <c r="A116" s="28">
        <v>44965.0</v>
      </c>
      <c r="B116" s="29">
        <f t="shared" si="1"/>
        <v>6</v>
      </c>
      <c r="C116" s="29" t="s">
        <v>84</v>
      </c>
      <c r="D116" s="29">
        <v>872.0</v>
      </c>
    </row>
    <row r="117">
      <c r="A117" s="28">
        <v>44965.0</v>
      </c>
      <c r="B117" s="29">
        <f t="shared" si="1"/>
        <v>6</v>
      </c>
      <c r="C117" s="29" t="s">
        <v>85</v>
      </c>
      <c r="D117" s="29">
        <v>140.0</v>
      </c>
    </row>
    <row r="118">
      <c r="A118" s="28">
        <v>44965.0</v>
      </c>
      <c r="B118" s="29">
        <f t="shared" si="1"/>
        <v>6</v>
      </c>
      <c r="C118" s="29" t="s">
        <v>86</v>
      </c>
      <c r="D118" s="29">
        <v>0.0</v>
      </c>
    </row>
    <row r="119">
      <c r="A119" s="28">
        <v>44965.0</v>
      </c>
      <c r="B119" s="29">
        <f t="shared" si="1"/>
        <v>6</v>
      </c>
      <c r="C119" s="29" t="s">
        <v>87</v>
      </c>
      <c r="D119" s="29"/>
    </row>
    <row r="120">
      <c r="A120" s="28">
        <v>44965.0</v>
      </c>
      <c r="B120" s="29">
        <f t="shared" si="1"/>
        <v>6</v>
      </c>
      <c r="C120" s="29" t="s">
        <v>88</v>
      </c>
      <c r="D120" s="29">
        <v>531.0</v>
      </c>
    </row>
    <row r="121">
      <c r="A121" s="28">
        <v>44965.0</v>
      </c>
      <c r="B121" s="29">
        <f t="shared" si="1"/>
        <v>6</v>
      </c>
      <c r="C121" s="29" t="s">
        <v>89</v>
      </c>
      <c r="D121" s="29">
        <v>1176.0</v>
      </c>
    </row>
    <row r="122">
      <c r="A122" s="28">
        <v>44965.0</v>
      </c>
      <c r="B122" s="29">
        <f t="shared" si="1"/>
        <v>6</v>
      </c>
      <c r="C122" s="29" t="s">
        <v>90</v>
      </c>
      <c r="D122" s="29">
        <v>187.0</v>
      </c>
    </row>
    <row r="123">
      <c r="A123" s="28">
        <v>44965.0</v>
      </c>
      <c r="B123" s="29">
        <f t="shared" si="1"/>
        <v>6</v>
      </c>
      <c r="C123" s="29" t="s">
        <v>91</v>
      </c>
      <c r="D123" s="29"/>
    </row>
    <row r="124">
      <c r="A124" s="28">
        <v>44965.0</v>
      </c>
      <c r="B124" s="29">
        <f t="shared" si="1"/>
        <v>6</v>
      </c>
      <c r="C124" s="29" t="s">
        <v>92</v>
      </c>
      <c r="D124" s="29">
        <v>0.0</v>
      </c>
    </row>
    <row r="125">
      <c r="A125" s="28">
        <v>44965.0</v>
      </c>
      <c r="B125" s="29">
        <f t="shared" si="1"/>
        <v>6</v>
      </c>
      <c r="C125" s="29" t="s">
        <v>93</v>
      </c>
      <c r="D125" s="29">
        <v>0.0</v>
      </c>
    </row>
    <row r="126">
      <c r="A126" s="28">
        <v>44965.0</v>
      </c>
      <c r="B126" s="29">
        <f t="shared" si="1"/>
        <v>6</v>
      </c>
      <c r="C126" s="29" t="s">
        <v>94</v>
      </c>
      <c r="D126" s="29">
        <v>0.0</v>
      </c>
    </row>
    <row r="127">
      <c r="A127" s="28">
        <v>44965.0</v>
      </c>
      <c r="B127" s="29">
        <f t="shared" si="1"/>
        <v>6</v>
      </c>
      <c r="C127" s="29" t="s">
        <v>95</v>
      </c>
      <c r="D127" s="29">
        <v>0.0</v>
      </c>
    </row>
    <row r="128">
      <c r="A128" s="28">
        <v>44965.0</v>
      </c>
      <c r="B128" s="29">
        <f t="shared" si="1"/>
        <v>6</v>
      </c>
      <c r="C128" s="29" t="s">
        <v>96</v>
      </c>
      <c r="D128" s="29"/>
    </row>
    <row r="129">
      <c r="A129" s="28">
        <v>44965.0</v>
      </c>
      <c r="B129" s="29">
        <f t="shared" si="1"/>
        <v>6</v>
      </c>
      <c r="C129" s="29" t="s">
        <v>97</v>
      </c>
      <c r="D129" s="29"/>
    </row>
    <row r="130">
      <c r="A130" s="28">
        <v>44965.0</v>
      </c>
      <c r="B130" s="29">
        <f t="shared" si="1"/>
        <v>6</v>
      </c>
      <c r="C130" s="29" t="s">
        <v>98</v>
      </c>
      <c r="D130" s="29"/>
    </row>
    <row r="131">
      <c r="A131" s="28">
        <v>44965.0</v>
      </c>
      <c r="B131" s="29">
        <f t="shared" si="1"/>
        <v>6</v>
      </c>
      <c r="C131" s="29" t="s">
        <v>99</v>
      </c>
      <c r="D131" s="29"/>
    </row>
    <row r="132">
      <c r="A132" s="28">
        <v>44965.0</v>
      </c>
      <c r="B132" s="29">
        <f t="shared" si="1"/>
        <v>6</v>
      </c>
      <c r="C132" s="29" t="s">
        <v>100</v>
      </c>
      <c r="D132" s="29"/>
    </row>
    <row r="133">
      <c r="A133" s="28">
        <v>44972.0</v>
      </c>
      <c r="B133" s="29">
        <f t="shared" si="1"/>
        <v>7</v>
      </c>
      <c r="C133" s="29" t="s">
        <v>101</v>
      </c>
      <c r="D133" s="29">
        <v>17340.0</v>
      </c>
    </row>
    <row r="134">
      <c r="A134" s="28">
        <v>44972.0</v>
      </c>
      <c r="B134" s="29">
        <f t="shared" si="1"/>
        <v>7</v>
      </c>
      <c r="C134" s="29" t="s">
        <v>80</v>
      </c>
      <c r="D134" s="29">
        <v>2637.0</v>
      </c>
    </row>
    <row r="135">
      <c r="A135" s="28">
        <v>44972.0</v>
      </c>
      <c r="B135" s="29">
        <f t="shared" si="1"/>
        <v>7</v>
      </c>
      <c r="C135" s="29" t="s">
        <v>81</v>
      </c>
      <c r="D135" s="29">
        <v>0.0</v>
      </c>
    </row>
    <row r="136">
      <c r="A136" s="28">
        <v>44972.0</v>
      </c>
      <c r="B136" s="29">
        <f t="shared" si="1"/>
        <v>7</v>
      </c>
      <c r="C136" s="29" t="s">
        <v>82</v>
      </c>
      <c r="D136" s="29">
        <v>0.0</v>
      </c>
    </row>
    <row r="137">
      <c r="A137" s="28">
        <v>44972.0</v>
      </c>
      <c r="B137" s="29">
        <f t="shared" si="1"/>
        <v>7</v>
      </c>
      <c r="C137" s="29" t="s">
        <v>83</v>
      </c>
      <c r="D137" s="29">
        <v>2342.0</v>
      </c>
    </row>
    <row r="138">
      <c r="A138" s="28">
        <v>44972.0</v>
      </c>
      <c r="B138" s="29">
        <f t="shared" si="1"/>
        <v>7</v>
      </c>
      <c r="C138" s="29" t="s">
        <v>84</v>
      </c>
      <c r="D138" s="29">
        <v>1292.0</v>
      </c>
    </row>
    <row r="139">
      <c r="A139" s="28">
        <v>44972.0</v>
      </c>
      <c r="B139" s="29">
        <f t="shared" si="1"/>
        <v>7</v>
      </c>
      <c r="C139" s="29" t="s">
        <v>85</v>
      </c>
      <c r="D139" s="29">
        <v>269.0</v>
      </c>
    </row>
    <row r="140">
      <c r="A140" s="28">
        <v>44972.0</v>
      </c>
      <c r="B140" s="29">
        <f t="shared" si="1"/>
        <v>7</v>
      </c>
      <c r="C140" s="29" t="s">
        <v>86</v>
      </c>
      <c r="D140" s="29">
        <v>0.0</v>
      </c>
    </row>
    <row r="141">
      <c r="A141" s="28">
        <v>44972.0</v>
      </c>
      <c r="B141" s="29">
        <f t="shared" si="1"/>
        <v>7</v>
      </c>
      <c r="C141" s="29" t="s">
        <v>87</v>
      </c>
      <c r="D141" s="29"/>
    </row>
    <row r="142">
      <c r="A142" s="28">
        <v>44972.0</v>
      </c>
      <c r="B142" s="29">
        <f t="shared" si="1"/>
        <v>7</v>
      </c>
      <c r="C142" s="29" t="s">
        <v>88</v>
      </c>
      <c r="D142" s="29">
        <v>479.0</v>
      </c>
    </row>
    <row r="143">
      <c r="A143" s="28">
        <v>44972.0</v>
      </c>
      <c r="B143" s="29">
        <f t="shared" si="1"/>
        <v>7</v>
      </c>
      <c r="C143" s="29" t="s">
        <v>89</v>
      </c>
      <c r="D143" s="29">
        <v>855.0</v>
      </c>
    </row>
    <row r="144">
      <c r="A144" s="28">
        <v>44972.0</v>
      </c>
      <c r="B144" s="29">
        <f t="shared" si="1"/>
        <v>7</v>
      </c>
      <c r="C144" s="29" t="s">
        <v>90</v>
      </c>
      <c r="D144" s="29">
        <v>191.0</v>
      </c>
    </row>
    <row r="145">
      <c r="A145" s="28">
        <v>44972.0</v>
      </c>
      <c r="B145" s="29">
        <f t="shared" si="1"/>
        <v>7</v>
      </c>
      <c r="C145" s="29" t="s">
        <v>91</v>
      </c>
      <c r="D145" s="29">
        <v>4485.0</v>
      </c>
    </row>
    <row r="146">
      <c r="A146" s="28">
        <v>44972.0</v>
      </c>
      <c r="B146" s="29">
        <f t="shared" si="1"/>
        <v>7</v>
      </c>
      <c r="C146" s="29" t="s">
        <v>92</v>
      </c>
      <c r="D146" s="29">
        <v>0.0</v>
      </c>
    </row>
    <row r="147">
      <c r="A147" s="28">
        <v>44972.0</v>
      </c>
      <c r="B147" s="29">
        <f t="shared" si="1"/>
        <v>7</v>
      </c>
      <c r="C147" s="29" t="s">
        <v>93</v>
      </c>
      <c r="D147" s="29">
        <v>0.0</v>
      </c>
    </row>
    <row r="148">
      <c r="A148" s="28">
        <v>44972.0</v>
      </c>
      <c r="B148" s="29">
        <f t="shared" si="1"/>
        <v>7</v>
      </c>
      <c r="C148" s="29" t="s">
        <v>94</v>
      </c>
      <c r="D148" s="29">
        <v>0.0</v>
      </c>
    </row>
    <row r="149">
      <c r="A149" s="28">
        <v>44972.0</v>
      </c>
      <c r="B149" s="29">
        <f t="shared" si="1"/>
        <v>7</v>
      </c>
      <c r="C149" s="29" t="s">
        <v>95</v>
      </c>
      <c r="D149" s="29">
        <v>0.0</v>
      </c>
    </row>
    <row r="150">
      <c r="A150" s="28">
        <v>44972.0</v>
      </c>
      <c r="B150" s="29">
        <f t="shared" si="1"/>
        <v>7</v>
      </c>
      <c r="C150" s="29" t="s">
        <v>96</v>
      </c>
      <c r="D150" s="29">
        <v>305.0</v>
      </c>
    </row>
    <row r="151">
      <c r="A151" s="28">
        <v>44972.0</v>
      </c>
      <c r="B151" s="29">
        <f t="shared" si="1"/>
        <v>7</v>
      </c>
      <c r="C151" s="29" t="s">
        <v>97</v>
      </c>
      <c r="D151" s="29">
        <v>4485.0</v>
      </c>
    </row>
    <row r="152">
      <c r="A152" s="28">
        <v>44972.0</v>
      </c>
      <c r="B152" s="29">
        <f t="shared" si="1"/>
        <v>7</v>
      </c>
      <c r="C152" s="29" t="s">
        <v>98</v>
      </c>
      <c r="D152" s="29"/>
    </row>
    <row r="153">
      <c r="A153" s="28">
        <v>44972.0</v>
      </c>
      <c r="B153" s="29">
        <f t="shared" si="1"/>
        <v>7</v>
      </c>
      <c r="C153" s="29" t="s">
        <v>99</v>
      </c>
      <c r="D153" s="29"/>
    </row>
    <row r="154">
      <c r="A154" s="28">
        <v>44972.0</v>
      </c>
      <c r="B154" s="29">
        <f t="shared" si="1"/>
        <v>7</v>
      </c>
      <c r="C154" s="29" t="s">
        <v>100</v>
      </c>
      <c r="D154" s="29"/>
    </row>
    <row r="155">
      <c r="A155" s="28">
        <v>44979.0</v>
      </c>
      <c r="B155" s="29">
        <f t="shared" si="1"/>
        <v>8</v>
      </c>
      <c r="C155" s="29" t="s">
        <v>101</v>
      </c>
      <c r="D155" s="29">
        <v>9385.0</v>
      </c>
    </row>
    <row r="156">
      <c r="A156" s="28">
        <v>44979.0</v>
      </c>
      <c r="B156" s="29">
        <f t="shared" si="1"/>
        <v>8</v>
      </c>
      <c r="C156" s="29" t="s">
        <v>80</v>
      </c>
      <c r="D156" s="29">
        <v>2195.0</v>
      </c>
    </row>
    <row r="157">
      <c r="A157" s="28">
        <v>44979.0</v>
      </c>
      <c r="B157" s="29">
        <f t="shared" si="1"/>
        <v>8</v>
      </c>
      <c r="C157" s="29" t="s">
        <v>81</v>
      </c>
      <c r="D157" s="29">
        <v>0.0</v>
      </c>
    </row>
    <row r="158">
      <c r="A158" s="28">
        <v>44979.0</v>
      </c>
      <c r="B158" s="29">
        <f t="shared" si="1"/>
        <v>8</v>
      </c>
      <c r="C158" s="29" t="s">
        <v>82</v>
      </c>
      <c r="D158" s="29">
        <v>0.0</v>
      </c>
    </row>
    <row r="159">
      <c r="A159" s="28">
        <v>44979.0</v>
      </c>
      <c r="B159" s="29">
        <f t="shared" si="1"/>
        <v>8</v>
      </c>
      <c r="C159" s="29" t="s">
        <v>83</v>
      </c>
      <c r="D159" s="29">
        <v>2462.0</v>
      </c>
    </row>
    <row r="160">
      <c r="A160" s="28">
        <v>44979.0</v>
      </c>
      <c r="B160" s="29">
        <f t="shared" si="1"/>
        <v>8</v>
      </c>
      <c r="C160" s="29" t="s">
        <v>84</v>
      </c>
      <c r="D160" s="29">
        <v>1513.0</v>
      </c>
    </row>
    <row r="161">
      <c r="A161" s="28">
        <v>44979.0</v>
      </c>
      <c r="B161" s="29">
        <f t="shared" si="1"/>
        <v>8</v>
      </c>
      <c r="C161" s="29" t="s">
        <v>85</v>
      </c>
      <c r="D161" s="29">
        <v>72.0</v>
      </c>
    </row>
    <row r="162">
      <c r="A162" s="28">
        <v>44979.0</v>
      </c>
      <c r="B162" s="29">
        <f t="shared" si="1"/>
        <v>8</v>
      </c>
      <c r="C162" s="29" t="s">
        <v>86</v>
      </c>
      <c r="D162" s="29">
        <v>0.0</v>
      </c>
    </row>
    <row r="163">
      <c r="A163" s="28">
        <v>44979.0</v>
      </c>
      <c r="B163" s="29">
        <f t="shared" si="1"/>
        <v>8</v>
      </c>
      <c r="C163" s="29" t="s">
        <v>87</v>
      </c>
      <c r="D163" s="29"/>
    </row>
    <row r="164">
      <c r="A164" s="28">
        <v>44979.0</v>
      </c>
      <c r="B164" s="29">
        <f t="shared" si="1"/>
        <v>8</v>
      </c>
      <c r="C164" s="29" t="s">
        <v>88</v>
      </c>
      <c r="D164" s="29">
        <v>618.0</v>
      </c>
    </row>
    <row r="165">
      <c r="A165" s="28">
        <v>44979.0</v>
      </c>
      <c r="B165" s="29">
        <f t="shared" si="1"/>
        <v>8</v>
      </c>
      <c r="C165" s="29" t="s">
        <v>89</v>
      </c>
      <c r="D165" s="29">
        <v>792.0</v>
      </c>
    </row>
    <row r="166">
      <c r="A166" s="28">
        <v>44979.0</v>
      </c>
      <c r="B166" s="29">
        <f t="shared" si="1"/>
        <v>8</v>
      </c>
      <c r="C166" s="29" t="s">
        <v>90</v>
      </c>
      <c r="D166" s="29">
        <v>103.0</v>
      </c>
    </row>
    <row r="167">
      <c r="A167" s="28">
        <v>44979.0</v>
      </c>
      <c r="B167" s="29">
        <f t="shared" si="1"/>
        <v>8</v>
      </c>
      <c r="C167" s="29" t="s">
        <v>91</v>
      </c>
      <c r="D167" s="29">
        <v>200.0</v>
      </c>
    </row>
    <row r="168">
      <c r="A168" s="28">
        <v>44979.0</v>
      </c>
      <c r="B168" s="29">
        <f t="shared" si="1"/>
        <v>8</v>
      </c>
      <c r="C168" s="29" t="s">
        <v>92</v>
      </c>
      <c r="D168" s="29">
        <v>0.0</v>
      </c>
    </row>
    <row r="169">
      <c r="A169" s="28">
        <v>44979.0</v>
      </c>
      <c r="B169" s="29">
        <f t="shared" si="1"/>
        <v>8</v>
      </c>
      <c r="C169" s="29" t="s">
        <v>93</v>
      </c>
      <c r="D169" s="29">
        <v>0.0</v>
      </c>
    </row>
    <row r="170">
      <c r="A170" s="28">
        <v>44979.0</v>
      </c>
      <c r="B170" s="29">
        <f t="shared" si="1"/>
        <v>8</v>
      </c>
      <c r="C170" s="29" t="s">
        <v>94</v>
      </c>
      <c r="D170" s="29">
        <v>0.0</v>
      </c>
    </row>
    <row r="171">
      <c r="A171" s="28">
        <v>44979.0</v>
      </c>
      <c r="B171" s="29">
        <f t="shared" si="1"/>
        <v>8</v>
      </c>
      <c r="C171" s="29" t="s">
        <v>95</v>
      </c>
      <c r="D171" s="29">
        <v>0.0</v>
      </c>
    </row>
    <row r="172">
      <c r="A172" s="28">
        <v>44979.0</v>
      </c>
      <c r="B172" s="29">
        <f t="shared" si="1"/>
        <v>8</v>
      </c>
      <c r="C172" s="29" t="s">
        <v>96</v>
      </c>
      <c r="D172" s="29">
        <v>1230.0</v>
      </c>
    </row>
    <row r="173">
      <c r="A173" s="28">
        <v>44979.0</v>
      </c>
      <c r="B173" s="29">
        <f t="shared" si="1"/>
        <v>8</v>
      </c>
      <c r="C173" s="29" t="s">
        <v>97</v>
      </c>
      <c r="D173" s="29">
        <v>200.0</v>
      </c>
    </row>
    <row r="174">
      <c r="A174" s="28">
        <v>44979.0</v>
      </c>
      <c r="B174" s="29">
        <f t="shared" si="1"/>
        <v>8</v>
      </c>
      <c r="C174" s="29" t="s">
        <v>98</v>
      </c>
      <c r="D174" s="29"/>
    </row>
    <row r="175">
      <c r="A175" s="28">
        <v>44979.0</v>
      </c>
      <c r="B175" s="29">
        <f t="shared" si="1"/>
        <v>8</v>
      </c>
      <c r="C175" s="29" t="s">
        <v>99</v>
      </c>
      <c r="D175" s="29"/>
    </row>
    <row r="176">
      <c r="A176" s="28">
        <v>44979.0</v>
      </c>
      <c r="B176" s="29">
        <f t="shared" si="1"/>
        <v>8</v>
      </c>
      <c r="C176" s="29" t="s">
        <v>100</v>
      </c>
      <c r="D176" s="29"/>
    </row>
    <row r="177">
      <c r="A177" s="28">
        <v>44986.0</v>
      </c>
      <c r="B177" s="29">
        <f t="shared" si="1"/>
        <v>9</v>
      </c>
      <c r="C177" s="29" t="s">
        <v>101</v>
      </c>
      <c r="D177" s="29">
        <v>6780.0</v>
      </c>
    </row>
    <row r="178">
      <c r="A178" s="28">
        <v>44986.0</v>
      </c>
      <c r="B178" s="29">
        <f t="shared" si="1"/>
        <v>9</v>
      </c>
      <c r="C178" s="29" t="s">
        <v>80</v>
      </c>
      <c r="D178" s="29">
        <v>1251.0</v>
      </c>
    </row>
    <row r="179">
      <c r="A179" s="28">
        <v>44986.0</v>
      </c>
      <c r="B179" s="29">
        <f t="shared" si="1"/>
        <v>9</v>
      </c>
      <c r="C179" s="29" t="s">
        <v>81</v>
      </c>
      <c r="D179" s="29">
        <v>0.0</v>
      </c>
    </row>
    <row r="180">
      <c r="A180" s="28">
        <v>44986.0</v>
      </c>
      <c r="B180" s="29">
        <f t="shared" si="1"/>
        <v>9</v>
      </c>
      <c r="C180" s="29" t="s">
        <v>82</v>
      </c>
      <c r="D180" s="29">
        <v>0.0</v>
      </c>
    </row>
    <row r="181">
      <c r="A181" s="28">
        <v>44986.0</v>
      </c>
      <c r="B181" s="29">
        <f t="shared" si="1"/>
        <v>9</v>
      </c>
      <c r="C181" s="29" t="s">
        <v>83</v>
      </c>
      <c r="D181" s="29">
        <v>2243.0</v>
      </c>
    </row>
    <row r="182">
      <c r="A182" s="28">
        <v>44986.0</v>
      </c>
      <c r="B182" s="29">
        <f t="shared" si="1"/>
        <v>9</v>
      </c>
      <c r="C182" s="29" t="s">
        <v>84</v>
      </c>
      <c r="D182" s="29">
        <v>885.0</v>
      </c>
    </row>
    <row r="183">
      <c r="A183" s="28">
        <v>44986.0</v>
      </c>
      <c r="B183" s="29">
        <f t="shared" si="1"/>
        <v>9</v>
      </c>
      <c r="C183" s="29" t="s">
        <v>85</v>
      </c>
      <c r="D183" s="29">
        <v>498.0</v>
      </c>
    </row>
    <row r="184">
      <c r="A184" s="28">
        <v>44986.0</v>
      </c>
      <c r="B184" s="29">
        <f t="shared" si="1"/>
        <v>9</v>
      </c>
      <c r="C184" s="29" t="s">
        <v>86</v>
      </c>
      <c r="D184" s="29">
        <v>0.0</v>
      </c>
    </row>
    <row r="185">
      <c r="A185" s="28">
        <v>44986.0</v>
      </c>
      <c r="B185" s="29">
        <f t="shared" si="1"/>
        <v>9</v>
      </c>
      <c r="C185" s="29" t="s">
        <v>87</v>
      </c>
      <c r="D185" s="29"/>
    </row>
    <row r="186">
      <c r="A186" s="28">
        <v>44986.0</v>
      </c>
      <c r="B186" s="29">
        <f t="shared" si="1"/>
        <v>9</v>
      </c>
      <c r="C186" s="29" t="s">
        <v>88</v>
      </c>
      <c r="D186" s="29">
        <v>958.0</v>
      </c>
    </row>
    <row r="187">
      <c r="A187" s="28">
        <v>44986.0</v>
      </c>
      <c r="B187" s="29">
        <f t="shared" si="1"/>
        <v>9</v>
      </c>
      <c r="C187" s="29" t="s">
        <v>89</v>
      </c>
      <c r="D187" s="29">
        <v>350.0</v>
      </c>
    </row>
    <row r="188">
      <c r="A188" s="28">
        <v>44986.0</v>
      </c>
      <c r="B188" s="29">
        <f t="shared" si="1"/>
        <v>9</v>
      </c>
      <c r="C188" s="29" t="s">
        <v>90</v>
      </c>
      <c r="D188" s="29">
        <v>159.0</v>
      </c>
    </row>
    <row r="189">
      <c r="A189" s="28">
        <v>44986.0</v>
      </c>
      <c r="B189" s="29">
        <f t="shared" si="1"/>
        <v>9</v>
      </c>
      <c r="C189" s="29" t="s">
        <v>91</v>
      </c>
      <c r="D189" s="29"/>
    </row>
    <row r="190">
      <c r="A190" s="28">
        <v>44986.0</v>
      </c>
      <c r="B190" s="29">
        <f t="shared" si="1"/>
        <v>9</v>
      </c>
      <c r="C190" s="29" t="s">
        <v>92</v>
      </c>
      <c r="D190" s="29">
        <v>0.0</v>
      </c>
    </row>
    <row r="191">
      <c r="A191" s="28">
        <v>44986.0</v>
      </c>
      <c r="B191" s="29">
        <f t="shared" si="1"/>
        <v>9</v>
      </c>
      <c r="C191" s="29" t="s">
        <v>93</v>
      </c>
      <c r="D191" s="29">
        <v>0.0</v>
      </c>
    </row>
    <row r="192">
      <c r="A192" s="28">
        <v>44986.0</v>
      </c>
      <c r="B192" s="29">
        <f t="shared" si="1"/>
        <v>9</v>
      </c>
      <c r="C192" s="29" t="s">
        <v>94</v>
      </c>
      <c r="D192" s="29">
        <v>0.0</v>
      </c>
    </row>
    <row r="193">
      <c r="A193" s="28">
        <v>44986.0</v>
      </c>
      <c r="B193" s="29">
        <f t="shared" si="1"/>
        <v>9</v>
      </c>
      <c r="C193" s="29" t="s">
        <v>95</v>
      </c>
      <c r="D193" s="29">
        <v>0.0</v>
      </c>
    </row>
    <row r="194">
      <c r="A194" s="28">
        <v>44986.0</v>
      </c>
      <c r="B194" s="29">
        <f t="shared" si="1"/>
        <v>9</v>
      </c>
      <c r="C194" s="29" t="s">
        <v>96</v>
      </c>
      <c r="D194" s="29">
        <v>436.0</v>
      </c>
    </row>
    <row r="195">
      <c r="A195" s="28">
        <v>44986.0</v>
      </c>
      <c r="B195" s="29">
        <f t="shared" si="1"/>
        <v>9</v>
      </c>
      <c r="C195" s="29" t="s">
        <v>97</v>
      </c>
      <c r="D195" s="29"/>
    </row>
    <row r="196">
      <c r="A196" s="28">
        <v>44986.0</v>
      </c>
      <c r="B196" s="29">
        <f t="shared" si="1"/>
        <v>9</v>
      </c>
      <c r="C196" s="29" t="s">
        <v>98</v>
      </c>
      <c r="D196" s="29"/>
    </row>
    <row r="197">
      <c r="A197" s="28">
        <v>44986.0</v>
      </c>
      <c r="B197" s="29">
        <f t="shared" si="1"/>
        <v>9</v>
      </c>
      <c r="C197" s="29" t="s">
        <v>99</v>
      </c>
      <c r="D197" s="29"/>
    </row>
    <row r="198">
      <c r="A198" s="28">
        <v>44986.0</v>
      </c>
      <c r="B198" s="29">
        <f t="shared" si="1"/>
        <v>9</v>
      </c>
      <c r="C198" s="29" t="s">
        <v>100</v>
      </c>
      <c r="D198" s="29"/>
    </row>
    <row r="199">
      <c r="A199" s="28">
        <v>44993.0</v>
      </c>
      <c r="B199" s="29">
        <f t="shared" si="1"/>
        <v>10</v>
      </c>
      <c r="C199" s="29" t="s">
        <v>101</v>
      </c>
      <c r="D199" s="29">
        <v>6593.0</v>
      </c>
    </row>
    <row r="200">
      <c r="A200" s="28">
        <v>44993.0</v>
      </c>
      <c r="B200" s="29">
        <f t="shared" si="1"/>
        <v>10</v>
      </c>
      <c r="C200" s="29" t="s">
        <v>80</v>
      </c>
      <c r="D200" s="29">
        <v>1334.0</v>
      </c>
    </row>
    <row r="201">
      <c r="A201" s="28">
        <v>44993.0</v>
      </c>
      <c r="B201" s="29">
        <f t="shared" si="1"/>
        <v>10</v>
      </c>
      <c r="C201" s="2" t="s">
        <v>81</v>
      </c>
      <c r="D201" s="2">
        <v>0.0</v>
      </c>
    </row>
    <row r="202">
      <c r="A202" s="28">
        <v>44993.0</v>
      </c>
      <c r="B202" s="29">
        <f t="shared" si="1"/>
        <v>10</v>
      </c>
      <c r="C202" s="2" t="s">
        <v>82</v>
      </c>
      <c r="D202" s="2">
        <v>0.0</v>
      </c>
    </row>
    <row r="203">
      <c r="A203" s="28">
        <v>44993.0</v>
      </c>
      <c r="B203" s="29">
        <f t="shared" si="1"/>
        <v>10</v>
      </c>
      <c r="C203" s="2" t="s">
        <v>83</v>
      </c>
      <c r="D203" s="2">
        <v>2572.0</v>
      </c>
    </row>
    <row r="204">
      <c r="A204" s="28">
        <v>44993.0</v>
      </c>
      <c r="B204" s="29">
        <f t="shared" si="1"/>
        <v>10</v>
      </c>
      <c r="C204" s="2" t="s">
        <v>84</v>
      </c>
      <c r="D204" s="2">
        <v>1075.0</v>
      </c>
    </row>
    <row r="205">
      <c r="A205" s="28">
        <v>44993.0</v>
      </c>
      <c r="B205" s="29">
        <f t="shared" si="1"/>
        <v>10</v>
      </c>
      <c r="C205" s="2" t="s">
        <v>85</v>
      </c>
      <c r="D205" s="2">
        <v>220.0</v>
      </c>
    </row>
    <row r="206">
      <c r="A206" s="28">
        <v>44993.0</v>
      </c>
      <c r="B206" s="29">
        <f t="shared" si="1"/>
        <v>10</v>
      </c>
      <c r="C206" s="2" t="s">
        <v>86</v>
      </c>
      <c r="D206" s="2">
        <v>0.0</v>
      </c>
    </row>
    <row r="207">
      <c r="A207" s="28">
        <v>44993.0</v>
      </c>
      <c r="B207" s="29">
        <f t="shared" si="1"/>
        <v>10</v>
      </c>
      <c r="C207" s="2" t="s">
        <v>87</v>
      </c>
    </row>
    <row r="208">
      <c r="A208" s="28">
        <v>44993.0</v>
      </c>
      <c r="B208" s="29">
        <f t="shared" si="1"/>
        <v>10</v>
      </c>
      <c r="C208" s="2" t="s">
        <v>88</v>
      </c>
      <c r="D208" s="2">
        <v>313.0</v>
      </c>
    </row>
    <row r="209">
      <c r="A209" s="28">
        <v>44993.0</v>
      </c>
      <c r="B209" s="29">
        <f t="shared" si="1"/>
        <v>10</v>
      </c>
      <c r="C209" s="2" t="s">
        <v>89</v>
      </c>
      <c r="D209" s="2">
        <v>326.0</v>
      </c>
    </row>
    <row r="210">
      <c r="A210" s="28">
        <v>44993.0</v>
      </c>
      <c r="B210" s="29">
        <f t="shared" si="1"/>
        <v>10</v>
      </c>
      <c r="C210" s="2" t="s">
        <v>90</v>
      </c>
      <c r="D210" s="2">
        <v>217.0</v>
      </c>
    </row>
    <row r="211">
      <c r="A211" s="28">
        <v>44993.0</v>
      </c>
      <c r="B211" s="29">
        <f t="shared" si="1"/>
        <v>10</v>
      </c>
      <c r="C211" s="2" t="s">
        <v>91</v>
      </c>
    </row>
    <row r="212">
      <c r="A212" s="28">
        <v>44993.0</v>
      </c>
      <c r="B212" s="29">
        <f t="shared" si="1"/>
        <v>10</v>
      </c>
      <c r="C212" s="2" t="s">
        <v>92</v>
      </c>
      <c r="D212" s="2">
        <v>0.0</v>
      </c>
    </row>
    <row r="213">
      <c r="A213" s="28">
        <v>44993.0</v>
      </c>
      <c r="B213" s="29">
        <f t="shared" si="1"/>
        <v>10</v>
      </c>
      <c r="C213" s="2" t="s">
        <v>93</v>
      </c>
      <c r="D213" s="2">
        <v>0.0</v>
      </c>
    </row>
    <row r="214">
      <c r="A214" s="28">
        <v>44993.0</v>
      </c>
      <c r="B214" s="29">
        <f t="shared" si="1"/>
        <v>10</v>
      </c>
      <c r="C214" s="2" t="s">
        <v>94</v>
      </c>
      <c r="D214" s="2">
        <v>0.0</v>
      </c>
    </row>
    <row r="215">
      <c r="A215" s="28">
        <v>44993.0</v>
      </c>
      <c r="B215" s="29">
        <f t="shared" si="1"/>
        <v>10</v>
      </c>
      <c r="C215" s="2" t="s">
        <v>95</v>
      </c>
      <c r="D215" s="2">
        <v>0.0</v>
      </c>
    </row>
    <row r="216">
      <c r="A216" s="28">
        <v>44993.0</v>
      </c>
      <c r="B216" s="29">
        <f t="shared" si="1"/>
        <v>10</v>
      </c>
      <c r="C216" s="2" t="s">
        <v>96</v>
      </c>
      <c r="D216" s="2">
        <v>536.0</v>
      </c>
    </row>
    <row r="217">
      <c r="A217" s="28">
        <v>44993.0</v>
      </c>
      <c r="B217" s="29">
        <f t="shared" si="1"/>
        <v>10</v>
      </c>
      <c r="C217" s="2" t="s">
        <v>97</v>
      </c>
    </row>
    <row r="218">
      <c r="A218" s="28">
        <v>44993.0</v>
      </c>
      <c r="B218" s="29">
        <f t="shared" si="1"/>
        <v>10</v>
      </c>
      <c r="C218" s="2" t="s">
        <v>98</v>
      </c>
    </row>
    <row r="219">
      <c r="A219" s="28">
        <v>44993.0</v>
      </c>
      <c r="B219" s="29">
        <f t="shared" si="1"/>
        <v>10</v>
      </c>
      <c r="C219" s="2" t="s">
        <v>99</v>
      </c>
    </row>
    <row r="220">
      <c r="A220" s="28">
        <v>44993.0</v>
      </c>
      <c r="B220" s="29">
        <f t="shared" si="1"/>
        <v>10</v>
      </c>
      <c r="C220" s="2" t="s">
        <v>100</v>
      </c>
    </row>
    <row r="221">
      <c r="A221" s="28">
        <v>45000.0</v>
      </c>
      <c r="B221" s="29">
        <f t="shared" si="1"/>
        <v>11</v>
      </c>
      <c r="C221" s="2" t="s">
        <v>101</v>
      </c>
      <c r="D221" s="2">
        <v>0.0</v>
      </c>
    </row>
    <row r="222">
      <c r="A222" s="28">
        <v>45000.0</v>
      </c>
      <c r="B222" s="29">
        <f t="shared" si="1"/>
        <v>11</v>
      </c>
      <c r="C222" s="2" t="s">
        <v>80</v>
      </c>
    </row>
    <row r="223">
      <c r="A223" s="28">
        <v>45000.0</v>
      </c>
      <c r="B223" s="29">
        <f t="shared" si="1"/>
        <v>11</v>
      </c>
      <c r="C223" s="2" t="s">
        <v>81</v>
      </c>
    </row>
    <row r="224">
      <c r="A224" s="28">
        <v>45000.0</v>
      </c>
      <c r="B224" s="29">
        <f t="shared" si="1"/>
        <v>11</v>
      </c>
      <c r="C224" s="2" t="s">
        <v>82</v>
      </c>
    </row>
    <row r="225">
      <c r="A225" s="28">
        <v>45000.0</v>
      </c>
      <c r="B225" s="29">
        <f t="shared" si="1"/>
        <v>11</v>
      </c>
      <c r="C225" s="2" t="s">
        <v>83</v>
      </c>
    </row>
    <row r="226">
      <c r="A226" s="28">
        <v>45000.0</v>
      </c>
      <c r="B226" s="29">
        <f t="shared" si="1"/>
        <v>11</v>
      </c>
      <c r="C226" s="2" t="s">
        <v>84</v>
      </c>
    </row>
    <row r="227">
      <c r="A227" s="28">
        <v>45000.0</v>
      </c>
      <c r="B227" s="29">
        <f t="shared" si="1"/>
        <v>11</v>
      </c>
      <c r="C227" s="2" t="s">
        <v>85</v>
      </c>
    </row>
    <row r="228">
      <c r="A228" s="28">
        <v>45000.0</v>
      </c>
      <c r="B228" s="29">
        <f t="shared" si="1"/>
        <v>11</v>
      </c>
      <c r="C228" s="2" t="s">
        <v>86</v>
      </c>
    </row>
    <row r="229">
      <c r="A229" s="28">
        <v>45000.0</v>
      </c>
      <c r="B229" s="29">
        <f t="shared" si="1"/>
        <v>11</v>
      </c>
      <c r="C229" s="2" t="s">
        <v>87</v>
      </c>
    </row>
    <row r="230">
      <c r="A230" s="28">
        <v>45000.0</v>
      </c>
      <c r="B230" s="29">
        <f t="shared" si="1"/>
        <v>11</v>
      </c>
      <c r="C230" s="2" t="s">
        <v>88</v>
      </c>
    </row>
    <row r="231">
      <c r="A231" s="28">
        <v>45000.0</v>
      </c>
      <c r="B231" s="29">
        <f t="shared" si="1"/>
        <v>11</v>
      </c>
      <c r="C231" s="2" t="s">
        <v>89</v>
      </c>
    </row>
    <row r="232">
      <c r="A232" s="28">
        <v>45000.0</v>
      </c>
      <c r="B232" s="29">
        <f t="shared" si="1"/>
        <v>11</v>
      </c>
      <c r="C232" s="2" t="s">
        <v>90</v>
      </c>
    </row>
    <row r="233">
      <c r="A233" s="28">
        <v>45000.0</v>
      </c>
      <c r="B233" s="29">
        <f t="shared" si="1"/>
        <v>11</v>
      </c>
      <c r="C233" s="2" t="s">
        <v>91</v>
      </c>
    </row>
    <row r="234">
      <c r="A234" s="28">
        <v>45000.0</v>
      </c>
      <c r="B234" s="29">
        <f t="shared" si="1"/>
        <v>11</v>
      </c>
      <c r="C234" s="2" t="s">
        <v>92</v>
      </c>
    </row>
    <row r="235">
      <c r="A235" s="28">
        <v>45000.0</v>
      </c>
      <c r="B235" s="29">
        <f t="shared" si="1"/>
        <v>11</v>
      </c>
      <c r="C235" s="2" t="s">
        <v>93</v>
      </c>
    </row>
    <row r="236">
      <c r="A236" s="28">
        <v>45000.0</v>
      </c>
      <c r="B236" s="29">
        <f t="shared" si="1"/>
        <v>11</v>
      </c>
      <c r="C236" s="2" t="s">
        <v>94</v>
      </c>
    </row>
    <row r="237">
      <c r="A237" s="28">
        <v>45000.0</v>
      </c>
      <c r="B237" s="29">
        <f t="shared" si="1"/>
        <v>11</v>
      </c>
      <c r="C237" s="2" t="s">
        <v>95</v>
      </c>
    </row>
    <row r="238">
      <c r="A238" s="28">
        <v>45000.0</v>
      </c>
      <c r="B238" s="29">
        <f t="shared" si="1"/>
        <v>11</v>
      </c>
      <c r="C238" s="2" t="s">
        <v>96</v>
      </c>
    </row>
    <row r="239">
      <c r="A239" s="28">
        <v>45000.0</v>
      </c>
      <c r="B239" s="29">
        <f t="shared" si="1"/>
        <v>11</v>
      </c>
      <c r="C239" s="2" t="s">
        <v>97</v>
      </c>
    </row>
    <row r="240">
      <c r="A240" s="28">
        <v>45000.0</v>
      </c>
      <c r="B240" s="29">
        <f t="shared" si="1"/>
        <v>11</v>
      </c>
      <c r="C240" s="2" t="s">
        <v>98</v>
      </c>
    </row>
    <row r="241">
      <c r="A241" s="28">
        <v>45000.0</v>
      </c>
      <c r="B241" s="29">
        <f t="shared" si="1"/>
        <v>11</v>
      </c>
      <c r="C241" s="2" t="s">
        <v>99</v>
      </c>
    </row>
    <row r="242">
      <c r="A242" s="28">
        <v>45000.0</v>
      </c>
      <c r="B242" s="29">
        <f t="shared" si="1"/>
        <v>11</v>
      </c>
      <c r="C242" s="2" t="s">
        <v>100</v>
      </c>
    </row>
    <row r="243">
      <c r="A243" s="28">
        <v>45007.0</v>
      </c>
      <c r="B243" s="29">
        <f t="shared" si="1"/>
        <v>12</v>
      </c>
      <c r="C243" s="2" t="s">
        <v>101</v>
      </c>
      <c r="D243" s="2">
        <v>8681.0</v>
      </c>
    </row>
    <row r="244">
      <c r="A244" s="28">
        <v>45007.0</v>
      </c>
      <c r="B244" s="29">
        <f t="shared" si="1"/>
        <v>12</v>
      </c>
      <c r="C244" s="2" t="s">
        <v>80</v>
      </c>
      <c r="D244" s="2">
        <v>3005.0</v>
      </c>
    </row>
    <row r="245">
      <c r="A245" s="28">
        <v>45007.0</v>
      </c>
      <c r="B245" s="29">
        <f t="shared" si="1"/>
        <v>12</v>
      </c>
      <c r="C245" s="2" t="s">
        <v>81</v>
      </c>
      <c r="D245" s="2">
        <v>0.0</v>
      </c>
    </row>
    <row r="246">
      <c r="A246" s="28">
        <v>45007.0</v>
      </c>
      <c r="B246" s="29">
        <f t="shared" si="1"/>
        <v>12</v>
      </c>
      <c r="C246" s="2" t="s">
        <v>82</v>
      </c>
      <c r="D246" s="2">
        <v>0.0</v>
      </c>
    </row>
    <row r="247">
      <c r="A247" s="28">
        <v>45007.0</v>
      </c>
      <c r="B247" s="29">
        <f t="shared" si="1"/>
        <v>12</v>
      </c>
      <c r="C247" s="2" t="s">
        <v>83</v>
      </c>
      <c r="D247" s="2">
        <v>2775.0</v>
      </c>
    </row>
    <row r="248">
      <c r="A248" s="28">
        <v>45007.0</v>
      </c>
      <c r="B248" s="29">
        <f t="shared" si="1"/>
        <v>12</v>
      </c>
      <c r="C248" s="2" t="s">
        <v>84</v>
      </c>
      <c r="D248" s="2">
        <v>882.0</v>
      </c>
    </row>
    <row r="249">
      <c r="A249" s="28">
        <v>45007.0</v>
      </c>
      <c r="B249" s="29">
        <f t="shared" si="1"/>
        <v>12</v>
      </c>
      <c r="C249" s="2" t="s">
        <v>85</v>
      </c>
      <c r="D249" s="2">
        <v>433.0</v>
      </c>
    </row>
    <row r="250">
      <c r="A250" s="28">
        <v>45007.0</v>
      </c>
      <c r="B250" s="29">
        <f t="shared" si="1"/>
        <v>12</v>
      </c>
      <c r="C250" s="2" t="s">
        <v>86</v>
      </c>
      <c r="D250" s="2">
        <v>0.0</v>
      </c>
    </row>
    <row r="251">
      <c r="A251" s="28">
        <v>45007.0</v>
      </c>
      <c r="B251" s="29">
        <f t="shared" si="1"/>
        <v>12</v>
      </c>
      <c r="C251" s="2" t="s">
        <v>87</v>
      </c>
    </row>
    <row r="252">
      <c r="A252" s="28">
        <v>45007.0</v>
      </c>
      <c r="B252" s="29">
        <f t="shared" si="1"/>
        <v>12</v>
      </c>
      <c r="C252" s="2" t="s">
        <v>88</v>
      </c>
      <c r="D252" s="2">
        <v>747.0</v>
      </c>
    </row>
    <row r="253">
      <c r="A253" s="28">
        <v>45007.0</v>
      </c>
      <c r="B253" s="29">
        <f t="shared" si="1"/>
        <v>12</v>
      </c>
      <c r="C253" s="2" t="s">
        <v>89</v>
      </c>
      <c r="D253" s="2">
        <v>279.0</v>
      </c>
    </row>
    <row r="254">
      <c r="A254" s="28">
        <v>45007.0</v>
      </c>
      <c r="B254" s="29">
        <f t="shared" si="1"/>
        <v>12</v>
      </c>
      <c r="C254" s="2" t="s">
        <v>90</v>
      </c>
      <c r="D254" s="2">
        <v>189.0</v>
      </c>
    </row>
    <row r="255">
      <c r="A255" s="28">
        <v>45007.0</v>
      </c>
      <c r="B255" s="29">
        <f t="shared" si="1"/>
        <v>12</v>
      </c>
      <c r="C255" s="2" t="s">
        <v>91</v>
      </c>
    </row>
    <row r="256">
      <c r="A256" s="28">
        <v>45007.0</v>
      </c>
      <c r="B256" s="29">
        <f t="shared" si="1"/>
        <v>12</v>
      </c>
      <c r="C256" s="2" t="s">
        <v>92</v>
      </c>
      <c r="D256" s="2">
        <v>0.0</v>
      </c>
    </row>
    <row r="257">
      <c r="A257" s="28">
        <v>45007.0</v>
      </c>
      <c r="B257" s="29">
        <f t="shared" si="1"/>
        <v>12</v>
      </c>
      <c r="C257" s="2" t="s">
        <v>93</v>
      </c>
      <c r="D257" s="2">
        <v>0.0</v>
      </c>
    </row>
    <row r="258">
      <c r="A258" s="28">
        <v>45007.0</v>
      </c>
      <c r="B258" s="29">
        <f t="shared" si="1"/>
        <v>12</v>
      </c>
      <c r="C258" s="2" t="s">
        <v>94</v>
      </c>
      <c r="D258" s="2">
        <v>0.0</v>
      </c>
    </row>
    <row r="259">
      <c r="A259" s="28">
        <v>45007.0</v>
      </c>
      <c r="B259" s="29">
        <f t="shared" si="1"/>
        <v>12</v>
      </c>
      <c r="C259" s="2" t="s">
        <v>95</v>
      </c>
      <c r="D259" s="2">
        <v>0.0</v>
      </c>
    </row>
    <row r="260">
      <c r="A260" s="28">
        <v>45007.0</v>
      </c>
      <c r="B260" s="29">
        <f t="shared" si="1"/>
        <v>12</v>
      </c>
      <c r="C260" s="2" t="s">
        <v>96</v>
      </c>
      <c r="D260" s="2">
        <v>371.0</v>
      </c>
    </row>
    <row r="261">
      <c r="A261" s="28">
        <v>45007.0</v>
      </c>
      <c r="B261" s="29">
        <f t="shared" si="1"/>
        <v>12</v>
      </c>
      <c r="C261" s="2" t="s">
        <v>97</v>
      </c>
    </row>
    <row r="262">
      <c r="A262" s="28">
        <v>45007.0</v>
      </c>
      <c r="B262" s="29">
        <f t="shared" si="1"/>
        <v>12</v>
      </c>
      <c r="C262" s="2" t="s">
        <v>98</v>
      </c>
    </row>
    <row r="263">
      <c r="A263" s="28">
        <v>45007.0</v>
      </c>
      <c r="B263" s="29">
        <f t="shared" si="1"/>
        <v>12</v>
      </c>
      <c r="C263" s="2" t="s">
        <v>99</v>
      </c>
    </row>
    <row r="264">
      <c r="A264" s="28">
        <v>45007.0</v>
      </c>
      <c r="B264" s="29">
        <f t="shared" si="1"/>
        <v>12</v>
      </c>
      <c r="C264" s="2" t="s">
        <v>100</v>
      </c>
    </row>
    <row r="265">
      <c r="A265" s="28">
        <v>45014.0</v>
      </c>
      <c r="B265" s="29">
        <f t="shared" si="1"/>
        <v>13</v>
      </c>
      <c r="C265" s="2" t="s">
        <v>101</v>
      </c>
      <c r="D265" s="2">
        <v>9998.0</v>
      </c>
    </row>
    <row r="266">
      <c r="A266" s="28">
        <v>45014.0</v>
      </c>
      <c r="B266" s="29">
        <f t="shared" si="1"/>
        <v>13</v>
      </c>
      <c r="C266" s="2" t="s">
        <v>80</v>
      </c>
      <c r="D266" s="2">
        <v>702.0</v>
      </c>
    </row>
    <row r="267">
      <c r="A267" s="28">
        <v>45014.0</v>
      </c>
      <c r="B267" s="29">
        <f t="shared" si="1"/>
        <v>13</v>
      </c>
      <c r="C267" s="2" t="s">
        <v>81</v>
      </c>
      <c r="D267" s="2">
        <v>0.0</v>
      </c>
    </row>
    <row r="268">
      <c r="A268" s="28">
        <v>45014.0</v>
      </c>
      <c r="B268" s="29">
        <f t="shared" si="1"/>
        <v>13</v>
      </c>
      <c r="C268" s="2" t="s">
        <v>82</v>
      </c>
      <c r="D268" s="2">
        <v>0.0</v>
      </c>
    </row>
    <row r="269">
      <c r="A269" s="28">
        <v>45014.0</v>
      </c>
      <c r="B269" s="29">
        <f t="shared" si="1"/>
        <v>13</v>
      </c>
      <c r="C269" s="2" t="s">
        <v>83</v>
      </c>
      <c r="D269" s="2">
        <v>4041.0</v>
      </c>
    </row>
    <row r="270">
      <c r="A270" s="28">
        <v>45014.0</v>
      </c>
      <c r="B270" s="29">
        <f t="shared" si="1"/>
        <v>13</v>
      </c>
      <c r="C270" s="2" t="s">
        <v>84</v>
      </c>
      <c r="D270" s="2">
        <v>1310.0</v>
      </c>
    </row>
    <row r="271">
      <c r="A271" s="28">
        <v>45014.0</v>
      </c>
      <c r="B271" s="29">
        <f t="shared" si="1"/>
        <v>13</v>
      </c>
      <c r="C271" s="2" t="s">
        <v>85</v>
      </c>
      <c r="D271" s="2">
        <v>220.0</v>
      </c>
    </row>
    <row r="272">
      <c r="A272" s="28">
        <v>45014.0</v>
      </c>
      <c r="B272" s="29">
        <f t="shared" si="1"/>
        <v>13</v>
      </c>
      <c r="C272" s="2" t="s">
        <v>86</v>
      </c>
    </row>
    <row r="273">
      <c r="A273" s="28">
        <v>45014.0</v>
      </c>
      <c r="B273" s="29">
        <f t="shared" si="1"/>
        <v>13</v>
      </c>
      <c r="C273" s="2" t="s">
        <v>87</v>
      </c>
    </row>
    <row r="274">
      <c r="A274" s="28">
        <v>45014.0</v>
      </c>
      <c r="B274" s="29">
        <f t="shared" si="1"/>
        <v>13</v>
      </c>
      <c r="C274" s="2" t="s">
        <v>88</v>
      </c>
      <c r="D274" s="2">
        <v>1319.0</v>
      </c>
    </row>
    <row r="275">
      <c r="A275" s="28">
        <v>45014.0</v>
      </c>
      <c r="B275" s="29">
        <f t="shared" si="1"/>
        <v>13</v>
      </c>
      <c r="C275" s="2" t="s">
        <v>89</v>
      </c>
      <c r="D275" s="2">
        <v>1328.0</v>
      </c>
    </row>
    <row r="276">
      <c r="A276" s="28">
        <v>45014.0</v>
      </c>
      <c r="B276" s="29">
        <f t="shared" si="1"/>
        <v>13</v>
      </c>
      <c r="C276" s="2" t="s">
        <v>90</v>
      </c>
      <c r="D276" s="2">
        <v>104.0</v>
      </c>
    </row>
    <row r="277">
      <c r="A277" s="28">
        <v>45014.0</v>
      </c>
      <c r="B277" s="29">
        <f t="shared" si="1"/>
        <v>13</v>
      </c>
      <c r="C277" s="2" t="s">
        <v>91</v>
      </c>
    </row>
    <row r="278">
      <c r="A278" s="28">
        <v>45014.0</v>
      </c>
      <c r="B278" s="29">
        <f t="shared" si="1"/>
        <v>13</v>
      </c>
      <c r="C278" s="2" t="s">
        <v>92</v>
      </c>
    </row>
    <row r="279">
      <c r="A279" s="28">
        <v>45014.0</v>
      </c>
      <c r="B279" s="29">
        <f t="shared" si="1"/>
        <v>13</v>
      </c>
      <c r="C279" s="2" t="s">
        <v>93</v>
      </c>
    </row>
    <row r="280">
      <c r="A280" s="28">
        <v>45014.0</v>
      </c>
      <c r="B280" s="29">
        <f t="shared" si="1"/>
        <v>13</v>
      </c>
      <c r="C280" s="2" t="s">
        <v>94</v>
      </c>
    </row>
    <row r="281">
      <c r="A281" s="28">
        <v>45014.0</v>
      </c>
      <c r="B281" s="29">
        <f t="shared" si="1"/>
        <v>13</v>
      </c>
      <c r="C281" s="2" t="s">
        <v>95</v>
      </c>
    </row>
    <row r="282">
      <c r="A282" s="28">
        <v>45014.0</v>
      </c>
      <c r="B282" s="29">
        <f t="shared" si="1"/>
        <v>13</v>
      </c>
      <c r="C282" s="2" t="s">
        <v>96</v>
      </c>
      <c r="D282" s="2">
        <v>471.0</v>
      </c>
    </row>
    <row r="283">
      <c r="A283" s="28">
        <v>45014.0</v>
      </c>
      <c r="B283" s="29">
        <f t="shared" si="1"/>
        <v>13</v>
      </c>
      <c r="C283" s="2" t="s">
        <v>97</v>
      </c>
      <c r="D283" s="2">
        <v>503.0</v>
      </c>
    </row>
    <row r="284">
      <c r="A284" s="28">
        <v>45014.0</v>
      </c>
      <c r="B284" s="29">
        <f t="shared" si="1"/>
        <v>13</v>
      </c>
      <c r="C284" s="2" t="s">
        <v>98</v>
      </c>
    </row>
    <row r="285">
      <c r="A285" s="28">
        <v>45014.0</v>
      </c>
      <c r="B285" s="29">
        <f t="shared" si="1"/>
        <v>13</v>
      </c>
      <c r="C285" s="2" t="s">
        <v>99</v>
      </c>
    </row>
    <row r="286">
      <c r="A286" s="28">
        <v>45014.0</v>
      </c>
      <c r="B286" s="29">
        <f t="shared" si="1"/>
        <v>13</v>
      </c>
      <c r="C286" s="2" t="s">
        <v>100</v>
      </c>
    </row>
    <row r="287">
      <c r="A287" s="28">
        <v>45021.0</v>
      </c>
      <c r="B287" s="29">
        <f t="shared" si="1"/>
        <v>14</v>
      </c>
      <c r="C287" s="2" t="s">
        <v>101</v>
      </c>
      <c r="D287" s="2">
        <v>9057.0</v>
      </c>
    </row>
    <row r="288">
      <c r="A288" s="28">
        <v>45021.0</v>
      </c>
      <c r="B288" s="29">
        <f t="shared" si="1"/>
        <v>14</v>
      </c>
      <c r="C288" s="2" t="s">
        <v>80</v>
      </c>
      <c r="D288" s="2">
        <v>930.0</v>
      </c>
    </row>
    <row r="289">
      <c r="A289" s="28">
        <v>45021.0</v>
      </c>
      <c r="B289" s="29">
        <f t="shared" si="1"/>
        <v>14</v>
      </c>
      <c r="C289" s="2" t="s">
        <v>81</v>
      </c>
      <c r="D289" s="2">
        <v>0.0</v>
      </c>
    </row>
    <row r="290">
      <c r="A290" s="28">
        <v>45021.0</v>
      </c>
      <c r="B290" s="29">
        <f t="shared" si="1"/>
        <v>14</v>
      </c>
      <c r="C290" s="2" t="s">
        <v>82</v>
      </c>
      <c r="D290" s="2">
        <v>0.0</v>
      </c>
    </row>
    <row r="291">
      <c r="A291" s="28">
        <v>45021.0</v>
      </c>
      <c r="B291" s="29">
        <f t="shared" si="1"/>
        <v>14</v>
      </c>
      <c r="C291" s="2" t="s">
        <v>83</v>
      </c>
      <c r="D291" s="2">
        <v>3763.0</v>
      </c>
    </row>
    <row r="292">
      <c r="A292" s="28">
        <v>45021.0</v>
      </c>
      <c r="B292" s="29">
        <f t="shared" si="1"/>
        <v>14</v>
      </c>
      <c r="C292" s="2" t="s">
        <v>84</v>
      </c>
      <c r="D292" s="2">
        <v>1057.0</v>
      </c>
    </row>
    <row r="293">
      <c r="A293" s="28">
        <v>45021.0</v>
      </c>
      <c r="B293" s="29">
        <f t="shared" si="1"/>
        <v>14</v>
      </c>
      <c r="C293" s="2" t="s">
        <v>85</v>
      </c>
      <c r="D293" s="2">
        <v>60.0</v>
      </c>
    </row>
    <row r="294">
      <c r="A294" s="28">
        <v>45021.0</v>
      </c>
      <c r="B294" s="29">
        <f t="shared" si="1"/>
        <v>14</v>
      </c>
      <c r="C294" s="2" t="s">
        <v>86</v>
      </c>
    </row>
    <row r="295">
      <c r="A295" s="28">
        <v>45021.0</v>
      </c>
      <c r="B295" s="29">
        <f t="shared" si="1"/>
        <v>14</v>
      </c>
      <c r="C295" s="2" t="s">
        <v>87</v>
      </c>
    </row>
    <row r="296">
      <c r="A296" s="28">
        <v>45021.0</v>
      </c>
      <c r="B296" s="29">
        <f t="shared" si="1"/>
        <v>14</v>
      </c>
      <c r="C296" s="2" t="s">
        <v>88</v>
      </c>
      <c r="D296" s="2">
        <v>655.0</v>
      </c>
    </row>
    <row r="297">
      <c r="A297" s="28">
        <v>45021.0</v>
      </c>
      <c r="B297" s="29">
        <f t="shared" si="1"/>
        <v>14</v>
      </c>
      <c r="C297" s="2" t="s">
        <v>89</v>
      </c>
      <c r="D297" s="2">
        <v>493.0</v>
      </c>
    </row>
    <row r="298">
      <c r="A298" s="28">
        <v>45021.0</v>
      </c>
      <c r="B298" s="29">
        <f t="shared" si="1"/>
        <v>14</v>
      </c>
      <c r="C298" s="2" t="s">
        <v>90</v>
      </c>
      <c r="D298" s="2">
        <v>594.0</v>
      </c>
    </row>
    <row r="299">
      <c r="A299" s="28">
        <v>45021.0</v>
      </c>
      <c r="B299" s="29">
        <f t="shared" si="1"/>
        <v>14</v>
      </c>
      <c r="C299" s="2" t="s">
        <v>91</v>
      </c>
    </row>
    <row r="300">
      <c r="A300" s="28">
        <v>45021.0</v>
      </c>
      <c r="B300" s="29">
        <f t="shared" si="1"/>
        <v>14</v>
      </c>
      <c r="C300" s="2" t="s">
        <v>92</v>
      </c>
    </row>
    <row r="301">
      <c r="A301" s="28">
        <v>45021.0</v>
      </c>
      <c r="B301" s="29">
        <f t="shared" si="1"/>
        <v>14</v>
      </c>
      <c r="C301" s="2" t="s">
        <v>93</v>
      </c>
    </row>
    <row r="302">
      <c r="A302" s="28">
        <v>45021.0</v>
      </c>
      <c r="B302" s="29">
        <f t="shared" si="1"/>
        <v>14</v>
      </c>
      <c r="C302" s="2" t="s">
        <v>94</v>
      </c>
    </row>
    <row r="303">
      <c r="A303" s="28">
        <v>45021.0</v>
      </c>
      <c r="B303" s="29">
        <f t="shared" si="1"/>
        <v>14</v>
      </c>
      <c r="C303" s="2" t="s">
        <v>95</v>
      </c>
    </row>
    <row r="304">
      <c r="A304" s="28">
        <v>45021.0</v>
      </c>
      <c r="B304" s="29">
        <f t="shared" si="1"/>
        <v>14</v>
      </c>
      <c r="C304" s="2" t="s">
        <v>96</v>
      </c>
      <c r="D304" s="2">
        <v>267.0</v>
      </c>
    </row>
    <row r="305">
      <c r="A305" s="28">
        <v>45021.0</v>
      </c>
      <c r="B305" s="29">
        <f t="shared" si="1"/>
        <v>14</v>
      </c>
      <c r="C305" s="2" t="s">
        <v>97</v>
      </c>
      <c r="D305" s="2">
        <v>1238.0</v>
      </c>
    </row>
    <row r="306">
      <c r="A306" s="28">
        <v>45021.0</v>
      </c>
      <c r="B306" s="29">
        <f t="shared" si="1"/>
        <v>14</v>
      </c>
      <c r="C306" s="2" t="s">
        <v>98</v>
      </c>
    </row>
    <row r="307">
      <c r="A307" s="28">
        <v>45021.0</v>
      </c>
      <c r="B307" s="29">
        <f t="shared" si="1"/>
        <v>14</v>
      </c>
      <c r="C307" s="2" t="s">
        <v>99</v>
      </c>
    </row>
    <row r="308">
      <c r="A308" s="28">
        <v>45021.0</v>
      </c>
      <c r="B308" s="29">
        <f t="shared" si="1"/>
        <v>14</v>
      </c>
      <c r="C308" s="2" t="s">
        <v>100</v>
      </c>
    </row>
    <row r="309">
      <c r="A309" s="28">
        <v>45028.0</v>
      </c>
      <c r="B309" s="29">
        <f t="shared" si="1"/>
        <v>15</v>
      </c>
      <c r="C309" s="2" t="s">
        <v>101</v>
      </c>
      <c r="D309" s="2">
        <v>6850.0</v>
      </c>
    </row>
    <row r="310">
      <c r="A310" s="28">
        <v>45028.0</v>
      </c>
      <c r="B310" s="29">
        <f t="shared" si="1"/>
        <v>15</v>
      </c>
      <c r="C310" s="2" t="s">
        <v>80</v>
      </c>
      <c r="D310" s="2">
        <v>1034.0</v>
      </c>
    </row>
    <row r="311">
      <c r="A311" s="28">
        <v>45028.0</v>
      </c>
      <c r="B311" s="29">
        <f t="shared" si="1"/>
        <v>15</v>
      </c>
      <c r="C311" s="2" t="s">
        <v>81</v>
      </c>
      <c r="D311" s="2">
        <v>0.0</v>
      </c>
    </row>
    <row r="312">
      <c r="A312" s="28">
        <v>45028.0</v>
      </c>
      <c r="B312" s="29">
        <f t="shared" si="1"/>
        <v>15</v>
      </c>
      <c r="C312" s="2" t="s">
        <v>82</v>
      </c>
      <c r="D312" s="2">
        <v>0.0</v>
      </c>
    </row>
    <row r="313">
      <c r="A313" s="28">
        <v>45028.0</v>
      </c>
      <c r="B313" s="29">
        <f t="shared" si="1"/>
        <v>15</v>
      </c>
      <c r="C313" s="2" t="s">
        <v>83</v>
      </c>
      <c r="D313" s="2">
        <v>2344.0</v>
      </c>
    </row>
    <row r="314">
      <c r="A314" s="28">
        <v>45028.0</v>
      </c>
      <c r="B314" s="29">
        <f t="shared" si="1"/>
        <v>15</v>
      </c>
      <c r="C314" s="2" t="s">
        <v>84</v>
      </c>
      <c r="D314" s="2">
        <v>1078.0</v>
      </c>
    </row>
    <row r="315">
      <c r="A315" s="28">
        <v>45028.0</v>
      </c>
      <c r="B315" s="29">
        <f t="shared" si="1"/>
        <v>15</v>
      </c>
      <c r="C315" s="2" t="s">
        <v>85</v>
      </c>
      <c r="D315" s="2">
        <v>240.0</v>
      </c>
    </row>
    <row r="316">
      <c r="A316" s="28">
        <v>45028.0</v>
      </c>
      <c r="B316" s="29">
        <f t="shared" si="1"/>
        <v>15</v>
      </c>
      <c r="C316" s="2" t="s">
        <v>86</v>
      </c>
    </row>
    <row r="317">
      <c r="A317" s="28">
        <v>45028.0</v>
      </c>
      <c r="B317" s="29">
        <f t="shared" si="1"/>
        <v>15</v>
      </c>
      <c r="C317" s="2" t="s">
        <v>87</v>
      </c>
    </row>
    <row r="318">
      <c r="A318" s="28">
        <v>45028.0</v>
      </c>
      <c r="B318" s="29">
        <f t="shared" si="1"/>
        <v>15</v>
      </c>
      <c r="C318" s="2" t="s">
        <v>88</v>
      </c>
      <c r="D318" s="2">
        <v>747.0</v>
      </c>
    </row>
    <row r="319">
      <c r="A319" s="28">
        <v>45028.0</v>
      </c>
      <c r="B319" s="29">
        <f t="shared" si="1"/>
        <v>15</v>
      </c>
      <c r="C319" s="2" t="s">
        <v>89</v>
      </c>
      <c r="D319" s="2">
        <v>500.0</v>
      </c>
    </row>
    <row r="320">
      <c r="A320" s="28">
        <v>45028.0</v>
      </c>
      <c r="B320" s="29">
        <f t="shared" si="1"/>
        <v>15</v>
      </c>
      <c r="C320" s="2" t="s">
        <v>90</v>
      </c>
      <c r="D320" s="2">
        <v>107.0</v>
      </c>
    </row>
    <row r="321">
      <c r="A321" s="28">
        <v>45028.0</v>
      </c>
      <c r="B321" s="29">
        <f t="shared" si="1"/>
        <v>15</v>
      </c>
      <c r="C321" s="2" t="s">
        <v>91</v>
      </c>
    </row>
    <row r="322">
      <c r="A322" s="28">
        <v>45028.0</v>
      </c>
      <c r="B322" s="29">
        <f t="shared" si="1"/>
        <v>15</v>
      </c>
      <c r="C322" s="2" t="s">
        <v>92</v>
      </c>
    </row>
    <row r="323">
      <c r="A323" s="28">
        <v>45028.0</v>
      </c>
      <c r="B323" s="29">
        <f t="shared" si="1"/>
        <v>15</v>
      </c>
      <c r="C323" s="2" t="s">
        <v>93</v>
      </c>
    </row>
    <row r="324">
      <c r="A324" s="28">
        <v>45028.0</v>
      </c>
      <c r="B324" s="29">
        <f t="shared" si="1"/>
        <v>15</v>
      </c>
      <c r="C324" s="2" t="s">
        <v>94</v>
      </c>
    </row>
    <row r="325">
      <c r="A325" s="28">
        <v>45028.0</v>
      </c>
      <c r="B325" s="29">
        <f t="shared" si="1"/>
        <v>15</v>
      </c>
      <c r="C325" s="2" t="s">
        <v>95</v>
      </c>
    </row>
    <row r="326">
      <c r="A326" s="28">
        <v>45028.0</v>
      </c>
      <c r="B326" s="29">
        <f t="shared" si="1"/>
        <v>15</v>
      </c>
      <c r="C326" s="2" t="s">
        <v>96</v>
      </c>
      <c r="D326" s="2">
        <v>300.0</v>
      </c>
    </row>
    <row r="327">
      <c r="A327" s="28">
        <v>45028.0</v>
      </c>
      <c r="B327" s="29">
        <f t="shared" si="1"/>
        <v>15</v>
      </c>
      <c r="C327" s="2" t="s">
        <v>97</v>
      </c>
      <c r="D327" s="2">
        <v>500.0</v>
      </c>
    </row>
    <row r="328">
      <c r="A328" s="28">
        <v>45028.0</v>
      </c>
      <c r="B328" s="29">
        <f t="shared" si="1"/>
        <v>15</v>
      </c>
      <c r="C328" s="2" t="s">
        <v>98</v>
      </c>
    </row>
    <row r="329">
      <c r="A329" s="28">
        <v>45028.0</v>
      </c>
      <c r="B329" s="29">
        <f t="shared" si="1"/>
        <v>15</v>
      </c>
      <c r="C329" s="2" t="s">
        <v>99</v>
      </c>
    </row>
    <row r="330">
      <c r="A330" s="28">
        <v>45028.0</v>
      </c>
      <c r="B330" s="29">
        <f t="shared" si="1"/>
        <v>15</v>
      </c>
      <c r="C330" s="2" t="s">
        <v>100</v>
      </c>
    </row>
    <row r="331">
      <c r="A331" s="28">
        <v>45035.0</v>
      </c>
      <c r="B331" s="29">
        <f t="shared" si="1"/>
        <v>16</v>
      </c>
      <c r="C331" s="2" t="s">
        <v>101</v>
      </c>
      <c r="D331" s="2">
        <v>14032.0</v>
      </c>
    </row>
    <row r="332">
      <c r="A332" s="28">
        <v>45035.0</v>
      </c>
      <c r="B332" s="29">
        <f t="shared" si="1"/>
        <v>16</v>
      </c>
      <c r="C332" s="2" t="s">
        <v>80</v>
      </c>
      <c r="D332" s="2">
        <v>1956.0</v>
      </c>
    </row>
    <row r="333">
      <c r="A333" s="28">
        <v>45035.0</v>
      </c>
      <c r="B333" s="29">
        <f t="shared" si="1"/>
        <v>16</v>
      </c>
      <c r="C333" s="2" t="s">
        <v>81</v>
      </c>
      <c r="D333" s="2">
        <v>0.0</v>
      </c>
    </row>
    <row r="334">
      <c r="A334" s="28">
        <v>45035.0</v>
      </c>
      <c r="B334" s="29">
        <f t="shared" si="1"/>
        <v>16</v>
      </c>
      <c r="C334" s="2" t="s">
        <v>82</v>
      </c>
      <c r="D334" s="2">
        <v>0.0</v>
      </c>
    </row>
    <row r="335">
      <c r="A335" s="28">
        <v>45035.0</v>
      </c>
      <c r="B335" s="29">
        <f t="shared" si="1"/>
        <v>16</v>
      </c>
      <c r="C335" s="2" t="s">
        <v>83</v>
      </c>
      <c r="D335" s="2">
        <v>2946.0</v>
      </c>
    </row>
    <row r="336">
      <c r="A336" s="28">
        <v>45035.0</v>
      </c>
      <c r="B336" s="29">
        <f t="shared" si="1"/>
        <v>16</v>
      </c>
      <c r="C336" s="2" t="s">
        <v>84</v>
      </c>
      <c r="D336" s="2">
        <v>1968.0</v>
      </c>
    </row>
    <row r="337">
      <c r="A337" s="28">
        <v>45035.0</v>
      </c>
      <c r="B337" s="29">
        <f t="shared" si="1"/>
        <v>16</v>
      </c>
      <c r="C337" s="2" t="s">
        <v>85</v>
      </c>
      <c r="D337" s="2">
        <v>93.0</v>
      </c>
    </row>
    <row r="338">
      <c r="A338" s="28">
        <v>45035.0</v>
      </c>
      <c r="B338" s="29">
        <f t="shared" si="1"/>
        <v>16</v>
      </c>
      <c r="C338" s="2" t="s">
        <v>86</v>
      </c>
    </row>
    <row r="339">
      <c r="A339" s="28">
        <v>45035.0</v>
      </c>
      <c r="B339" s="29">
        <f t="shared" si="1"/>
        <v>16</v>
      </c>
      <c r="C339" s="2" t="s">
        <v>87</v>
      </c>
    </row>
    <row r="340">
      <c r="A340" s="28">
        <v>45035.0</v>
      </c>
      <c r="B340" s="29">
        <f t="shared" si="1"/>
        <v>16</v>
      </c>
      <c r="C340" s="2" t="s">
        <v>88</v>
      </c>
      <c r="D340" s="2">
        <v>938.0</v>
      </c>
    </row>
    <row r="341">
      <c r="A341" s="28">
        <v>45035.0</v>
      </c>
      <c r="B341" s="29">
        <f t="shared" si="1"/>
        <v>16</v>
      </c>
      <c r="C341" s="2" t="s">
        <v>89</v>
      </c>
      <c r="D341" s="2">
        <v>377.0</v>
      </c>
    </row>
    <row r="342">
      <c r="A342" s="28">
        <v>45035.0</v>
      </c>
      <c r="B342" s="29">
        <f t="shared" si="1"/>
        <v>16</v>
      </c>
      <c r="C342" s="2" t="s">
        <v>90</v>
      </c>
      <c r="D342" s="2">
        <v>239.0</v>
      </c>
    </row>
    <row r="343">
      <c r="A343" s="28">
        <v>45035.0</v>
      </c>
      <c r="B343" s="29">
        <f t="shared" si="1"/>
        <v>16</v>
      </c>
      <c r="C343" s="2" t="s">
        <v>91</v>
      </c>
    </row>
    <row r="344">
      <c r="A344" s="28">
        <v>45035.0</v>
      </c>
      <c r="B344" s="29">
        <f t="shared" si="1"/>
        <v>16</v>
      </c>
      <c r="C344" s="2" t="s">
        <v>92</v>
      </c>
    </row>
    <row r="345">
      <c r="A345" s="28">
        <v>45035.0</v>
      </c>
      <c r="B345" s="29">
        <f t="shared" si="1"/>
        <v>16</v>
      </c>
      <c r="C345" s="2" t="s">
        <v>93</v>
      </c>
    </row>
    <row r="346">
      <c r="A346" s="28">
        <v>45035.0</v>
      </c>
      <c r="B346" s="29">
        <f t="shared" si="1"/>
        <v>16</v>
      </c>
      <c r="C346" s="2" t="s">
        <v>94</v>
      </c>
    </row>
    <row r="347">
      <c r="A347" s="28">
        <v>45035.0</v>
      </c>
      <c r="B347" s="29">
        <f t="shared" si="1"/>
        <v>16</v>
      </c>
      <c r="C347" s="2" t="s">
        <v>95</v>
      </c>
    </row>
    <row r="348">
      <c r="A348" s="28">
        <v>45035.0</v>
      </c>
      <c r="B348" s="29">
        <f t="shared" si="1"/>
        <v>16</v>
      </c>
      <c r="C348" s="2" t="s">
        <v>96</v>
      </c>
      <c r="D348" s="2">
        <v>496.0</v>
      </c>
    </row>
    <row r="349">
      <c r="A349" s="28">
        <v>45035.0</v>
      </c>
      <c r="B349" s="29">
        <f t="shared" si="1"/>
        <v>16</v>
      </c>
      <c r="C349" s="2" t="s">
        <v>97</v>
      </c>
      <c r="D349" s="2">
        <v>5019.0</v>
      </c>
    </row>
    <row r="350">
      <c r="A350" s="28">
        <v>45035.0</v>
      </c>
      <c r="B350" s="29">
        <f t="shared" si="1"/>
        <v>16</v>
      </c>
      <c r="C350" s="2" t="s">
        <v>98</v>
      </c>
    </row>
    <row r="351">
      <c r="A351" s="28">
        <v>45035.0</v>
      </c>
      <c r="B351" s="29">
        <f t="shared" si="1"/>
        <v>16</v>
      </c>
      <c r="C351" s="2" t="s">
        <v>99</v>
      </c>
    </row>
    <row r="352">
      <c r="A352" s="28">
        <v>45035.0</v>
      </c>
      <c r="B352" s="29">
        <f t="shared" si="1"/>
        <v>16</v>
      </c>
      <c r="C352" s="2" t="s">
        <v>100</v>
      </c>
    </row>
    <row r="353">
      <c r="A353" s="28">
        <v>45042.0</v>
      </c>
      <c r="B353" s="29">
        <f t="shared" si="1"/>
        <v>17</v>
      </c>
      <c r="C353" s="2" t="s">
        <v>101</v>
      </c>
      <c r="D353" s="2">
        <v>11396.0</v>
      </c>
    </row>
    <row r="354">
      <c r="A354" s="28">
        <v>45042.0</v>
      </c>
      <c r="B354" s="29">
        <f t="shared" si="1"/>
        <v>17</v>
      </c>
      <c r="C354" s="2" t="s">
        <v>80</v>
      </c>
      <c r="D354" s="2">
        <v>1077.0</v>
      </c>
    </row>
    <row r="355">
      <c r="A355" s="28">
        <v>45042.0</v>
      </c>
      <c r="B355" s="29">
        <f t="shared" si="1"/>
        <v>17</v>
      </c>
      <c r="C355" s="2" t="s">
        <v>81</v>
      </c>
    </row>
    <row r="356">
      <c r="A356" s="28">
        <v>45042.0</v>
      </c>
      <c r="B356" s="29">
        <f t="shared" si="1"/>
        <v>17</v>
      </c>
      <c r="C356" s="2" t="s">
        <v>82</v>
      </c>
    </row>
    <row r="357">
      <c r="A357" s="28">
        <v>45042.0</v>
      </c>
      <c r="B357" s="29">
        <f t="shared" si="1"/>
        <v>17</v>
      </c>
      <c r="C357" s="2" t="s">
        <v>83</v>
      </c>
      <c r="D357" s="2">
        <v>4789.0</v>
      </c>
    </row>
    <row r="358">
      <c r="A358" s="28">
        <v>45042.0</v>
      </c>
      <c r="B358" s="29">
        <f t="shared" si="1"/>
        <v>17</v>
      </c>
      <c r="C358" s="2" t="s">
        <v>84</v>
      </c>
      <c r="D358" s="2">
        <v>1034.0</v>
      </c>
    </row>
    <row r="359">
      <c r="A359" s="28">
        <v>45042.0</v>
      </c>
      <c r="B359" s="29">
        <f t="shared" si="1"/>
        <v>17</v>
      </c>
      <c r="C359" s="2" t="s">
        <v>85</v>
      </c>
      <c r="D359" s="2">
        <v>232.0</v>
      </c>
    </row>
    <row r="360">
      <c r="A360" s="28">
        <v>45042.0</v>
      </c>
      <c r="B360" s="29">
        <f t="shared" si="1"/>
        <v>17</v>
      </c>
      <c r="C360" s="2" t="s">
        <v>86</v>
      </c>
    </row>
    <row r="361">
      <c r="A361" s="28">
        <v>45042.0</v>
      </c>
      <c r="B361" s="29">
        <f t="shared" si="1"/>
        <v>17</v>
      </c>
      <c r="C361" s="2" t="s">
        <v>87</v>
      </c>
    </row>
    <row r="362">
      <c r="A362" s="28">
        <v>45042.0</v>
      </c>
      <c r="B362" s="29">
        <f t="shared" si="1"/>
        <v>17</v>
      </c>
      <c r="C362" s="2" t="s">
        <v>88</v>
      </c>
      <c r="D362" s="2">
        <v>1263.0</v>
      </c>
    </row>
    <row r="363">
      <c r="A363" s="28">
        <v>45042.0</v>
      </c>
      <c r="B363" s="29">
        <f t="shared" si="1"/>
        <v>17</v>
      </c>
      <c r="C363" s="2" t="s">
        <v>89</v>
      </c>
      <c r="D363" s="2">
        <v>531.0</v>
      </c>
    </row>
    <row r="364">
      <c r="A364" s="28">
        <v>45042.0</v>
      </c>
      <c r="B364" s="29">
        <f t="shared" si="1"/>
        <v>17</v>
      </c>
      <c r="C364" s="2" t="s">
        <v>90</v>
      </c>
      <c r="D364" s="2">
        <v>190.0</v>
      </c>
    </row>
    <row r="365">
      <c r="A365" s="28">
        <v>45042.0</v>
      </c>
      <c r="B365" s="29">
        <f t="shared" si="1"/>
        <v>17</v>
      </c>
      <c r="C365" s="2" t="s">
        <v>91</v>
      </c>
    </row>
    <row r="366">
      <c r="A366" s="28">
        <v>45042.0</v>
      </c>
      <c r="B366" s="29">
        <f t="shared" si="1"/>
        <v>17</v>
      </c>
      <c r="C366" s="2" t="s">
        <v>92</v>
      </c>
    </row>
    <row r="367">
      <c r="A367" s="28">
        <v>45042.0</v>
      </c>
      <c r="B367" s="29">
        <f t="shared" si="1"/>
        <v>17</v>
      </c>
      <c r="C367" s="2" t="s">
        <v>93</v>
      </c>
    </row>
    <row r="368">
      <c r="A368" s="28">
        <v>45042.0</v>
      </c>
      <c r="B368" s="29">
        <f t="shared" si="1"/>
        <v>17</v>
      </c>
      <c r="C368" s="2" t="s">
        <v>94</v>
      </c>
    </row>
    <row r="369">
      <c r="A369" s="28">
        <v>45042.0</v>
      </c>
      <c r="B369" s="29">
        <f t="shared" si="1"/>
        <v>17</v>
      </c>
      <c r="C369" s="2" t="s">
        <v>95</v>
      </c>
    </row>
    <row r="370">
      <c r="A370" s="28">
        <v>45042.0</v>
      </c>
      <c r="B370" s="29">
        <f t="shared" si="1"/>
        <v>17</v>
      </c>
      <c r="C370" s="2" t="s">
        <v>96</v>
      </c>
      <c r="D370" s="2">
        <v>374.0</v>
      </c>
    </row>
    <row r="371">
      <c r="A371" s="28">
        <v>45042.0</v>
      </c>
      <c r="B371" s="29">
        <f t="shared" si="1"/>
        <v>17</v>
      </c>
      <c r="C371" s="2" t="s">
        <v>97</v>
      </c>
      <c r="D371" s="2">
        <v>1906.0</v>
      </c>
    </row>
    <row r="372">
      <c r="A372" s="28">
        <v>45042.0</v>
      </c>
      <c r="B372" s="29">
        <f t="shared" si="1"/>
        <v>17</v>
      </c>
      <c r="C372" s="2" t="s">
        <v>98</v>
      </c>
    </row>
    <row r="373">
      <c r="A373" s="28">
        <v>45042.0</v>
      </c>
      <c r="B373" s="29">
        <f t="shared" si="1"/>
        <v>17</v>
      </c>
      <c r="C373" s="2" t="s">
        <v>99</v>
      </c>
    </row>
    <row r="374">
      <c r="A374" s="28">
        <v>45042.0</v>
      </c>
      <c r="B374" s="29">
        <f t="shared" si="1"/>
        <v>17</v>
      </c>
      <c r="C374" s="2" t="s">
        <v>100</v>
      </c>
    </row>
    <row r="375">
      <c r="A375" s="28">
        <v>45049.0</v>
      </c>
      <c r="B375" s="29">
        <f t="shared" si="1"/>
        <v>18</v>
      </c>
      <c r="C375" s="2" t="s">
        <v>101</v>
      </c>
      <c r="D375" s="2">
        <v>8035.0</v>
      </c>
    </row>
    <row r="376">
      <c r="A376" s="28">
        <v>45049.0</v>
      </c>
      <c r="B376" s="29">
        <f t="shared" si="1"/>
        <v>18</v>
      </c>
      <c r="C376" s="2" t="s">
        <v>80</v>
      </c>
      <c r="D376" s="2">
        <v>1091.0</v>
      </c>
    </row>
    <row r="377">
      <c r="A377" s="28">
        <v>45049.0</v>
      </c>
      <c r="B377" s="29">
        <f t="shared" si="1"/>
        <v>18</v>
      </c>
      <c r="C377" s="2" t="s">
        <v>81</v>
      </c>
    </row>
    <row r="378">
      <c r="A378" s="28">
        <v>45049.0</v>
      </c>
      <c r="B378" s="29">
        <f t="shared" si="1"/>
        <v>18</v>
      </c>
      <c r="C378" s="2" t="s">
        <v>82</v>
      </c>
    </row>
    <row r="379">
      <c r="A379" s="28">
        <v>45049.0</v>
      </c>
      <c r="B379" s="29">
        <f t="shared" si="1"/>
        <v>18</v>
      </c>
      <c r="C379" s="2" t="s">
        <v>83</v>
      </c>
      <c r="D379" s="2">
        <v>2875.0</v>
      </c>
    </row>
    <row r="380">
      <c r="A380" s="28">
        <v>45049.0</v>
      </c>
      <c r="B380" s="29">
        <f t="shared" si="1"/>
        <v>18</v>
      </c>
      <c r="C380" s="2" t="s">
        <v>84</v>
      </c>
      <c r="D380" s="2">
        <v>1646.0</v>
      </c>
    </row>
    <row r="381">
      <c r="A381" s="28">
        <v>45049.0</v>
      </c>
      <c r="B381" s="29">
        <f t="shared" si="1"/>
        <v>18</v>
      </c>
      <c r="C381" s="2" t="s">
        <v>85</v>
      </c>
      <c r="D381" s="2">
        <v>222.0</v>
      </c>
    </row>
    <row r="382">
      <c r="A382" s="28">
        <v>45049.0</v>
      </c>
      <c r="B382" s="29">
        <f t="shared" si="1"/>
        <v>18</v>
      </c>
      <c r="C382" s="2" t="s">
        <v>86</v>
      </c>
    </row>
    <row r="383">
      <c r="A383" s="28">
        <v>45049.0</v>
      </c>
      <c r="B383" s="29">
        <f t="shared" si="1"/>
        <v>18</v>
      </c>
      <c r="C383" s="2" t="s">
        <v>87</v>
      </c>
    </row>
    <row r="384">
      <c r="A384" s="28">
        <v>45049.0</v>
      </c>
      <c r="B384" s="29">
        <f t="shared" si="1"/>
        <v>18</v>
      </c>
      <c r="C384" s="2" t="s">
        <v>88</v>
      </c>
      <c r="D384" s="2">
        <v>720.0</v>
      </c>
    </row>
    <row r="385">
      <c r="A385" s="28">
        <v>45049.0</v>
      </c>
      <c r="B385" s="29">
        <f t="shared" si="1"/>
        <v>18</v>
      </c>
      <c r="C385" s="2" t="s">
        <v>89</v>
      </c>
      <c r="D385" s="2">
        <v>450.0</v>
      </c>
    </row>
    <row r="386">
      <c r="A386" s="28">
        <v>45049.0</v>
      </c>
      <c r="B386" s="29">
        <f t="shared" si="1"/>
        <v>18</v>
      </c>
      <c r="C386" s="2" t="s">
        <v>90</v>
      </c>
      <c r="D386" s="2">
        <v>84.0</v>
      </c>
    </row>
    <row r="387">
      <c r="A387" s="28">
        <v>45049.0</v>
      </c>
      <c r="B387" s="29">
        <f t="shared" si="1"/>
        <v>18</v>
      </c>
      <c r="C387" s="2" t="s">
        <v>91</v>
      </c>
    </row>
    <row r="388">
      <c r="A388" s="28">
        <v>45049.0</v>
      </c>
      <c r="B388" s="29">
        <f t="shared" si="1"/>
        <v>18</v>
      </c>
      <c r="C388" s="2" t="s">
        <v>92</v>
      </c>
    </row>
    <row r="389">
      <c r="A389" s="28">
        <v>45049.0</v>
      </c>
      <c r="B389" s="29">
        <f t="shared" si="1"/>
        <v>18</v>
      </c>
      <c r="C389" s="2" t="s">
        <v>93</v>
      </c>
    </row>
    <row r="390">
      <c r="A390" s="28">
        <v>45049.0</v>
      </c>
      <c r="B390" s="29">
        <f t="shared" si="1"/>
        <v>18</v>
      </c>
      <c r="C390" s="2" t="s">
        <v>94</v>
      </c>
    </row>
    <row r="391">
      <c r="A391" s="28">
        <v>45049.0</v>
      </c>
      <c r="B391" s="29">
        <f t="shared" si="1"/>
        <v>18</v>
      </c>
      <c r="C391" s="2" t="s">
        <v>95</v>
      </c>
    </row>
    <row r="392">
      <c r="A392" s="28">
        <v>45049.0</v>
      </c>
      <c r="B392" s="29">
        <f t="shared" si="1"/>
        <v>18</v>
      </c>
      <c r="C392" s="2" t="s">
        <v>96</v>
      </c>
      <c r="D392" s="2">
        <v>447.0</v>
      </c>
    </row>
    <row r="393">
      <c r="A393" s="28">
        <v>45049.0</v>
      </c>
      <c r="B393" s="29">
        <f t="shared" si="1"/>
        <v>18</v>
      </c>
      <c r="C393" s="2" t="s">
        <v>97</v>
      </c>
      <c r="D393" s="2">
        <v>500.0</v>
      </c>
    </row>
    <row r="394">
      <c r="A394" s="28">
        <v>45049.0</v>
      </c>
      <c r="B394" s="29">
        <f t="shared" si="1"/>
        <v>18</v>
      </c>
      <c r="C394" s="2" t="s">
        <v>98</v>
      </c>
    </row>
    <row r="395">
      <c r="A395" s="28">
        <v>45049.0</v>
      </c>
      <c r="B395" s="29">
        <f t="shared" si="1"/>
        <v>18</v>
      </c>
      <c r="C395" s="2" t="s">
        <v>99</v>
      </c>
    </row>
    <row r="396">
      <c r="A396" s="28">
        <v>45049.0</v>
      </c>
      <c r="B396" s="29">
        <f t="shared" si="1"/>
        <v>18</v>
      </c>
      <c r="C396" s="2" t="s">
        <v>100</v>
      </c>
    </row>
    <row r="397">
      <c r="A397" s="28">
        <v>45056.0</v>
      </c>
      <c r="B397" s="29">
        <f t="shared" si="1"/>
        <v>19</v>
      </c>
      <c r="C397" s="2" t="s">
        <v>101</v>
      </c>
      <c r="D397" s="2">
        <v>9122.0</v>
      </c>
    </row>
    <row r="398">
      <c r="A398" s="28">
        <v>45056.0</v>
      </c>
      <c r="B398" s="29">
        <f t="shared" si="1"/>
        <v>19</v>
      </c>
      <c r="C398" s="2" t="s">
        <v>80</v>
      </c>
      <c r="D398" s="2">
        <v>1266.0</v>
      </c>
    </row>
    <row r="399">
      <c r="A399" s="28">
        <v>45056.0</v>
      </c>
      <c r="B399" s="29">
        <f t="shared" si="1"/>
        <v>19</v>
      </c>
      <c r="C399" s="2" t="s">
        <v>81</v>
      </c>
    </row>
    <row r="400">
      <c r="A400" s="28">
        <v>45056.0</v>
      </c>
      <c r="B400" s="29">
        <f t="shared" si="1"/>
        <v>19</v>
      </c>
      <c r="C400" s="2" t="s">
        <v>82</v>
      </c>
    </row>
    <row r="401">
      <c r="A401" s="28">
        <v>45056.0</v>
      </c>
      <c r="B401" s="29">
        <f t="shared" si="1"/>
        <v>19</v>
      </c>
      <c r="C401" s="2" t="s">
        <v>83</v>
      </c>
      <c r="D401" s="2">
        <v>3853.0</v>
      </c>
    </row>
    <row r="402">
      <c r="A402" s="28">
        <v>45056.0</v>
      </c>
      <c r="B402" s="29">
        <f t="shared" si="1"/>
        <v>19</v>
      </c>
      <c r="C402" s="2" t="s">
        <v>84</v>
      </c>
      <c r="D402" s="2">
        <v>1341.0</v>
      </c>
    </row>
    <row r="403">
      <c r="A403" s="28">
        <v>45056.0</v>
      </c>
      <c r="B403" s="29">
        <f t="shared" si="1"/>
        <v>19</v>
      </c>
      <c r="C403" s="2" t="s">
        <v>85</v>
      </c>
      <c r="D403" s="2">
        <v>156.0</v>
      </c>
    </row>
    <row r="404">
      <c r="A404" s="28">
        <v>45056.0</v>
      </c>
      <c r="B404" s="29">
        <f t="shared" si="1"/>
        <v>19</v>
      </c>
      <c r="C404" s="2" t="s">
        <v>86</v>
      </c>
    </row>
    <row r="405">
      <c r="A405" s="28">
        <v>45056.0</v>
      </c>
      <c r="B405" s="29">
        <f t="shared" si="1"/>
        <v>19</v>
      </c>
      <c r="C405" s="2" t="s">
        <v>87</v>
      </c>
    </row>
    <row r="406">
      <c r="A406" s="28">
        <v>45056.0</v>
      </c>
      <c r="B406" s="29">
        <f t="shared" si="1"/>
        <v>19</v>
      </c>
      <c r="C406" s="2" t="s">
        <v>88</v>
      </c>
      <c r="D406" s="2">
        <v>1165.0</v>
      </c>
    </row>
    <row r="407">
      <c r="A407" s="28">
        <v>45056.0</v>
      </c>
      <c r="B407" s="29">
        <f t="shared" si="1"/>
        <v>19</v>
      </c>
      <c r="C407" s="2" t="s">
        <v>89</v>
      </c>
      <c r="D407" s="2">
        <v>218.0</v>
      </c>
    </row>
    <row r="408">
      <c r="A408" s="28">
        <v>45056.0</v>
      </c>
      <c r="B408" s="29">
        <f t="shared" si="1"/>
        <v>19</v>
      </c>
      <c r="C408" s="2" t="s">
        <v>90</v>
      </c>
      <c r="D408" s="2">
        <v>94.0</v>
      </c>
    </row>
    <row r="409">
      <c r="A409" s="28">
        <v>45056.0</v>
      </c>
      <c r="B409" s="29">
        <f t="shared" si="1"/>
        <v>19</v>
      </c>
      <c r="C409" s="2" t="s">
        <v>91</v>
      </c>
    </row>
    <row r="410">
      <c r="A410" s="28">
        <v>45056.0</v>
      </c>
      <c r="B410" s="29">
        <f t="shared" si="1"/>
        <v>19</v>
      </c>
      <c r="C410" s="2" t="s">
        <v>92</v>
      </c>
    </row>
    <row r="411">
      <c r="A411" s="28">
        <v>45056.0</v>
      </c>
      <c r="B411" s="29">
        <f t="shared" si="1"/>
        <v>19</v>
      </c>
      <c r="C411" s="2" t="s">
        <v>93</v>
      </c>
    </row>
    <row r="412">
      <c r="A412" s="28">
        <v>45056.0</v>
      </c>
      <c r="B412" s="29">
        <f t="shared" si="1"/>
        <v>19</v>
      </c>
      <c r="C412" s="2" t="s">
        <v>94</v>
      </c>
    </row>
    <row r="413">
      <c r="A413" s="28">
        <v>45056.0</v>
      </c>
      <c r="B413" s="29">
        <f t="shared" si="1"/>
        <v>19</v>
      </c>
      <c r="C413" s="2" t="s">
        <v>95</v>
      </c>
    </row>
    <row r="414">
      <c r="A414" s="28">
        <v>45056.0</v>
      </c>
      <c r="B414" s="29">
        <f t="shared" si="1"/>
        <v>19</v>
      </c>
      <c r="C414" s="2" t="s">
        <v>96</v>
      </c>
      <c r="D414" s="2">
        <v>221.0</v>
      </c>
    </row>
    <row r="415">
      <c r="A415" s="28">
        <v>45056.0</v>
      </c>
      <c r="B415" s="29">
        <f t="shared" si="1"/>
        <v>19</v>
      </c>
      <c r="C415" s="2" t="s">
        <v>97</v>
      </c>
      <c r="D415" s="2">
        <v>808.0</v>
      </c>
    </row>
    <row r="416">
      <c r="A416" s="28">
        <v>45056.0</v>
      </c>
      <c r="B416" s="29">
        <f t="shared" si="1"/>
        <v>19</v>
      </c>
      <c r="C416" s="2" t="s">
        <v>98</v>
      </c>
    </row>
    <row r="417">
      <c r="A417" s="28">
        <v>45056.0</v>
      </c>
      <c r="B417" s="29">
        <f t="shared" si="1"/>
        <v>19</v>
      </c>
      <c r="C417" s="2" t="s">
        <v>99</v>
      </c>
    </row>
    <row r="418">
      <c r="A418" s="28">
        <v>45056.0</v>
      </c>
      <c r="B418" s="29">
        <f t="shared" si="1"/>
        <v>19</v>
      </c>
      <c r="C418" s="2" t="s">
        <v>100</v>
      </c>
    </row>
    <row r="419">
      <c r="A419" s="28">
        <v>45063.0</v>
      </c>
      <c r="B419" s="29">
        <f t="shared" si="1"/>
        <v>20</v>
      </c>
      <c r="C419" s="2" t="s">
        <v>101</v>
      </c>
      <c r="D419" s="2">
        <v>5804.0</v>
      </c>
    </row>
    <row r="420">
      <c r="A420" s="28">
        <v>45063.0</v>
      </c>
      <c r="B420" s="29">
        <f t="shared" si="1"/>
        <v>20</v>
      </c>
      <c r="C420" s="2" t="s">
        <v>80</v>
      </c>
      <c r="D420" s="2">
        <v>622.0</v>
      </c>
    </row>
    <row r="421">
      <c r="A421" s="28">
        <v>45063.0</v>
      </c>
      <c r="B421" s="29">
        <f t="shared" si="1"/>
        <v>20</v>
      </c>
      <c r="C421" s="2" t="s">
        <v>81</v>
      </c>
    </row>
    <row r="422">
      <c r="A422" s="28">
        <v>45063.0</v>
      </c>
      <c r="B422" s="29">
        <f t="shared" si="1"/>
        <v>20</v>
      </c>
      <c r="C422" s="2" t="s">
        <v>82</v>
      </c>
    </row>
    <row r="423">
      <c r="A423" s="28">
        <v>45063.0</v>
      </c>
      <c r="B423" s="29">
        <f t="shared" si="1"/>
        <v>20</v>
      </c>
      <c r="C423" s="2" t="s">
        <v>83</v>
      </c>
      <c r="D423" s="2">
        <v>1472.0</v>
      </c>
    </row>
    <row r="424">
      <c r="A424" s="28">
        <v>45063.0</v>
      </c>
      <c r="B424" s="29">
        <f t="shared" si="1"/>
        <v>20</v>
      </c>
      <c r="C424" s="2" t="s">
        <v>84</v>
      </c>
      <c r="D424" s="2">
        <v>1246.0</v>
      </c>
    </row>
    <row r="425">
      <c r="A425" s="28">
        <v>45063.0</v>
      </c>
      <c r="B425" s="29">
        <f t="shared" si="1"/>
        <v>20</v>
      </c>
      <c r="C425" s="2" t="s">
        <v>85</v>
      </c>
      <c r="D425" s="2">
        <v>125.0</v>
      </c>
    </row>
    <row r="426">
      <c r="A426" s="28">
        <v>45063.0</v>
      </c>
      <c r="B426" s="29">
        <f t="shared" si="1"/>
        <v>20</v>
      </c>
      <c r="C426" s="2" t="s">
        <v>86</v>
      </c>
    </row>
    <row r="427">
      <c r="A427" s="28">
        <v>45063.0</v>
      </c>
      <c r="B427" s="29">
        <f t="shared" si="1"/>
        <v>20</v>
      </c>
      <c r="C427" s="2" t="s">
        <v>87</v>
      </c>
    </row>
    <row r="428">
      <c r="A428" s="28">
        <v>45063.0</v>
      </c>
      <c r="B428" s="29">
        <f t="shared" si="1"/>
        <v>20</v>
      </c>
      <c r="C428" s="2" t="s">
        <v>88</v>
      </c>
      <c r="D428" s="2">
        <v>988.0</v>
      </c>
    </row>
    <row r="429">
      <c r="A429" s="28">
        <v>45063.0</v>
      </c>
      <c r="B429" s="29">
        <f t="shared" si="1"/>
        <v>20</v>
      </c>
      <c r="C429" s="2" t="s">
        <v>89</v>
      </c>
      <c r="D429" s="2">
        <v>233.0</v>
      </c>
    </row>
    <row r="430">
      <c r="A430" s="28">
        <v>45063.0</v>
      </c>
      <c r="B430" s="29">
        <f t="shared" si="1"/>
        <v>20</v>
      </c>
      <c r="C430" s="2" t="s">
        <v>90</v>
      </c>
      <c r="D430" s="2">
        <v>230.0</v>
      </c>
    </row>
    <row r="431">
      <c r="A431" s="28">
        <v>45063.0</v>
      </c>
      <c r="B431" s="29">
        <f t="shared" si="1"/>
        <v>20</v>
      </c>
      <c r="C431" s="2" t="s">
        <v>91</v>
      </c>
    </row>
    <row r="432">
      <c r="A432" s="28">
        <v>45063.0</v>
      </c>
      <c r="B432" s="29">
        <f t="shared" si="1"/>
        <v>20</v>
      </c>
      <c r="C432" s="2" t="s">
        <v>92</v>
      </c>
    </row>
    <row r="433">
      <c r="A433" s="28">
        <v>45063.0</v>
      </c>
      <c r="B433" s="29">
        <f t="shared" si="1"/>
        <v>20</v>
      </c>
      <c r="C433" s="2" t="s">
        <v>93</v>
      </c>
    </row>
    <row r="434">
      <c r="A434" s="28">
        <v>45063.0</v>
      </c>
      <c r="B434" s="29">
        <f t="shared" si="1"/>
        <v>20</v>
      </c>
      <c r="C434" s="2" t="s">
        <v>94</v>
      </c>
    </row>
    <row r="435">
      <c r="A435" s="28">
        <v>45063.0</v>
      </c>
      <c r="B435" s="29">
        <f t="shared" si="1"/>
        <v>20</v>
      </c>
      <c r="C435" s="2" t="s">
        <v>95</v>
      </c>
    </row>
    <row r="436">
      <c r="A436" s="28">
        <v>45063.0</v>
      </c>
      <c r="B436" s="29">
        <f t="shared" si="1"/>
        <v>20</v>
      </c>
      <c r="C436" s="2" t="s">
        <v>96</v>
      </c>
      <c r="D436" s="2">
        <v>538.0</v>
      </c>
    </row>
    <row r="437">
      <c r="A437" s="28">
        <v>45063.0</v>
      </c>
      <c r="B437" s="29">
        <f t="shared" si="1"/>
        <v>20</v>
      </c>
      <c r="C437" s="2" t="s">
        <v>97</v>
      </c>
      <c r="D437" s="2">
        <v>350.0</v>
      </c>
    </row>
    <row r="438">
      <c r="A438" s="28">
        <v>45063.0</v>
      </c>
      <c r="B438" s="29">
        <f t="shared" si="1"/>
        <v>20</v>
      </c>
      <c r="C438" s="2" t="s">
        <v>98</v>
      </c>
    </row>
    <row r="439">
      <c r="A439" s="28">
        <v>45063.0</v>
      </c>
      <c r="B439" s="29">
        <f t="shared" si="1"/>
        <v>20</v>
      </c>
      <c r="C439" s="2" t="s">
        <v>99</v>
      </c>
    </row>
    <row r="440">
      <c r="A440" s="28">
        <v>45063.0</v>
      </c>
      <c r="B440" s="29">
        <f t="shared" si="1"/>
        <v>20</v>
      </c>
      <c r="C440" s="2" t="s">
        <v>100</v>
      </c>
    </row>
    <row r="441">
      <c r="A441" s="28">
        <v>45070.0</v>
      </c>
      <c r="B441" s="29">
        <f t="shared" si="1"/>
        <v>21</v>
      </c>
      <c r="C441" s="2" t="s">
        <v>101</v>
      </c>
      <c r="D441" s="2">
        <v>9209.0</v>
      </c>
    </row>
    <row r="442">
      <c r="A442" s="28">
        <v>45070.0</v>
      </c>
      <c r="B442" s="29">
        <f t="shared" si="1"/>
        <v>21</v>
      </c>
      <c r="C442" s="2" t="s">
        <v>80</v>
      </c>
      <c r="D442" s="2">
        <v>2481.0</v>
      </c>
    </row>
    <row r="443">
      <c r="A443" s="28">
        <v>45070.0</v>
      </c>
      <c r="B443" s="29">
        <f t="shared" si="1"/>
        <v>21</v>
      </c>
      <c r="C443" s="2" t="s">
        <v>81</v>
      </c>
    </row>
    <row r="444">
      <c r="A444" s="28">
        <v>45070.0</v>
      </c>
      <c r="B444" s="29">
        <f t="shared" si="1"/>
        <v>21</v>
      </c>
      <c r="C444" s="2" t="s">
        <v>82</v>
      </c>
    </row>
    <row r="445">
      <c r="A445" s="28">
        <v>45070.0</v>
      </c>
      <c r="B445" s="29">
        <f t="shared" si="1"/>
        <v>21</v>
      </c>
      <c r="C445" s="2" t="s">
        <v>83</v>
      </c>
      <c r="D445" s="2">
        <v>2035.0</v>
      </c>
    </row>
    <row r="446">
      <c r="A446" s="28">
        <v>45070.0</v>
      </c>
      <c r="B446" s="29">
        <f t="shared" si="1"/>
        <v>21</v>
      </c>
      <c r="C446" s="2" t="s">
        <v>84</v>
      </c>
      <c r="D446" s="2">
        <v>1235.0</v>
      </c>
    </row>
    <row r="447">
      <c r="A447" s="28">
        <v>45070.0</v>
      </c>
      <c r="B447" s="29">
        <f t="shared" si="1"/>
        <v>21</v>
      </c>
      <c r="C447" s="2" t="s">
        <v>85</v>
      </c>
      <c r="D447" s="2">
        <v>321.0</v>
      </c>
    </row>
    <row r="448">
      <c r="A448" s="28">
        <v>45070.0</v>
      </c>
      <c r="B448" s="29">
        <f t="shared" si="1"/>
        <v>21</v>
      </c>
      <c r="C448" s="2" t="s">
        <v>86</v>
      </c>
    </row>
    <row r="449">
      <c r="A449" s="28">
        <v>45070.0</v>
      </c>
      <c r="B449" s="29">
        <f t="shared" si="1"/>
        <v>21</v>
      </c>
      <c r="C449" s="2" t="s">
        <v>87</v>
      </c>
    </row>
    <row r="450">
      <c r="A450" s="28">
        <v>45070.0</v>
      </c>
      <c r="B450" s="29">
        <f t="shared" si="1"/>
        <v>21</v>
      </c>
      <c r="C450" s="2" t="s">
        <v>88</v>
      </c>
      <c r="D450" s="2">
        <v>585.0</v>
      </c>
    </row>
    <row r="451">
      <c r="A451" s="28">
        <v>45070.0</v>
      </c>
      <c r="B451" s="29">
        <f t="shared" si="1"/>
        <v>21</v>
      </c>
      <c r="C451" s="2" t="s">
        <v>89</v>
      </c>
      <c r="D451" s="2">
        <v>468.0</v>
      </c>
    </row>
    <row r="452">
      <c r="A452" s="28">
        <v>45070.0</v>
      </c>
      <c r="B452" s="29">
        <f t="shared" si="1"/>
        <v>21</v>
      </c>
      <c r="C452" s="2" t="s">
        <v>90</v>
      </c>
      <c r="D452" s="2">
        <v>0.0</v>
      </c>
    </row>
    <row r="453">
      <c r="A453" s="28">
        <v>45070.0</v>
      </c>
      <c r="B453" s="29">
        <f t="shared" si="1"/>
        <v>21</v>
      </c>
      <c r="C453" s="2" t="s">
        <v>91</v>
      </c>
    </row>
    <row r="454">
      <c r="A454" s="28">
        <v>45070.0</v>
      </c>
      <c r="B454" s="29">
        <f t="shared" si="1"/>
        <v>21</v>
      </c>
      <c r="C454" s="2" t="s">
        <v>92</v>
      </c>
    </row>
    <row r="455">
      <c r="A455" s="28">
        <v>45070.0</v>
      </c>
      <c r="B455" s="29">
        <f t="shared" si="1"/>
        <v>21</v>
      </c>
      <c r="C455" s="2" t="s">
        <v>93</v>
      </c>
    </row>
    <row r="456">
      <c r="A456" s="28">
        <v>45070.0</v>
      </c>
      <c r="B456" s="29">
        <f t="shared" si="1"/>
        <v>21</v>
      </c>
      <c r="C456" s="2" t="s">
        <v>94</v>
      </c>
    </row>
    <row r="457">
      <c r="A457" s="28">
        <v>45070.0</v>
      </c>
      <c r="B457" s="29">
        <f t="shared" si="1"/>
        <v>21</v>
      </c>
      <c r="C457" s="2" t="s">
        <v>95</v>
      </c>
    </row>
    <row r="458">
      <c r="A458" s="28">
        <v>45070.0</v>
      </c>
      <c r="B458" s="29">
        <f t="shared" si="1"/>
        <v>21</v>
      </c>
      <c r="C458" s="2" t="s">
        <v>96</v>
      </c>
      <c r="D458" s="2">
        <v>184.0</v>
      </c>
    </row>
    <row r="459">
      <c r="A459" s="28">
        <v>45070.0</v>
      </c>
      <c r="B459" s="29">
        <f t="shared" si="1"/>
        <v>21</v>
      </c>
      <c r="C459" s="2" t="s">
        <v>97</v>
      </c>
      <c r="D459" s="2">
        <v>1900.0</v>
      </c>
    </row>
    <row r="460">
      <c r="A460" s="28">
        <v>45070.0</v>
      </c>
      <c r="B460" s="29">
        <f t="shared" si="1"/>
        <v>21</v>
      </c>
      <c r="C460" s="2" t="s">
        <v>98</v>
      </c>
    </row>
    <row r="461">
      <c r="A461" s="28">
        <v>45070.0</v>
      </c>
      <c r="B461" s="29">
        <f t="shared" si="1"/>
        <v>21</v>
      </c>
      <c r="C461" s="2" t="s">
        <v>99</v>
      </c>
    </row>
    <row r="462">
      <c r="A462" s="28">
        <v>45070.0</v>
      </c>
      <c r="B462" s="29">
        <f t="shared" si="1"/>
        <v>21</v>
      </c>
      <c r="C462" s="2" t="s">
        <v>100</v>
      </c>
    </row>
    <row r="463">
      <c r="A463" s="28">
        <v>45077.0</v>
      </c>
      <c r="B463" s="29">
        <f t="shared" si="1"/>
        <v>22</v>
      </c>
      <c r="C463" s="2" t="s">
        <v>101</v>
      </c>
      <c r="D463" s="2">
        <v>5427.0</v>
      </c>
    </row>
    <row r="464">
      <c r="A464" s="28">
        <v>45077.0</v>
      </c>
      <c r="B464" s="29">
        <f t="shared" si="1"/>
        <v>22</v>
      </c>
      <c r="C464" s="2" t="s">
        <v>80</v>
      </c>
      <c r="D464" s="2">
        <v>574.0</v>
      </c>
    </row>
    <row r="465">
      <c r="A465" s="28">
        <v>45077.0</v>
      </c>
      <c r="B465" s="29">
        <f t="shared" si="1"/>
        <v>22</v>
      </c>
      <c r="C465" s="2" t="s">
        <v>81</v>
      </c>
    </row>
    <row r="466">
      <c r="A466" s="28">
        <v>45077.0</v>
      </c>
      <c r="B466" s="29">
        <f t="shared" si="1"/>
        <v>22</v>
      </c>
      <c r="C466" s="2" t="s">
        <v>82</v>
      </c>
    </row>
    <row r="467">
      <c r="A467" s="28">
        <v>45077.0</v>
      </c>
      <c r="B467" s="29">
        <f t="shared" si="1"/>
        <v>22</v>
      </c>
      <c r="C467" s="2" t="s">
        <v>83</v>
      </c>
      <c r="D467" s="2">
        <v>1360.0</v>
      </c>
    </row>
    <row r="468">
      <c r="A468" s="28">
        <v>45077.0</v>
      </c>
      <c r="B468" s="29">
        <f t="shared" si="1"/>
        <v>22</v>
      </c>
      <c r="C468" s="2" t="s">
        <v>84</v>
      </c>
      <c r="D468" s="2">
        <v>1607.0</v>
      </c>
    </row>
    <row r="469">
      <c r="A469" s="28">
        <v>45077.0</v>
      </c>
      <c r="B469" s="29">
        <f t="shared" si="1"/>
        <v>22</v>
      </c>
      <c r="C469" s="2" t="s">
        <v>85</v>
      </c>
      <c r="D469" s="2">
        <v>172.0</v>
      </c>
    </row>
    <row r="470">
      <c r="A470" s="28">
        <v>45077.0</v>
      </c>
      <c r="B470" s="29">
        <f t="shared" si="1"/>
        <v>22</v>
      </c>
      <c r="C470" s="2" t="s">
        <v>86</v>
      </c>
    </row>
    <row r="471">
      <c r="A471" s="28">
        <v>45077.0</v>
      </c>
      <c r="B471" s="29">
        <f t="shared" si="1"/>
        <v>22</v>
      </c>
      <c r="C471" s="2" t="s">
        <v>87</v>
      </c>
    </row>
    <row r="472">
      <c r="A472" s="28">
        <v>45077.0</v>
      </c>
      <c r="B472" s="29">
        <f t="shared" si="1"/>
        <v>22</v>
      </c>
      <c r="C472" s="2" t="s">
        <v>88</v>
      </c>
      <c r="D472" s="2">
        <v>304.0</v>
      </c>
    </row>
    <row r="473">
      <c r="A473" s="28">
        <v>45077.0</v>
      </c>
      <c r="B473" s="29">
        <f t="shared" si="1"/>
        <v>22</v>
      </c>
      <c r="C473" s="2" t="s">
        <v>89</v>
      </c>
      <c r="D473" s="2">
        <v>198.0</v>
      </c>
    </row>
    <row r="474">
      <c r="A474" s="28">
        <v>45077.0</v>
      </c>
      <c r="B474" s="29">
        <f t="shared" si="1"/>
        <v>22</v>
      </c>
      <c r="C474" s="2" t="s">
        <v>90</v>
      </c>
      <c r="D474" s="2">
        <v>87.0</v>
      </c>
    </row>
    <row r="475">
      <c r="A475" s="28">
        <v>45077.0</v>
      </c>
      <c r="B475" s="29">
        <f t="shared" si="1"/>
        <v>22</v>
      </c>
      <c r="C475" s="2" t="s">
        <v>91</v>
      </c>
    </row>
    <row r="476">
      <c r="A476" s="28">
        <v>45077.0</v>
      </c>
      <c r="B476" s="29">
        <f t="shared" si="1"/>
        <v>22</v>
      </c>
      <c r="C476" s="2" t="s">
        <v>92</v>
      </c>
    </row>
    <row r="477">
      <c r="A477" s="28">
        <v>45077.0</v>
      </c>
      <c r="B477" s="29">
        <f t="shared" si="1"/>
        <v>22</v>
      </c>
      <c r="C477" s="2" t="s">
        <v>93</v>
      </c>
    </row>
    <row r="478">
      <c r="A478" s="28">
        <v>45077.0</v>
      </c>
      <c r="B478" s="29">
        <f t="shared" si="1"/>
        <v>22</v>
      </c>
      <c r="C478" s="2" t="s">
        <v>94</v>
      </c>
    </row>
    <row r="479">
      <c r="A479" s="28">
        <v>45077.0</v>
      </c>
      <c r="B479" s="29">
        <f t="shared" si="1"/>
        <v>22</v>
      </c>
      <c r="C479" s="2" t="s">
        <v>95</v>
      </c>
    </row>
    <row r="480">
      <c r="A480" s="28">
        <v>45077.0</v>
      </c>
      <c r="B480" s="29">
        <f t="shared" si="1"/>
        <v>22</v>
      </c>
      <c r="C480" s="2" t="s">
        <v>96</v>
      </c>
      <c r="D480" s="2">
        <v>284.0</v>
      </c>
    </row>
    <row r="481">
      <c r="A481" s="28">
        <v>45077.0</v>
      </c>
      <c r="B481" s="29">
        <f t="shared" si="1"/>
        <v>22</v>
      </c>
      <c r="C481" s="2" t="s">
        <v>97</v>
      </c>
      <c r="D481" s="2">
        <v>841.0</v>
      </c>
    </row>
    <row r="482">
      <c r="A482" s="28">
        <v>45077.0</v>
      </c>
      <c r="B482" s="29">
        <f t="shared" si="1"/>
        <v>22</v>
      </c>
      <c r="C482" s="2" t="s">
        <v>98</v>
      </c>
    </row>
    <row r="483">
      <c r="A483" s="28">
        <v>45077.0</v>
      </c>
      <c r="B483" s="29">
        <f t="shared" si="1"/>
        <v>22</v>
      </c>
      <c r="C483" s="2" t="s">
        <v>99</v>
      </c>
    </row>
    <row r="484">
      <c r="A484" s="28">
        <v>45077.0</v>
      </c>
      <c r="B484" s="29">
        <f t="shared" si="1"/>
        <v>22</v>
      </c>
      <c r="C484" s="2" t="s">
        <v>100</v>
      </c>
    </row>
    <row r="485">
      <c r="A485" s="28">
        <v>45084.0</v>
      </c>
      <c r="B485" s="29">
        <f t="shared" si="1"/>
        <v>23</v>
      </c>
      <c r="C485" s="2" t="s">
        <v>101</v>
      </c>
      <c r="D485" s="2">
        <v>9172.0</v>
      </c>
    </row>
    <row r="486">
      <c r="A486" s="28">
        <v>45084.0</v>
      </c>
      <c r="B486" s="29">
        <f t="shared" si="1"/>
        <v>23</v>
      </c>
      <c r="C486" s="2" t="s">
        <v>80</v>
      </c>
      <c r="D486" s="2">
        <v>1095.0</v>
      </c>
    </row>
    <row r="487">
      <c r="A487" s="28">
        <v>45084.0</v>
      </c>
      <c r="B487" s="29">
        <f t="shared" si="1"/>
        <v>23</v>
      </c>
      <c r="C487" s="2" t="s">
        <v>81</v>
      </c>
    </row>
    <row r="488">
      <c r="A488" s="28">
        <v>45084.0</v>
      </c>
      <c r="B488" s="29">
        <f t="shared" si="1"/>
        <v>23</v>
      </c>
      <c r="C488" s="2" t="s">
        <v>82</v>
      </c>
    </row>
    <row r="489">
      <c r="A489" s="28">
        <v>45084.0</v>
      </c>
      <c r="B489" s="29">
        <f t="shared" si="1"/>
        <v>23</v>
      </c>
      <c r="C489" s="2" t="s">
        <v>83</v>
      </c>
      <c r="D489" s="2">
        <v>2544.0</v>
      </c>
    </row>
    <row r="490">
      <c r="A490" s="28">
        <v>45084.0</v>
      </c>
      <c r="B490" s="29">
        <f t="shared" si="1"/>
        <v>23</v>
      </c>
      <c r="C490" s="2" t="s">
        <v>84</v>
      </c>
      <c r="D490" s="2">
        <v>2439.0</v>
      </c>
    </row>
    <row r="491">
      <c r="A491" s="28">
        <v>45084.0</v>
      </c>
      <c r="B491" s="29">
        <f t="shared" si="1"/>
        <v>23</v>
      </c>
      <c r="C491" s="2" t="s">
        <v>85</v>
      </c>
      <c r="D491" s="2">
        <v>100.0</v>
      </c>
    </row>
    <row r="492">
      <c r="A492" s="28">
        <v>45084.0</v>
      </c>
      <c r="B492" s="29">
        <f t="shared" si="1"/>
        <v>23</v>
      </c>
      <c r="C492" s="2" t="s">
        <v>86</v>
      </c>
    </row>
    <row r="493">
      <c r="A493" s="28">
        <v>45084.0</v>
      </c>
      <c r="B493" s="29">
        <f t="shared" si="1"/>
        <v>23</v>
      </c>
      <c r="C493" s="2" t="s">
        <v>87</v>
      </c>
    </row>
    <row r="494">
      <c r="A494" s="28">
        <v>45084.0</v>
      </c>
      <c r="B494" s="29">
        <f t="shared" si="1"/>
        <v>23</v>
      </c>
      <c r="C494" s="2" t="s">
        <v>88</v>
      </c>
      <c r="D494" s="2">
        <v>533.0</v>
      </c>
    </row>
    <row r="495">
      <c r="A495" s="28">
        <v>45084.0</v>
      </c>
      <c r="B495" s="29">
        <f t="shared" si="1"/>
        <v>23</v>
      </c>
      <c r="C495" s="2" t="s">
        <v>89</v>
      </c>
      <c r="D495" s="2">
        <v>560.0</v>
      </c>
    </row>
    <row r="496">
      <c r="A496" s="28">
        <v>45084.0</v>
      </c>
      <c r="B496" s="29">
        <f t="shared" si="1"/>
        <v>23</v>
      </c>
      <c r="C496" s="2" t="s">
        <v>90</v>
      </c>
      <c r="D496" s="2">
        <v>138.0</v>
      </c>
    </row>
    <row r="497">
      <c r="A497" s="28">
        <v>45084.0</v>
      </c>
      <c r="B497" s="29">
        <f t="shared" si="1"/>
        <v>23</v>
      </c>
      <c r="C497" s="2" t="s">
        <v>91</v>
      </c>
    </row>
    <row r="498">
      <c r="A498" s="28">
        <v>45084.0</v>
      </c>
      <c r="B498" s="29">
        <f t="shared" si="1"/>
        <v>23</v>
      </c>
      <c r="C498" s="2" t="s">
        <v>92</v>
      </c>
    </row>
    <row r="499">
      <c r="A499" s="28">
        <v>45084.0</v>
      </c>
      <c r="B499" s="29">
        <f t="shared" si="1"/>
        <v>23</v>
      </c>
      <c r="C499" s="2" t="s">
        <v>93</v>
      </c>
    </row>
    <row r="500">
      <c r="A500" s="28">
        <v>45084.0</v>
      </c>
      <c r="B500" s="29">
        <f t="shared" si="1"/>
        <v>23</v>
      </c>
      <c r="C500" s="2" t="s">
        <v>94</v>
      </c>
    </row>
    <row r="501">
      <c r="A501" s="28">
        <v>45084.0</v>
      </c>
      <c r="B501" s="29">
        <f t="shared" si="1"/>
        <v>23</v>
      </c>
      <c r="C501" s="2" t="s">
        <v>95</v>
      </c>
    </row>
    <row r="502">
      <c r="A502" s="28">
        <v>45084.0</v>
      </c>
      <c r="B502" s="29">
        <f t="shared" si="1"/>
        <v>23</v>
      </c>
      <c r="C502" s="2" t="s">
        <v>96</v>
      </c>
      <c r="D502" s="2">
        <v>255.0</v>
      </c>
    </row>
    <row r="503">
      <c r="A503" s="28">
        <v>45084.0</v>
      </c>
      <c r="B503" s="29">
        <f t="shared" si="1"/>
        <v>23</v>
      </c>
      <c r="C503" s="2" t="s">
        <v>97</v>
      </c>
      <c r="D503" s="2">
        <v>1508.0</v>
      </c>
    </row>
    <row r="504">
      <c r="A504" s="28">
        <v>45084.0</v>
      </c>
      <c r="B504" s="29">
        <f t="shared" si="1"/>
        <v>23</v>
      </c>
      <c r="C504" s="2" t="s">
        <v>98</v>
      </c>
    </row>
    <row r="505">
      <c r="A505" s="28">
        <v>45084.0</v>
      </c>
      <c r="B505" s="29">
        <f t="shared" si="1"/>
        <v>23</v>
      </c>
      <c r="C505" s="2" t="s">
        <v>99</v>
      </c>
    </row>
    <row r="506">
      <c r="A506" s="28">
        <v>45084.0</v>
      </c>
      <c r="B506" s="29">
        <f t="shared" si="1"/>
        <v>23</v>
      </c>
      <c r="C506" s="2" t="s">
        <v>100</v>
      </c>
    </row>
    <row r="507">
      <c r="A507" s="28">
        <v>45091.0</v>
      </c>
      <c r="B507" s="29">
        <f t="shared" si="1"/>
        <v>24</v>
      </c>
      <c r="C507" s="2" t="s">
        <v>101</v>
      </c>
      <c r="D507" s="2">
        <v>10990.0</v>
      </c>
    </row>
    <row r="508">
      <c r="A508" s="28">
        <v>45091.0</v>
      </c>
      <c r="B508" s="29">
        <f t="shared" si="1"/>
        <v>24</v>
      </c>
      <c r="C508" s="2" t="s">
        <v>80</v>
      </c>
      <c r="D508" s="2">
        <v>1399.0</v>
      </c>
    </row>
    <row r="509">
      <c r="A509" s="28">
        <v>45091.0</v>
      </c>
      <c r="B509" s="29">
        <f t="shared" si="1"/>
        <v>24</v>
      </c>
      <c r="C509" s="2" t="s">
        <v>81</v>
      </c>
    </row>
    <row r="510">
      <c r="A510" s="28">
        <v>45091.0</v>
      </c>
      <c r="B510" s="29">
        <f t="shared" si="1"/>
        <v>24</v>
      </c>
      <c r="C510" s="2" t="s">
        <v>82</v>
      </c>
    </row>
    <row r="511">
      <c r="A511" s="28">
        <v>45091.0</v>
      </c>
      <c r="B511" s="29">
        <f t="shared" si="1"/>
        <v>24</v>
      </c>
      <c r="C511" s="2" t="s">
        <v>83</v>
      </c>
      <c r="D511" s="2">
        <v>3516.0</v>
      </c>
    </row>
    <row r="512">
      <c r="A512" s="28">
        <v>45091.0</v>
      </c>
      <c r="B512" s="29">
        <f t="shared" si="1"/>
        <v>24</v>
      </c>
      <c r="C512" s="2" t="s">
        <v>84</v>
      </c>
      <c r="D512" s="2">
        <v>2231.0</v>
      </c>
    </row>
    <row r="513">
      <c r="A513" s="28">
        <v>45091.0</v>
      </c>
      <c r="B513" s="29">
        <f t="shared" si="1"/>
        <v>24</v>
      </c>
      <c r="C513" s="2" t="s">
        <v>85</v>
      </c>
      <c r="D513" s="2">
        <v>102.0</v>
      </c>
    </row>
    <row r="514">
      <c r="A514" s="28">
        <v>45091.0</v>
      </c>
      <c r="B514" s="29">
        <f t="shared" si="1"/>
        <v>24</v>
      </c>
      <c r="C514" s="2" t="s">
        <v>86</v>
      </c>
    </row>
    <row r="515">
      <c r="A515" s="28">
        <v>45091.0</v>
      </c>
      <c r="B515" s="29">
        <f t="shared" si="1"/>
        <v>24</v>
      </c>
      <c r="C515" s="2" t="s">
        <v>87</v>
      </c>
    </row>
    <row r="516">
      <c r="A516" s="28">
        <v>45091.0</v>
      </c>
      <c r="B516" s="29">
        <f t="shared" si="1"/>
        <v>24</v>
      </c>
      <c r="C516" s="2" t="s">
        <v>88</v>
      </c>
      <c r="D516" s="2">
        <v>811.0</v>
      </c>
    </row>
    <row r="517">
      <c r="A517" s="28">
        <v>45091.0</v>
      </c>
      <c r="B517" s="29">
        <f t="shared" si="1"/>
        <v>24</v>
      </c>
      <c r="C517" s="2" t="s">
        <v>89</v>
      </c>
      <c r="D517" s="2">
        <v>570.0</v>
      </c>
    </row>
    <row r="518">
      <c r="A518" s="28">
        <v>45091.0</v>
      </c>
      <c r="B518" s="29">
        <f t="shared" si="1"/>
        <v>24</v>
      </c>
      <c r="C518" s="2" t="s">
        <v>90</v>
      </c>
      <c r="D518" s="2">
        <v>39.0</v>
      </c>
    </row>
    <row r="519">
      <c r="A519" s="28">
        <v>45091.0</v>
      </c>
      <c r="B519" s="29">
        <f t="shared" si="1"/>
        <v>24</v>
      </c>
      <c r="C519" s="2" t="s">
        <v>91</v>
      </c>
    </row>
    <row r="520">
      <c r="A520" s="28">
        <v>45091.0</v>
      </c>
      <c r="B520" s="29">
        <f t="shared" si="1"/>
        <v>24</v>
      </c>
      <c r="C520" s="2" t="s">
        <v>92</v>
      </c>
    </row>
    <row r="521">
      <c r="A521" s="28">
        <v>45091.0</v>
      </c>
      <c r="B521" s="29">
        <f t="shared" si="1"/>
        <v>24</v>
      </c>
      <c r="C521" s="2" t="s">
        <v>93</v>
      </c>
    </row>
    <row r="522">
      <c r="A522" s="28">
        <v>45091.0</v>
      </c>
      <c r="B522" s="29">
        <f t="shared" si="1"/>
        <v>24</v>
      </c>
      <c r="C522" s="2" t="s">
        <v>94</v>
      </c>
    </row>
    <row r="523">
      <c r="A523" s="28">
        <v>45091.0</v>
      </c>
      <c r="B523" s="29">
        <f t="shared" si="1"/>
        <v>24</v>
      </c>
      <c r="C523" s="2" t="s">
        <v>95</v>
      </c>
    </row>
    <row r="524">
      <c r="A524" s="28">
        <v>45091.0</v>
      </c>
      <c r="B524" s="29">
        <f t="shared" si="1"/>
        <v>24</v>
      </c>
      <c r="C524" s="2" t="s">
        <v>96</v>
      </c>
      <c r="D524" s="2">
        <v>391.0</v>
      </c>
    </row>
    <row r="525">
      <c r="A525" s="28">
        <v>45091.0</v>
      </c>
      <c r="B525" s="29">
        <f t="shared" si="1"/>
        <v>24</v>
      </c>
      <c r="C525" s="2" t="s">
        <v>97</v>
      </c>
      <c r="D525" s="2">
        <v>1931.0</v>
      </c>
    </row>
    <row r="526">
      <c r="A526" s="28">
        <v>45091.0</v>
      </c>
      <c r="B526" s="29">
        <f t="shared" si="1"/>
        <v>24</v>
      </c>
      <c r="C526" s="2" t="s">
        <v>98</v>
      </c>
    </row>
    <row r="527">
      <c r="A527" s="28">
        <v>45091.0</v>
      </c>
      <c r="B527" s="29">
        <f t="shared" si="1"/>
        <v>24</v>
      </c>
      <c r="C527" s="2" t="s">
        <v>99</v>
      </c>
    </row>
    <row r="528">
      <c r="A528" s="28">
        <v>45091.0</v>
      </c>
      <c r="B528" s="29">
        <f t="shared" si="1"/>
        <v>24</v>
      </c>
      <c r="C528" s="2" t="s">
        <v>100</v>
      </c>
    </row>
    <row r="529">
      <c r="A529" s="28">
        <v>45098.0</v>
      </c>
      <c r="B529" s="29">
        <f t="shared" si="1"/>
        <v>25</v>
      </c>
      <c r="C529" s="2" t="s">
        <v>101</v>
      </c>
      <c r="D529" s="2">
        <v>8197.0</v>
      </c>
    </row>
    <row r="530">
      <c r="A530" s="28">
        <v>45098.0</v>
      </c>
      <c r="B530" s="29">
        <f t="shared" si="1"/>
        <v>25</v>
      </c>
      <c r="C530" s="2" t="s">
        <v>80</v>
      </c>
      <c r="D530" s="2">
        <v>1724.0</v>
      </c>
    </row>
    <row r="531">
      <c r="A531" s="28">
        <v>45098.0</v>
      </c>
      <c r="B531" s="29">
        <f t="shared" si="1"/>
        <v>25</v>
      </c>
      <c r="C531" s="2" t="s">
        <v>81</v>
      </c>
    </row>
    <row r="532">
      <c r="A532" s="28">
        <v>45098.0</v>
      </c>
      <c r="B532" s="29">
        <f t="shared" si="1"/>
        <v>25</v>
      </c>
      <c r="C532" s="2" t="s">
        <v>82</v>
      </c>
    </row>
    <row r="533">
      <c r="A533" s="28">
        <v>45098.0</v>
      </c>
      <c r="B533" s="29">
        <f t="shared" si="1"/>
        <v>25</v>
      </c>
      <c r="C533" s="2" t="s">
        <v>83</v>
      </c>
      <c r="D533" s="2">
        <v>2274.0</v>
      </c>
    </row>
    <row r="534">
      <c r="A534" s="28">
        <v>45098.0</v>
      </c>
      <c r="B534" s="29">
        <f t="shared" si="1"/>
        <v>25</v>
      </c>
      <c r="C534" s="2" t="s">
        <v>84</v>
      </c>
      <c r="D534" s="2">
        <v>1882.0</v>
      </c>
    </row>
    <row r="535">
      <c r="A535" s="28">
        <v>45098.0</v>
      </c>
      <c r="B535" s="29">
        <f t="shared" si="1"/>
        <v>25</v>
      </c>
      <c r="C535" s="2" t="s">
        <v>85</v>
      </c>
      <c r="D535" s="2">
        <v>100.0</v>
      </c>
    </row>
    <row r="536">
      <c r="A536" s="28">
        <v>45098.0</v>
      </c>
      <c r="B536" s="29">
        <f t="shared" si="1"/>
        <v>25</v>
      </c>
      <c r="C536" s="2" t="s">
        <v>86</v>
      </c>
    </row>
    <row r="537">
      <c r="A537" s="28">
        <v>45098.0</v>
      </c>
      <c r="B537" s="29">
        <f t="shared" si="1"/>
        <v>25</v>
      </c>
      <c r="C537" s="2" t="s">
        <v>87</v>
      </c>
    </row>
    <row r="538">
      <c r="A538" s="28">
        <v>45098.0</v>
      </c>
      <c r="B538" s="29">
        <f t="shared" si="1"/>
        <v>25</v>
      </c>
      <c r="C538" s="2" t="s">
        <v>88</v>
      </c>
      <c r="D538" s="2">
        <v>370.0</v>
      </c>
    </row>
    <row r="539">
      <c r="A539" s="28">
        <v>45098.0</v>
      </c>
      <c r="B539" s="29">
        <f t="shared" si="1"/>
        <v>25</v>
      </c>
      <c r="C539" s="2" t="s">
        <v>89</v>
      </c>
      <c r="D539" s="2">
        <v>196.0</v>
      </c>
    </row>
    <row r="540">
      <c r="A540" s="28">
        <v>45098.0</v>
      </c>
      <c r="B540" s="29">
        <f t="shared" si="1"/>
        <v>25</v>
      </c>
      <c r="C540" s="2" t="s">
        <v>90</v>
      </c>
      <c r="D540" s="2">
        <v>0.0</v>
      </c>
    </row>
    <row r="541">
      <c r="A541" s="28">
        <v>45098.0</v>
      </c>
      <c r="B541" s="29">
        <f t="shared" si="1"/>
        <v>25</v>
      </c>
      <c r="C541" s="2" t="s">
        <v>91</v>
      </c>
    </row>
    <row r="542">
      <c r="A542" s="28">
        <v>45098.0</v>
      </c>
      <c r="B542" s="29">
        <f t="shared" si="1"/>
        <v>25</v>
      </c>
      <c r="C542" s="2" t="s">
        <v>92</v>
      </c>
    </row>
    <row r="543">
      <c r="A543" s="28">
        <v>45098.0</v>
      </c>
      <c r="B543" s="29">
        <f t="shared" si="1"/>
        <v>25</v>
      </c>
      <c r="C543" s="2" t="s">
        <v>93</v>
      </c>
    </row>
    <row r="544">
      <c r="A544" s="28">
        <v>45098.0</v>
      </c>
      <c r="B544" s="29">
        <f t="shared" si="1"/>
        <v>25</v>
      </c>
      <c r="C544" s="2" t="s">
        <v>94</v>
      </c>
    </row>
    <row r="545">
      <c r="A545" s="28">
        <v>45098.0</v>
      </c>
      <c r="B545" s="29">
        <f t="shared" si="1"/>
        <v>25</v>
      </c>
      <c r="C545" s="2" t="s">
        <v>95</v>
      </c>
    </row>
    <row r="546">
      <c r="A546" s="28">
        <v>45098.0</v>
      </c>
      <c r="B546" s="29">
        <f t="shared" si="1"/>
        <v>25</v>
      </c>
      <c r="C546" s="2" t="s">
        <v>96</v>
      </c>
      <c r="D546" s="2">
        <v>304.0</v>
      </c>
    </row>
    <row r="547">
      <c r="A547" s="28">
        <v>45098.0</v>
      </c>
      <c r="B547" s="29">
        <f t="shared" si="1"/>
        <v>25</v>
      </c>
      <c r="C547" s="2" t="s">
        <v>97</v>
      </c>
      <c r="D547" s="2">
        <v>1347.0</v>
      </c>
    </row>
    <row r="548">
      <c r="A548" s="28">
        <v>45098.0</v>
      </c>
      <c r="B548" s="29">
        <f t="shared" si="1"/>
        <v>25</v>
      </c>
      <c r="C548" s="2" t="s">
        <v>98</v>
      </c>
    </row>
    <row r="549">
      <c r="A549" s="28">
        <v>45098.0</v>
      </c>
      <c r="B549" s="29">
        <f t="shared" si="1"/>
        <v>25</v>
      </c>
      <c r="C549" s="2" t="s">
        <v>99</v>
      </c>
    </row>
    <row r="550">
      <c r="A550" s="28">
        <v>45098.0</v>
      </c>
      <c r="B550" s="29">
        <f t="shared" si="1"/>
        <v>25</v>
      </c>
      <c r="C550" s="2" t="s">
        <v>100</v>
      </c>
    </row>
    <row r="551">
      <c r="A551" s="28">
        <v>45105.0</v>
      </c>
      <c r="B551" s="29">
        <f t="shared" si="1"/>
        <v>26</v>
      </c>
      <c r="C551" s="2" t="s">
        <v>101</v>
      </c>
      <c r="D551" s="2">
        <v>9110.0</v>
      </c>
    </row>
    <row r="552">
      <c r="A552" s="28">
        <v>45105.0</v>
      </c>
      <c r="B552" s="29">
        <f t="shared" si="1"/>
        <v>26</v>
      </c>
      <c r="C552" s="2" t="s">
        <v>80</v>
      </c>
      <c r="D552" s="2">
        <v>1672.0</v>
      </c>
    </row>
    <row r="553">
      <c r="A553" s="28">
        <v>45105.0</v>
      </c>
      <c r="B553" s="29">
        <f t="shared" si="1"/>
        <v>26</v>
      </c>
      <c r="C553" s="2" t="s">
        <v>81</v>
      </c>
    </row>
    <row r="554">
      <c r="A554" s="28">
        <v>45105.0</v>
      </c>
      <c r="B554" s="29">
        <f t="shared" si="1"/>
        <v>26</v>
      </c>
      <c r="C554" s="2" t="s">
        <v>82</v>
      </c>
    </row>
    <row r="555">
      <c r="A555" s="28">
        <v>45105.0</v>
      </c>
      <c r="B555" s="29">
        <f t="shared" si="1"/>
        <v>26</v>
      </c>
      <c r="C555" s="2" t="s">
        <v>83</v>
      </c>
      <c r="D555" s="2">
        <v>1599.0</v>
      </c>
    </row>
    <row r="556">
      <c r="A556" s="28">
        <v>45105.0</v>
      </c>
      <c r="B556" s="29">
        <f t="shared" si="1"/>
        <v>26</v>
      </c>
      <c r="C556" s="2" t="s">
        <v>84</v>
      </c>
      <c r="D556" s="2">
        <v>1880.0</v>
      </c>
    </row>
    <row r="557">
      <c r="A557" s="28">
        <v>45105.0</v>
      </c>
      <c r="B557" s="29">
        <f t="shared" si="1"/>
        <v>26</v>
      </c>
      <c r="C557" s="2" t="s">
        <v>85</v>
      </c>
      <c r="D557" s="2">
        <v>126.0</v>
      </c>
    </row>
    <row r="558">
      <c r="A558" s="28">
        <v>45105.0</v>
      </c>
      <c r="B558" s="29">
        <f t="shared" si="1"/>
        <v>26</v>
      </c>
      <c r="C558" s="2" t="s">
        <v>86</v>
      </c>
    </row>
    <row r="559">
      <c r="A559" s="28">
        <v>45105.0</v>
      </c>
      <c r="B559" s="29">
        <f t="shared" si="1"/>
        <v>26</v>
      </c>
      <c r="C559" s="2" t="s">
        <v>87</v>
      </c>
    </row>
    <row r="560">
      <c r="A560" s="28">
        <v>45105.0</v>
      </c>
      <c r="B560" s="29">
        <f t="shared" si="1"/>
        <v>26</v>
      </c>
      <c r="C560" s="2" t="s">
        <v>88</v>
      </c>
      <c r="D560" s="2">
        <v>460.0</v>
      </c>
    </row>
    <row r="561">
      <c r="A561" s="28">
        <v>45105.0</v>
      </c>
      <c r="B561" s="29">
        <f t="shared" si="1"/>
        <v>26</v>
      </c>
      <c r="C561" s="2" t="s">
        <v>89</v>
      </c>
      <c r="D561" s="2">
        <v>179.0</v>
      </c>
    </row>
    <row r="562">
      <c r="A562" s="28">
        <v>45105.0</v>
      </c>
      <c r="B562" s="29">
        <f t="shared" si="1"/>
        <v>26</v>
      </c>
      <c r="C562" s="2" t="s">
        <v>90</v>
      </c>
      <c r="D562" s="2">
        <v>96.0</v>
      </c>
    </row>
    <row r="563">
      <c r="A563" s="28">
        <v>45105.0</v>
      </c>
      <c r="B563" s="29">
        <f t="shared" si="1"/>
        <v>26</v>
      </c>
      <c r="C563" s="2" t="s">
        <v>91</v>
      </c>
    </row>
    <row r="564">
      <c r="A564" s="28">
        <v>45105.0</v>
      </c>
      <c r="B564" s="29">
        <f t="shared" si="1"/>
        <v>26</v>
      </c>
      <c r="C564" s="2" t="s">
        <v>92</v>
      </c>
    </row>
    <row r="565">
      <c r="A565" s="28">
        <v>45105.0</v>
      </c>
      <c r="B565" s="29">
        <f t="shared" si="1"/>
        <v>26</v>
      </c>
      <c r="C565" s="2" t="s">
        <v>93</v>
      </c>
    </row>
    <row r="566">
      <c r="A566" s="28">
        <v>45105.0</v>
      </c>
      <c r="B566" s="29">
        <f t="shared" si="1"/>
        <v>26</v>
      </c>
      <c r="C566" s="2" t="s">
        <v>94</v>
      </c>
    </row>
    <row r="567">
      <c r="A567" s="28">
        <v>45105.0</v>
      </c>
      <c r="B567" s="29">
        <f t="shared" si="1"/>
        <v>26</v>
      </c>
      <c r="C567" s="2" t="s">
        <v>95</v>
      </c>
    </row>
    <row r="568">
      <c r="A568" s="28">
        <v>45105.0</v>
      </c>
      <c r="B568" s="29">
        <f t="shared" si="1"/>
        <v>26</v>
      </c>
      <c r="C568" s="2" t="s">
        <v>96</v>
      </c>
      <c r="D568" s="2">
        <v>0.0</v>
      </c>
    </row>
    <row r="569">
      <c r="A569" s="28">
        <v>45105.0</v>
      </c>
      <c r="B569" s="29">
        <f t="shared" si="1"/>
        <v>26</v>
      </c>
      <c r="C569" s="2" t="s">
        <v>97</v>
      </c>
      <c r="D569" s="2">
        <v>3098.0</v>
      </c>
    </row>
    <row r="570">
      <c r="A570" s="28">
        <v>45105.0</v>
      </c>
      <c r="B570" s="29">
        <f t="shared" si="1"/>
        <v>26</v>
      </c>
      <c r="C570" s="2" t="s">
        <v>98</v>
      </c>
    </row>
    <row r="571">
      <c r="A571" s="28">
        <v>45105.0</v>
      </c>
      <c r="B571" s="29">
        <f t="shared" si="1"/>
        <v>26</v>
      </c>
      <c r="C571" s="2" t="s">
        <v>99</v>
      </c>
    </row>
    <row r="572">
      <c r="A572" s="28">
        <v>45105.0</v>
      </c>
      <c r="B572" s="29">
        <f t="shared" si="1"/>
        <v>26</v>
      </c>
      <c r="C572" s="2" t="s">
        <v>100</v>
      </c>
    </row>
    <row r="573">
      <c r="A573" s="28">
        <v>45112.0</v>
      </c>
      <c r="B573" s="29">
        <f t="shared" si="1"/>
        <v>27</v>
      </c>
      <c r="C573" s="2" t="s">
        <v>101</v>
      </c>
      <c r="D573" s="2">
        <v>0.0</v>
      </c>
    </row>
    <row r="574">
      <c r="A574" s="28">
        <v>45112.0</v>
      </c>
      <c r="B574" s="29">
        <f t="shared" si="1"/>
        <v>27</v>
      </c>
      <c r="C574" s="2" t="s">
        <v>80</v>
      </c>
      <c r="D574" s="2">
        <v>0.0</v>
      </c>
    </row>
    <row r="575">
      <c r="A575" s="28">
        <v>45112.0</v>
      </c>
      <c r="B575" s="29">
        <f t="shared" si="1"/>
        <v>27</v>
      </c>
      <c r="C575" s="2" t="s">
        <v>81</v>
      </c>
    </row>
    <row r="576">
      <c r="A576" s="28">
        <v>45112.0</v>
      </c>
      <c r="B576" s="29">
        <f t="shared" si="1"/>
        <v>27</v>
      </c>
      <c r="C576" s="2" t="s">
        <v>82</v>
      </c>
    </row>
    <row r="577">
      <c r="A577" s="28">
        <v>45112.0</v>
      </c>
      <c r="B577" s="29">
        <f t="shared" si="1"/>
        <v>27</v>
      </c>
      <c r="C577" s="2" t="s">
        <v>83</v>
      </c>
      <c r="D577" s="2">
        <v>0.0</v>
      </c>
    </row>
    <row r="578">
      <c r="A578" s="28">
        <v>45112.0</v>
      </c>
      <c r="B578" s="29">
        <f t="shared" si="1"/>
        <v>27</v>
      </c>
      <c r="C578" s="2" t="s">
        <v>84</v>
      </c>
      <c r="D578" s="2">
        <v>0.0</v>
      </c>
    </row>
    <row r="579">
      <c r="A579" s="28">
        <v>45112.0</v>
      </c>
      <c r="B579" s="29">
        <f t="shared" si="1"/>
        <v>27</v>
      </c>
      <c r="C579" s="2" t="s">
        <v>85</v>
      </c>
      <c r="D579" s="2">
        <v>0.0</v>
      </c>
    </row>
    <row r="580">
      <c r="A580" s="28">
        <v>45112.0</v>
      </c>
      <c r="B580" s="29">
        <f t="shared" si="1"/>
        <v>27</v>
      </c>
      <c r="C580" s="2" t="s">
        <v>86</v>
      </c>
    </row>
    <row r="581">
      <c r="A581" s="28">
        <v>45112.0</v>
      </c>
      <c r="B581" s="29">
        <f t="shared" si="1"/>
        <v>27</v>
      </c>
      <c r="C581" s="2" t="s">
        <v>87</v>
      </c>
    </row>
    <row r="582">
      <c r="A582" s="28">
        <v>45112.0</v>
      </c>
      <c r="B582" s="29">
        <f t="shared" si="1"/>
        <v>27</v>
      </c>
      <c r="C582" s="2" t="s">
        <v>88</v>
      </c>
      <c r="D582" s="2">
        <v>0.0</v>
      </c>
    </row>
    <row r="583">
      <c r="A583" s="28">
        <v>45112.0</v>
      </c>
      <c r="B583" s="29">
        <f t="shared" si="1"/>
        <v>27</v>
      </c>
      <c r="C583" s="2" t="s">
        <v>89</v>
      </c>
      <c r="D583" s="2">
        <v>0.0</v>
      </c>
    </row>
    <row r="584">
      <c r="A584" s="28">
        <v>45112.0</v>
      </c>
      <c r="B584" s="29">
        <f t="shared" si="1"/>
        <v>27</v>
      </c>
      <c r="C584" s="2" t="s">
        <v>90</v>
      </c>
      <c r="D584" s="2">
        <v>0.0</v>
      </c>
    </row>
    <row r="585">
      <c r="A585" s="28">
        <v>45112.0</v>
      </c>
      <c r="B585" s="29">
        <f t="shared" si="1"/>
        <v>27</v>
      </c>
      <c r="C585" s="2" t="s">
        <v>91</v>
      </c>
    </row>
    <row r="586">
      <c r="A586" s="28">
        <v>45112.0</v>
      </c>
      <c r="B586" s="29">
        <f t="shared" si="1"/>
        <v>27</v>
      </c>
      <c r="C586" s="2" t="s">
        <v>92</v>
      </c>
    </row>
    <row r="587">
      <c r="A587" s="28">
        <v>45112.0</v>
      </c>
      <c r="B587" s="29">
        <f t="shared" si="1"/>
        <v>27</v>
      </c>
      <c r="C587" s="2" t="s">
        <v>93</v>
      </c>
    </row>
    <row r="588">
      <c r="A588" s="28">
        <v>45112.0</v>
      </c>
      <c r="B588" s="29">
        <f t="shared" si="1"/>
        <v>27</v>
      </c>
      <c r="C588" s="2" t="s">
        <v>94</v>
      </c>
    </row>
    <row r="589">
      <c r="A589" s="28">
        <v>45112.0</v>
      </c>
      <c r="B589" s="29">
        <f t="shared" si="1"/>
        <v>27</v>
      </c>
      <c r="C589" s="2" t="s">
        <v>95</v>
      </c>
    </row>
    <row r="590">
      <c r="A590" s="28">
        <v>45112.0</v>
      </c>
      <c r="B590" s="29">
        <f t="shared" si="1"/>
        <v>27</v>
      </c>
      <c r="C590" s="2" t="s">
        <v>96</v>
      </c>
      <c r="D590" s="2">
        <v>0.0</v>
      </c>
    </row>
    <row r="591">
      <c r="A591" s="28">
        <v>45112.0</v>
      </c>
      <c r="B591" s="29">
        <f t="shared" si="1"/>
        <v>27</v>
      </c>
      <c r="C591" s="2" t="s">
        <v>97</v>
      </c>
      <c r="D591" s="2">
        <v>0.0</v>
      </c>
    </row>
    <row r="592">
      <c r="A592" s="28">
        <v>45112.0</v>
      </c>
      <c r="B592" s="29">
        <f t="shared" si="1"/>
        <v>27</v>
      </c>
      <c r="C592" s="2" t="s">
        <v>98</v>
      </c>
    </row>
    <row r="593">
      <c r="A593" s="28">
        <v>45112.0</v>
      </c>
      <c r="B593" s="29">
        <f t="shared" si="1"/>
        <v>27</v>
      </c>
      <c r="C593" s="2" t="s">
        <v>99</v>
      </c>
    </row>
    <row r="594">
      <c r="A594" s="28">
        <v>45112.0</v>
      </c>
      <c r="B594" s="29">
        <f t="shared" si="1"/>
        <v>27</v>
      </c>
      <c r="C594" s="2" t="s">
        <v>100</v>
      </c>
    </row>
    <row r="595">
      <c r="A595" s="28">
        <v>45118.0</v>
      </c>
      <c r="B595" s="29">
        <f t="shared" si="1"/>
        <v>28</v>
      </c>
      <c r="C595" s="2" t="s">
        <v>101</v>
      </c>
      <c r="D595" s="2">
        <v>9509.0</v>
      </c>
    </row>
    <row r="596">
      <c r="A596" s="28">
        <v>45118.0</v>
      </c>
      <c r="B596" s="29">
        <f t="shared" si="1"/>
        <v>28</v>
      </c>
      <c r="C596" s="2" t="s">
        <v>80</v>
      </c>
      <c r="D596" s="2">
        <v>2143.0</v>
      </c>
    </row>
    <row r="597">
      <c r="A597" s="28">
        <v>45118.0</v>
      </c>
      <c r="B597" s="29">
        <f t="shared" si="1"/>
        <v>28</v>
      </c>
      <c r="C597" s="2" t="s">
        <v>81</v>
      </c>
    </row>
    <row r="598">
      <c r="A598" s="28">
        <v>45118.0</v>
      </c>
      <c r="B598" s="29">
        <f t="shared" si="1"/>
        <v>28</v>
      </c>
      <c r="C598" s="2" t="s">
        <v>82</v>
      </c>
    </row>
    <row r="599">
      <c r="A599" s="28">
        <v>45118.0</v>
      </c>
      <c r="B599" s="29">
        <f t="shared" si="1"/>
        <v>28</v>
      </c>
      <c r="C599" s="2" t="s">
        <v>83</v>
      </c>
      <c r="D599" s="2">
        <v>2350.0</v>
      </c>
    </row>
    <row r="600">
      <c r="A600" s="28">
        <v>45118.0</v>
      </c>
      <c r="B600" s="29">
        <f t="shared" si="1"/>
        <v>28</v>
      </c>
      <c r="C600" s="2" t="s">
        <v>84</v>
      </c>
      <c r="D600" s="2">
        <v>1690.0</v>
      </c>
    </row>
    <row r="601">
      <c r="A601" s="28">
        <v>45118.0</v>
      </c>
      <c r="B601" s="29">
        <f t="shared" si="1"/>
        <v>28</v>
      </c>
      <c r="C601" s="2" t="s">
        <v>85</v>
      </c>
      <c r="D601" s="2">
        <v>0.0</v>
      </c>
    </row>
    <row r="602">
      <c r="A602" s="28">
        <v>45118.0</v>
      </c>
      <c r="B602" s="29">
        <f t="shared" si="1"/>
        <v>28</v>
      </c>
      <c r="C602" s="2" t="s">
        <v>86</v>
      </c>
    </row>
    <row r="603">
      <c r="A603" s="28">
        <v>45118.0</v>
      </c>
      <c r="B603" s="29">
        <f t="shared" si="1"/>
        <v>28</v>
      </c>
      <c r="C603" s="2" t="s">
        <v>87</v>
      </c>
    </row>
    <row r="604">
      <c r="A604" s="28">
        <v>45118.0</v>
      </c>
      <c r="B604" s="29">
        <f t="shared" si="1"/>
        <v>28</v>
      </c>
      <c r="C604" s="2" t="s">
        <v>88</v>
      </c>
      <c r="D604" s="2">
        <v>481.0</v>
      </c>
    </row>
    <row r="605">
      <c r="A605" s="28">
        <v>45118.0</v>
      </c>
      <c r="B605" s="29">
        <f t="shared" si="1"/>
        <v>28</v>
      </c>
      <c r="C605" s="2" t="s">
        <v>89</v>
      </c>
      <c r="D605" s="2">
        <v>656.0</v>
      </c>
    </row>
    <row r="606">
      <c r="A606" s="28">
        <v>45118.0</v>
      </c>
      <c r="B606" s="29">
        <f t="shared" si="1"/>
        <v>28</v>
      </c>
      <c r="C606" s="2" t="s">
        <v>90</v>
      </c>
      <c r="D606" s="2">
        <v>242.0</v>
      </c>
    </row>
    <row r="607">
      <c r="A607" s="28">
        <v>45118.0</v>
      </c>
      <c r="B607" s="29">
        <f t="shared" si="1"/>
        <v>28</v>
      </c>
      <c r="C607" s="2" t="s">
        <v>91</v>
      </c>
    </row>
    <row r="608">
      <c r="A608" s="28">
        <v>45118.0</v>
      </c>
      <c r="B608" s="29">
        <f t="shared" si="1"/>
        <v>28</v>
      </c>
      <c r="C608" s="2" t="s">
        <v>92</v>
      </c>
    </row>
    <row r="609">
      <c r="A609" s="28">
        <v>45118.0</v>
      </c>
      <c r="B609" s="29">
        <f t="shared" si="1"/>
        <v>28</v>
      </c>
      <c r="C609" s="2" t="s">
        <v>93</v>
      </c>
    </row>
    <row r="610">
      <c r="A610" s="28">
        <v>45118.0</v>
      </c>
      <c r="B610" s="29">
        <f t="shared" si="1"/>
        <v>28</v>
      </c>
      <c r="C610" s="2" t="s">
        <v>94</v>
      </c>
    </row>
    <row r="611">
      <c r="A611" s="28">
        <v>45118.0</v>
      </c>
      <c r="B611" s="29">
        <f t="shared" si="1"/>
        <v>28</v>
      </c>
      <c r="C611" s="2" t="s">
        <v>95</v>
      </c>
    </row>
    <row r="612">
      <c r="A612" s="28">
        <v>45118.0</v>
      </c>
      <c r="B612" s="29">
        <f t="shared" si="1"/>
        <v>28</v>
      </c>
      <c r="C612" s="2" t="s">
        <v>96</v>
      </c>
      <c r="D612" s="2">
        <v>283.0</v>
      </c>
    </row>
    <row r="613">
      <c r="A613" s="28">
        <v>45118.0</v>
      </c>
      <c r="B613" s="29">
        <f t="shared" si="1"/>
        <v>28</v>
      </c>
      <c r="C613" s="2" t="s">
        <v>97</v>
      </c>
      <c r="D613" s="2">
        <v>1664.0</v>
      </c>
    </row>
    <row r="614">
      <c r="A614" s="28">
        <v>45118.0</v>
      </c>
      <c r="B614" s="29">
        <f t="shared" si="1"/>
        <v>28</v>
      </c>
      <c r="C614" s="2" t="s">
        <v>98</v>
      </c>
    </row>
    <row r="615">
      <c r="A615" s="28">
        <v>45118.0</v>
      </c>
      <c r="B615" s="29">
        <f t="shared" si="1"/>
        <v>28</v>
      </c>
      <c r="C615" s="2" t="s">
        <v>99</v>
      </c>
    </row>
    <row r="616">
      <c r="A616" s="28">
        <v>45118.0</v>
      </c>
      <c r="B616" s="29">
        <f t="shared" si="1"/>
        <v>28</v>
      </c>
      <c r="C616" s="2" t="s">
        <v>100</v>
      </c>
    </row>
    <row r="617">
      <c r="A617" s="28">
        <v>45126.0</v>
      </c>
      <c r="B617" s="29">
        <f t="shared" si="1"/>
        <v>29</v>
      </c>
      <c r="C617" s="2" t="s">
        <v>101</v>
      </c>
      <c r="D617" s="2">
        <v>8823.0</v>
      </c>
    </row>
    <row r="618">
      <c r="A618" s="28">
        <v>45126.0</v>
      </c>
      <c r="B618" s="29">
        <f t="shared" si="1"/>
        <v>29</v>
      </c>
      <c r="C618" s="2" t="s">
        <v>80</v>
      </c>
      <c r="D618" s="2">
        <v>1035.0</v>
      </c>
    </row>
    <row r="619">
      <c r="A619" s="28">
        <v>45126.0</v>
      </c>
      <c r="B619" s="29">
        <f t="shared" si="1"/>
        <v>29</v>
      </c>
      <c r="C619" s="2" t="s">
        <v>81</v>
      </c>
    </row>
    <row r="620">
      <c r="A620" s="28">
        <v>45126.0</v>
      </c>
      <c r="B620" s="29">
        <f t="shared" si="1"/>
        <v>29</v>
      </c>
      <c r="C620" s="2" t="s">
        <v>82</v>
      </c>
    </row>
    <row r="621">
      <c r="A621" s="28">
        <v>45126.0</v>
      </c>
      <c r="B621" s="29">
        <f t="shared" si="1"/>
        <v>29</v>
      </c>
      <c r="C621" s="2" t="s">
        <v>83</v>
      </c>
      <c r="D621" s="2">
        <v>2606.0</v>
      </c>
    </row>
    <row r="622">
      <c r="A622" s="28">
        <v>45126.0</v>
      </c>
      <c r="B622" s="29">
        <f t="shared" si="1"/>
        <v>29</v>
      </c>
      <c r="C622" s="2" t="s">
        <v>84</v>
      </c>
      <c r="D622" s="2">
        <v>1448.0</v>
      </c>
    </row>
    <row r="623">
      <c r="A623" s="28">
        <v>45126.0</v>
      </c>
      <c r="B623" s="29">
        <f t="shared" si="1"/>
        <v>29</v>
      </c>
      <c r="C623" s="2" t="s">
        <v>85</v>
      </c>
      <c r="D623" s="2">
        <v>0.0</v>
      </c>
    </row>
    <row r="624">
      <c r="A624" s="28">
        <v>45126.0</v>
      </c>
      <c r="B624" s="29">
        <f t="shared" si="1"/>
        <v>29</v>
      </c>
      <c r="C624" s="2" t="s">
        <v>86</v>
      </c>
    </row>
    <row r="625">
      <c r="A625" s="28">
        <v>45126.0</v>
      </c>
      <c r="B625" s="29">
        <f t="shared" si="1"/>
        <v>29</v>
      </c>
      <c r="C625" s="2" t="s">
        <v>87</v>
      </c>
    </row>
    <row r="626">
      <c r="A626" s="28">
        <v>45126.0</v>
      </c>
      <c r="B626" s="29">
        <f t="shared" si="1"/>
        <v>29</v>
      </c>
      <c r="C626" s="2" t="s">
        <v>88</v>
      </c>
      <c r="D626" s="2">
        <v>532.0</v>
      </c>
    </row>
    <row r="627">
      <c r="A627" s="28">
        <v>45126.0</v>
      </c>
      <c r="B627" s="29">
        <f t="shared" si="1"/>
        <v>29</v>
      </c>
      <c r="C627" s="2" t="s">
        <v>89</v>
      </c>
      <c r="D627" s="2">
        <v>629.0</v>
      </c>
    </row>
    <row r="628">
      <c r="A628" s="28">
        <v>45126.0</v>
      </c>
      <c r="B628" s="29">
        <f t="shared" si="1"/>
        <v>29</v>
      </c>
      <c r="C628" s="2" t="s">
        <v>90</v>
      </c>
      <c r="D628" s="2">
        <v>94.0</v>
      </c>
    </row>
    <row r="629">
      <c r="A629" s="28">
        <v>45126.0</v>
      </c>
      <c r="B629" s="29">
        <f t="shared" si="1"/>
        <v>29</v>
      </c>
      <c r="C629" s="2" t="s">
        <v>91</v>
      </c>
    </row>
    <row r="630">
      <c r="A630" s="28">
        <v>45126.0</v>
      </c>
      <c r="B630" s="29">
        <f t="shared" si="1"/>
        <v>29</v>
      </c>
      <c r="C630" s="2" t="s">
        <v>92</v>
      </c>
    </row>
    <row r="631">
      <c r="A631" s="28">
        <v>45126.0</v>
      </c>
      <c r="B631" s="29">
        <f t="shared" si="1"/>
        <v>29</v>
      </c>
      <c r="C631" s="2" t="s">
        <v>93</v>
      </c>
    </row>
    <row r="632">
      <c r="A632" s="28">
        <v>45126.0</v>
      </c>
      <c r="B632" s="29">
        <f t="shared" si="1"/>
        <v>29</v>
      </c>
      <c r="C632" s="2" t="s">
        <v>94</v>
      </c>
    </row>
    <row r="633">
      <c r="A633" s="28">
        <v>45126.0</v>
      </c>
      <c r="B633" s="29">
        <f t="shared" si="1"/>
        <v>29</v>
      </c>
      <c r="C633" s="2" t="s">
        <v>95</v>
      </c>
    </row>
    <row r="634">
      <c r="A634" s="28">
        <v>45126.0</v>
      </c>
      <c r="B634" s="29">
        <f t="shared" si="1"/>
        <v>29</v>
      </c>
      <c r="C634" s="2" t="s">
        <v>96</v>
      </c>
      <c r="D634" s="2">
        <v>366.0</v>
      </c>
    </row>
    <row r="635">
      <c r="A635" s="28">
        <v>45126.0</v>
      </c>
      <c r="B635" s="29">
        <f t="shared" si="1"/>
        <v>29</v>
      </c>
      <c r="C635" s="2" t="s">
        <v>97</v>
      </c>
      <c r="D635" s="2">
        <v>2113.0</v>
      </c>
    </row>
    <row r="636">
      <c r="A636" s="28">
        <v>45126.0</v>
      </c>
      <c r="B636" s="29">
        <f t="shared" si="1"/>
        <v>29</v>
      </c>
      <c r="C636" s="2" t="s">
        <v>98</v>
      </c>
    </row>
    <row r="637">
      <c r="A637" s="28">
        <v>45126.0</v>
      </c>
      <c r="B637" s="29">
        <f t="shared" si="1"/>
        <v>29</v>
      </c>
      <c r="C637" s="2" t="s">
        <v>99</v>
      </c>
    </row>
    <row r="638">
      <c r="A638" s="28">
        <v>45126.0</v>
      </c>
      <c r="B638" s="29">
        <f t="shared" si="1"/>
        <v>29</v>
      </c>
      <c r="C638" s="2" t="s">
        <v>100</v>
      </c>
    </row>
    <row r="639">
      <c r="A639" s="28">
        <v>45133.0</v>
      </c>
      <c r="B639" s="29">
        <f t="shared" si="1"/>
        <v>30</v>
      </c>
      <c r="C639" s="2" t="s">
        <v>101</v>
      </c>
      <c r="D639" s="2">
        <v>8894.0</v>
      </c>
    </row>
    <row r="640">
      <c r="A640" s="28">
        <v>45133.0</v>
      </c>
      <c r="B640" s="29">
        <f t="shared" si="1"/>
        <v>30</v>
      </c>
      <c r="C640" s="2" t="s">
        <v>80</v>
      </c>
      <c r="D640" s="2">
        <v>2097.0</v>
      </c>
    </row>
    <row r="641">
      <c r="A641" s="28">
        <v>45133.0</v>
      </c>
      <c r="B641" s="29">
        <f t="shared" si="1"/>
        <v>30</v>
      </c>
      <c r="C641" s="2" t="s">
        <v>81</v>
      </c>
    </row>
    <row r="642">
      <c r="A642" s="28">
        <v>45133.0</v>
      </c>
      <c r="B642" s="29">
        <f t="shared" si="1"/>
        <v>30</v>
      </c>
      <c r="C642" s="2" t="s">
        <v>82</v>
      </c>
    </row>
    <row r="643">
      <c r="A643" s="28">
        <v>45133.0</v>
      </c>
      <c r="B643" s="29">
        <f t="shared" si="1"/>
        <v>30</v>
      </c>
      <c r="C643" s="2" t="s">
        <v>83</v>
      </c>
      <c r="D643" s="2">
        <v>1904.0</v>
      </c>
    </row>
    <row r="644">
      <c r="A644" s="28">
        <v>45133.0</v>
      </c>
      <c r="B644" s="29">
        <f t="shared" si="1"/>
        <v>30</v>
      </c>
      <c r="C644" s="2" t="s">
        <v>84</v>
      </c>
      <c r="D644" s="2">
        <v>1864.0</v>
      </c>
    </row>
    <row r="645">
      <c r="A645" s="28">
        <v>45133.0</v>
      </c>
      <c r="B645" s="29">
        <f t="shared" si="1"/>
        <v>30</v>
      </c>
      <c r="C645" s="2" t="s">
        <v>85</v>
      </c>
      <c r="D645" s="2">
        <v>85.0</v>
      </c>
    </row>
    <row r="646">
      <c r="A646" s="28">
        <v>45133.0</v>
      </c>
      <c r="B646" s="29">
        <f t="shared" si="1"/>
        <v>30</v>
      </c>
      <c r="C646" s="2" t="s">
        <v>86</v>
      </c>
    </row>
    <row r="647">
      <c r="A647" s="28">
        <v>45133.0</v>
      </c>
      <c r="B647" s="29">
        <f t="shared" si="1"/>
        <v>30</v>
      </c>
      <c r="C647" s="2" t="s">
        <v>87</v>
      </c>
    </row>
    <row r="648">
      <c r="A648" s="28">
        <v>45133.0</v>
      </c>
      <c r="B648" s="29">
        <f t="shared" si="1"/>
        <v>30</v>
      </c>
      <c r="C648" s="2" t="s">
        <v>88</v>
      </c>
      <c r="D648" s="2">
        <v>690.0</v>
      </c>
    </row>
    <row r="649">
      <c r="A649" s="28">
        <v>45133.0</v>
      </c>
      <c r="B649" s="29">
        <f t="shared" si="1"/>
        <v>30</v>
      </c>
      <c r="C649" s="2" t="s">
        <v>89</v>
      </c>
      <c r="D649" s="2">
        <v>923.0</v>
      </c>
    </row>
    <row r="650">
      <c r="A650" s="28">
        <v>45133.0</v>
      </c>
      <c r="B650" s="29">
        <f t="shared" si="1"/>
        <v>30</v>
      </c>
      <c r="C650" s="2" t="s">
        <v>90</v>
      </c>
      <c r="D650" s="2">
        <v>127.0</v>
      </c>
    </row>
    <row r="651">
      <c r="A651" s="28">
        <v>45133.0</v>
      </c>
      <c r="B651" s="29">
        <f t="shared" si="1"/>
        <v>30</v>
      </c>
      <c r="C651" s="2" t="s">
        <v>91</v>
      </c>
    </row>
    <row r="652">
      <c r="A652" s="28">
        <v>45133.0</v>
      </c>
      <c r="B652" s="29">
        <f t="shared" si="1"/>
        <v>30</v>
      </c>
      <c r="C652" s="2" t="s">
        <v>92</v>
      </c>
    </row>
    <row r="653">
      <c r="A653" s="28">
        <v>45133.0</v>
      </c>
      <c r="B653" s="29">
        <f t="shared" si="1"/>
        <v>30</v>
      </c>
      <c r="C653" s="2" t="s">
        <v>93</v>
      </c>
    </row>
    <row r="654">
      <c r="A654" s="28">
        <v>45133.0</v>
      </c>
      <c r="B654" s="29">
        <f t="shared" si="1"/>
        <v>30</v>
      </c>
      <c r="C654" s="2" t="s">
        <v>94</v>
      </c>
    </row>
    <row r="655">
      <c r="A655" s="28">
        <v>45133.0</v>
      </c>
      <c r="B655" s="29">
        <f t="shared" si="1"/>
        <v>30</v>
      </c>
      <c r="C655" s="2" t="s">
        <v>95</v>
      </c>
    </row>
    <row r="656">
      <c r="A656" s="28">
        <v>45133.0</v>
      </c>
      <c r="B656" s="29">
        <f t="shared" si="1"/>
        <v>30</v>
      </c>
      <c r="C656" s="2" t="s">
        <v>96</v>
      </c>
      <c r="D656" s="2">
        <v>349.0</v>
      </c>
    </row>
    <row r="657">
      <c r="A657" s="28">
        <v>45133.0</v>
      </c>
      <c r="B657" s="29">
        <f t="shared" si="1"/>
        <v>30</v>
      </c>
      <c r="C657" s="2" t="s">
        <v>97</v>
      </c>
      <c r="D657" s="2">
        <v>855.0</v>
      </c>
    </row>
    <row r="658">
      <c r="A658" s="28">
        <v>45133.0</v>
      </c>
      <c r="B658" s="29">
        <f t="shared" si="1"/>
        <v>30</v>
      </c>
      <c r="C658" s="2" t="s">
        <v>98</v>
      </c>
    </row>
    <row r="659">
      <c r="A659" s="28">
        <v>45133.0</v>
      </c>
      <c r="B659" s="29">
        <f t="shared" si="1"/>
        <v>30</v>
      </c>
      <c r="C659" s="2" t="s">
        <v>99</v>
      </c>
    </row>
    <row r="660">
      <c r="A660" s="28">
        <v>45133.0</v>
      </c>
      <c r="B660" s="29">
        <f t="shared" si="1"/>
        <v>30</v>
      </c>
      <c r="C660" s="2" t="s">
        <v>100</v>
      </c>
    </row>
    <row r="661">
      <c r="A661" s="28">
        <v>45140.0</v>
      </c>
      <c r="B661" s="29">
        <f t="shared" si="1"/>
        <v>31</v>
      </c>
      <c r="C661" s="2" t="s">
        <v>101</v>
      </c>
      <c r="D661" s="2">
        <v>6524.0</v>
      </c>
    </row>
    <row r="662">
      <c r="A662" s="28">
        <v>45140.0</v>
      </c>
      <c r="B662" s="29">
        <f t="shared" si="1"/>
        <v>31</v>
      </c>
      <c r="C662" s="2" t="s">
        <v>80</v>
      </c>
      <c r="D662" s="2">
        <v>1528.0</v>
      </c>
    </row>
    <row r="663">
      <c r="A663" s="28">
        <v>45140.0</v>
      </c>
      <c r="B663" s="29">
        <f t="shared" si="1"/>
        <v>31</v>
      </c>
      <c r="C663" s="2" t="s">
        <v>81</v>
      </c>
    </row>
    <row r="664">
      <c r="A664" s="28">
        <v>45140.0</v>
      </c>
      <c r="B664" s="29">
        <f t="shared" si="1"/>
        <v>31</v>
      </c>
      <c r="C664" s="2" t="s">
        <v>82</v>
      </c>
    </row>
    <row r="665">
      <c r="A665" s="28">
        <v>45140.0</v>
      </c>
      <c r="B665" s="29">
        <f t="shared" si="1"/>
        <v>31</v>
      </c>
      <c r="C665" s="2" t="s">
        <v>83</v>
      </c>
      <c r="D665" s="2">
        <v>2480.0</v>
      </c>
    </row>
    <row r="666">
      <c r="A666" s="28">
        <v>45140.0</v>
      </c>
      <c r="B666" s="29">
        <f t="shared" si="1"/>
        <v>31</v>
      </c>
      <c r="C666" s="2" t="s">
        <v>84</v>
      </c>
      <c r="D666" s="2">
        <v>862.0</v>
      </c>
    </row>
    <row r="667">
      <c r="A667" s="28">
        <v>45140.0</v>
      </c>
      <c r="B667" s="29">
        <f t="shared" si="1"/>
        <v>31</v>
      </c>
      <c r="C667" s="2" t="s">
        <v>85</v>
      </c>
      <c r="D667" s="2">
        <v>0.0</v>
      </c>
    </row>
    <row r="668">
      <c r="A668" s="28">
        <v>45140.0</v>
      </c>
      <c r="B668" s="29">
        <f t="shared" si="1"/>
        <v>31</v>
      </c>
      <c r="C668" s="2" t="s">
        <v>86</v>
      </c>
    </row>
    <row r="669">
      <c r="A669" s="28">
        <v>45140.0</v>
      </c>
      <c r="B669" s="29">
        <f t="shared" si="1"/>
        <v>31</v>
      </c>
      <c r="C669" s="2" t="s">
        <v>87</v>
      </c>
    </row>
    <row r="670">
      <c r="A670" s="28">
        <v>45140.0</v>
      </c>
      <c r="B670" s="29">
        <f t="shared" si="1"/>
        <v>31</v>
      </c>
      <c r="C670" s="2" t="s">
        <v>88</v>
      </c>
      <c r="D670" s="2">
        <v>522.0</v>
      </c>
    </row>
    <row r="671">
      <c r="A671" s="28">
        <v>45140.0</v>
      </c>
      <c r="B671" s="29">
        <f t="shared" si="1"/>
        <v>31</v>
      </c>
      <c r="C671" s="2" t="s">
        <v>89</v>
      </c>
      <c r="D671" s="2">
        <v>214.0</v>
      </c>
    </row>
    <row r="672">
      <c r="A672" s="28">
        <v>45140.0</v>
      </c>
      <c r="B672" s="29">
        <f t="shared" si="1"/>
        <v>31</v>
      </c>
      <c r="C672" s="2" t="s">
        <v>90</v>
      </c>
      <c r="D672" s="2">
        <v>128.0</v>
      </c>
    </row>
    <row r="673">
      <c r="A673" s="28">
        <v>45140.0</v>
      </c>
      <c r="B673" s="29">
        <f t="shared" si="1"/>
        <v>31</v>
      </c>
      <c r="C673" s="2" t="s">
        <v>91</v>
      </c>
    </row>
    <row r="674">
      <c r="A674" s="28">
        <v>45140.0</v>
      </c>
      <c r="B674" s="29">
        <f t="shared" si="1"/>
        <v>31</v>
      </c>
      <c r="C674" s="2" t="s">
        <v>92</v>
      </c>
    </row>
    <row r="675">
      <c r="A675" s="28">
        <v>45140.0</v>
      </c>
      <c r="B675" s="29">
        <f t="shared" si="1"/>
        <v>31</v>
      </c>
      <c r="C675" s="2" t="s">
        <v>93</v>
      </c>
    </row>
    <row r="676">
      <c r="A676" s="28">
        <v>45140.0</v>
      </c>
      <c r="B676" s="29">
        <f t="shared" si="1"/>
        <v>31</v>
      </c>
      <c r="C676" s="2" t="s">
        <v>94</v>
      </c>
    </row>
    <row r="677">
      <c r="A677" s="28">
        <v>45140.0</v>
      </c>
      <c r="B677" s="29">
        <f t="shared" si="1"/>
        <v>31</v>
      </c>
      <c r="C677" s="2" t="s">
        <v>95</v>
      </c>
    </row>
    <row r="678">
      <c r="A678" s="28">
        <v>45140.0</v>
      </c>
      <c r="B678" s="29">
        <f t="shared" si="1"/>
        <v>31</v>
      </c>
      <c r="C678" s="2" t="s">
        <v>96</v>
      </c>
      <c r="D678" s="2">
        <v>235.0</v>
      </c>
    </row>
    <row r="679">
      <c r="A679" s="28">
        <v>45140.0</v>
      </c>
      <c r="B679" s="29">
        <f t="shared" si="1"/>
        <v>31</v>
      </c>
      <c r="C679" s="2" t="s">
        <v>97</v>
      </c>
      <c r="D679" s="2">
        <v>555.0</v>
      </c>
    </row>
    <row r="680">
      <c r="A680" s="28">
        <v>45140.0</v>
      </c>
      <c r="B680" s="29">
        <f t="shared" si="1"/>
        <v>31</v>
      </c>
      <c r="C680" s="2" t="s">
        <v>98</v>
      </c>
    </row>
    <row r="681">
      <c r="A681" s="28">
        <v>45140.0</v>
      </c>
      <c r="B681" s="29">
        <f t="shared" si="1"/>
        <v>31</v>
      </c>
      <c r="C681" s="2" t="s">
        <v>99</v>
      </c>
    </row>
    <row r="682">
      <c r="A682" s="28">
        <v>45140.0</v>
      </c>
      <c r="B682" s="29">
        <f t="shared" si="1"/>
        <v>31</v>
      </c>
      <c r="C682" s="2" t="s">
        <v>100</v>
      </c>
    </row>
    <row r="683">
      <c r="A683" s="28">
        <v>45147.0</v>
      </c>
      <c r="B683" s="29">
        <f t="shared" si="1"/>
        <v>32</v>
      </c>
      <c r="C683" s="2" t="s">
        <v>101</v>
      </c>
      <c r="D683" s="2">
        <v>6531.0</v>
      </c>
    </row>
    <row r="684">
      <c r="A684" s="28">
        <v>45147.0</v>
      </c>
      <c r="B684" s="29">
        <f t="shared" si="1"/>
        <v>32</v>
      </c>
      <c r="C684" s="2" t="s">
        <v>80</v>
      </c>
      <c r="D684" s="2">
        <v>1962.0</v>
      </c>
    </row>
    <row r="685">
      <c r="A685" s="28">
        <v>45147.0</v>
      </c>
      <c r="B685" s="29">
        <f t="shared" si="1"/>
        <v>32</v>
      </c>
      <c r="C685" s="2" t="s">
        <v>81</v>
      </c>
    </row>
    <row r="686">
      <c r="A686" s="28">
        <v>45147.0</v>
      </c>
      <c r="B686" s="29">
        <f t="shared" si="1"/>
        <v>32</v>
      </c>
      <c r="C686" s="2" t="s">
        <v>82</v>
      </c>
    </row>
    <row r="687">
      <c r="A687" s="28">
        <v>45147.0</v>
      </c>
      <c r="B687" s="29">
        <f t="shared" si="1"/>
        <v>32</v>
      </c>
      <c r="C687" s="2" t="s">
        <v>83</v>
      </c>
      <c r="D687" s="2">
        <v>1777.0</v>
      </c>
    </row>
    <row r="688">
      <c r="A688" s="28">
        <v>45147.0</v>
      </c>
      <c r="B688" s="29">
        <f t="shared" si="1"/>
        <v>32</v>
      </c>
      <c r="C688" s="2" t="s">
        <v>84</v>
      </c>
      <c r="D688" s="2">
        <v>1105.0</v>
      </c>
    </row>
    <row r="689">
      <c r="A689" s="28">
        <v>45147.0</v>
      </c>
      <c r="B689" s="29">
        <f t="shared" si="1"/>
        <v>32</v>
      </c>
      <c r="C689" s="2" t="s">
        <v>85</v>
      </c>
      <c r="D689" s="2">
        <v>0.0</v>
      </c>
    </row>
    <row r="690">
      <c r="A690" s="28">
        <v>45147.0</v>
      </c>
      <c r="B690" s="29">
        <f t="shared" si="1"/>
        <v>32</v>
      </c>
      <c r="C690" s="2" t="s">
        <v>86</v>
      </c>
    </row>
    <row r="691">
      <c r="A691" s="28">
        <v>45147.0</v>
      </c>
      <c r="B691" s="29">
        <f t="shared" si="1"/>
        <v>32</v>
      </c>
      <c r="C691" s="2" t="s">
        <v>87</v>
      </c>
    </row>
    <row r="692">
      <c r="A692" s="28">
        <v>45147.0</v>
      </c>
      <c r="B692" s="29">
        <f t="shared" si="1"/>
        <v>32</v>
      </c>
      <c r="C692" s="2" t="s">
        <v>88</v>
      </c>
      <c r="D692" s="2">
        <v>457.0</v>
      </c>
    </row>
    <row r="693">
      <c r="A693" s="28">
        <v>45147.0</v>
      </c>
      <c r="B693" s="29">
        <f t="shared" si="1"/>
        <v>32</v>
      </c>
      <c r="C693" s="2" t="s">
        <v>89</v>
      </c>
      <c r="D693" s="2">
        <v>362.0</v>
      </c>
    </row>
    <row r="694">
      <c r="A694" s="28">
        <v>45147.0</v>
      </c>
      <c r="B694" s="29">
        <f t="shared" si="1"/>
        <v>32</v>
      </c>
      <c r="C694" s="2" t="s">
        <v>90</v>
      </c>
      <c r="D694" s="2">
        <v>230.0</v>
      </c>
    </row>
    <row r="695">
      <c r="A695" s="28">
        <v>45147.0</v>
      </c>
      <c r="B695" s="29">
        <f t="shared" si="1"/>
        <v>32</v>
      </c>
      <c r="C695" s="2" t="s">
        <v>91</v>
      </c>
    </row>
    <row r="696">
      <c r="A696" s="28">
        <v>45147.0</v>
      </c>
      <c r="B696" s="29">
        <f t="shared" si="1"/>
        <v>32</v>
      </c>
      <c r="C696" s="2" t="s">
        <v>92</v>
      </c>
    </row>
    <row r="697">
      <c r="A697" s="28">
        <v>45147.0</v>
      </c>
      <c r="B697" s="29">
        <f t="shared" si="1"/>
        <v>32</v>
      </c>
      <c r="C697" s="2" t="s">
        <v>93</v>
      </c>
    </row>
    <row r="698">
      <c r="A698" s="28">
        <v>45147.0</v>
      </c>
      <c r="B698" s="29">
        <f t="shared" si="1"/>
        <v>32</v>
      </c>
      <c r="C698" s="2" t="s">
        <v>94</v>
      </c>
    </row>
    <row r="699">
      <c r="A699" s="28">
        <v>45147.0</v>
      </c>
      <c r="B699" s="29">
        <f t="shared" si="1"/>
        <v>32</v>
      </c>
      <c r="C699" s="2" t="s">
        <v>95</v>
      </c>
    </row>
    <row r="700">
      <c r="A700" s="28">
        <v>45147.0</v>
      </c>
      <c r="B700" s="29">
        <f t="shared" si="1"/>
        <v>32</v>
      </c>
      <c r="C700" s="2" t="s">
        <v>96</v>
      </c>
      <c r="D700" s="2">
        <v>206.0</v>
      </c>
    </row>
    <row r="701">
      <c r="A701" s="28">
        <v>45147.0</v>
      </c>
      <c r="B701" s="29">
        <f t="shared" si="1"/>
        <v>32</v>
      </c>
      <c r="C701" s="2" t="s">
        <v>97</v>
      </c>
      <c r="D701" s="2">
        <v>432.0</v>
      </c>
    </row>
    <row r="702">
      <c r="A702" s="28">
        <v>45147.0</v>
      </c>
      <c r="B702" s="29">
        <f t="shared" si="1"/>
        <v>32</v>
      </c>
      <c r="C702" s="2" t="s">
        <v>98</v>
      </c>
    </row>
    <row r="703">
      <c r="A703" s="28">
        <v>45147.0</v>
      </c>
      <c r="B703" s="29">
        <f t="shared" si="1"/>
        <v>32</v>
      </c>
      <c r="C703" s="2" t="s">
        <v>99</v>
      </c>
    </row>
    <row r="704">
      <c r="A704" s="28">
        <v>45147.0</v>
      </c>
      <c r="B704" s="29">
        <f t="shared" si="1"/>
        <v>32</v>
      </c>
      <c r="C704" s="2" t="s">
        <v>100</v>
      </c>
    </row>
    <row r="705">
      <c r="A705" s="28">
        <v>45154.0</v>
      </c>
      <c r="B705" s="29">
        <f t="shared" si="1"/>
        <v>33</v>
      </c>
      <c r="C705" s="2" t="s">
        <v>101</v>
      </c>
      <c r="D705" s="2">
        <v>13520.0</v>
      </c>
    </row>
    <row r="706">
      <c r="A706" s="28">
        <v>45154.0</v>
      </c>
      <c r="B706" s="29">
        <f t="shared" si="1"/>
        <v>33</v>
      </c>
      <c r="C706" s="2" t="s">
        <v>80</v>
      </c>
      <c r="D706" s="2">
        <v>1292.0</v>
      </c>
    </row>
    <row r="707">
      <c r="A707" s="28">
        <v>45154.0</v>
      </c>
      <c r="B707" s="29">
        <f t="shared" si="1"/>
        <v>33</v>
      </c>
      <c r="C707" s="2" t="s">
        <v>81</v>
      </c>
    </row>
    <row r="708">
      <c r="A708" s="28">
        <v>45154.0</v>
      </c>
      <c r="B708" s="29">
        <f t="shared" si="1"/>
        <v>33</v>
      </c>
      <c r="C708" s="2" t="s">
        <v>82</v>
      </c>
    </row>
    <row r="709">
      <c r="A709" s="28">
        <v>45154.0</v>
      </c>
      <c r="B709" s="29">
        <f t="shared" si="1"/>
        <v>33</v>
      </c>
      <c r="C709" s="2" t="s">
        <v>83</v>
      </c>
      <c r="D709" s="2">
        <v>2218.0</v>
      </c>
    </row>
    <row r="710">
      <c r="A710" s="28">
        <v>45154.0</v>
      </c>
      <c r="B710" s="29">
        <f t="shared" si="1"/>
        <v>33</v>
      </c>
      <c r="C710" s="2" t="s">
        <v>84</v>
      </c>
      <c r="D710" s="2">
        <v>1570.0</v>
      </c>
    </row>
    <row r="711">
      <c r="A711" s="28">
        <v>45154.0</v>
      </c>
      <c r="B711" s="29">
        <f t="shared" si="1"/>
        <v>33</v>
      </c>
      <c r="C711" s="2" t="s">
        <v>85</v>
      </c>
      <c r="D711" s="2">
        <v>66.0</v>
      </c>
    </row>
    <row r="712">
      <c r="A712" s="28">
        <v>45154.0</v>
      </c>
      <c r="B712" s="29">
        <f t="shared" si="1"/>
        <v>33</v>
      </c>
      <c r="C712" s="2" t="s">
        <v>86</v>
      </c>
    </row>
    <row r="713">
      <c r="A713" s="28">
        <v>45154.0</v>
      </c>
      <c r="B713" s="29">
        <f t="shared" si="1"/>
        <v>33</v>
      </c>
      <c r="C713" s="2" t="s">
        <v>87</v>
      </c>
    </row>
    <row r="714">
      <c r="A714" s="28">
        <v>45154.0</v>
      </c>
      <c r="B714" s="29">
        <f t="shared" si="1"/>
        <v>33</v>
      </c>
      <c r="C714" s="2" t="s">
        <v>88</v>
      </c>
      <c r="D714" s="2">
        <v>298.0</v>
      </c>
    </row>
    <row r="715">
      <c r="A715" s="28">
        <v>45154.0</v>
      </c>
      <c r="B715" s="29">
        <f t="shared" si="1"/>
        <v>33</v>
      </c>
      <c r="C715" s="2" t="s">
        <v>89</v>
      </c>
      <c r="D715" s="2">
        <v>245.0</v>
      </c>
    </row>
    <row r="716">
      <c r="A716" s="28">
        <v>45154.0</v>
      </c>
      <c r="B716" s="29">
        <f t="shared" si="1"/>
        <v>33</v>
      </c>
      <c r="C716" s="2" t="s">
        <v>90</v>
      </c>
      <c r="D716" s="2">
        <v>162.0</v>
      </c>
    </row>
    <row r="717">
      <c r="A717" s="28">
        <v>45154.0</v>
      </c>
      <c r="B717" s="29">
        <f t="shared" si="1"/>
        <v>33</v>
      </c>
      <c r="C717" s="2" t="s">
        <v>91</v>
      </c>
    </row>
    <row r="718">
      <c r="A718" s="28">
        <v>45154.0</v>
      </c>
      <c r="B718" s="29">
        <f t="shared" si="1"/>
        <v>33</v>
      </c>
      <c r="C718" s="2" t="s">
        <v>92</v>
      </c>
    </row>
    <row r="719">
      <c r="A719" s="28">
        <v>45154.0</v>
      </c>
      <c r="B719" s="29">
        <f t="shared" si="1"/>
        <v>33</v>
      </c>
      <c r="C719" s="2" t="s">
        <v>93</v>
      </c>
    </row>
    <row r="720">
      <c r="A720" s="28">
        <v>45154.0</v>
      </c>
      <c r="B720" s="29">
        <f t="shared" si="1"/>
        <v>33</v>
      </c>
      <c r="C720" s="2" t="s">
        <v>94</v>
      </c>
    </row>
    <row r="721">
      <c r="A721" s="28">
        <v>45154.0</v>
      </c>
      <c r="B721" s="29">
        <f t="shared" si="1"/>
        <v>33</v>
      </c>
      <c r="C721" s="2" t="s">
        <v>95</v>
      </c>
    </row>
    <row r="722">
      <c r="A722" s="28">
        <v>45154.0</v>
      </c>
      <c r="B722" s="29">
        <f t="shared" si="1"/>
        <v>33</v>
      </c>
      <c r="C722" s="2" t="s">
        <v>96</v>
      </c>
      <c r="D722" s="2">
        <v>190.0</v>
      </c>
    </row>
    <row r="723">
      <c r="A723" s="28">
        <v>45154.0</v>
      </c>
      <c r="B723" s="29">
        <f t="shared" si="1"/>
        <v>33</v>
      </c>
      <c r="C723" s="2" t="s">
        <v>97</v>
      </c>
      <c r="D723" s="2">
        <v>7479.0</v>
      </c>
    </row>
    <row r="724">
      <c r="A724" s="28">
        <v>45154.0</v>
      </c>
      <c r="B724" s="29">
        <f t="shared" si="1"/>
        <v>33</v>
      </c>
      <c r="C724" s="2" t="s">
        <v>98</v>
      </c>
    </row>
    <row r="725">
      <c r="A725" s="28">
        <v>45154.0</v>
      </c>
      <c r="B725" s="29">
        <f t="shared" si="1"/>
        <v>33</v>
      </c>
      <c r="C725" s="2" t="s">
        <v>99</v>
      </c>
    </row>
    <row r="726">
      <c r="A726" s="28">
        <v>45154.0</v>
      </c>
      <c r="B726" s="29">
        <f t="shared" si="1"/>
        <v>33</v>
      </c>
      <c r="C726" s="2" t="s">
        <v>100</v>
      </c>
    </row>
    <row r="727">
      <c r="A727" s="28">
        <v>45162.0</v>
      </c>
      <c r="B727" s="29">
        <f t="shared" si="1"/>
        <v>34</v>
      </c>
      <c r="C727" s="2" t="s">
        <v>101</v>
      </c>
      <c r="D727" s="2">
        <v>6562.0</v>
      </c>
    </row>
    <row r="728">
      <c r="A728" s="28">
        <v>45162.0</v>
      </c>
      <c r="B728" s="29">
        <f t="shared" si="1"/>
        <v>34</v>
      </c>
      <c r="C728" s="2" t="s">
        <v>80</v>
      </c>
      <c r="D728" s="2">
        <v>1276.0</v>
      </c>
    </row>
    <row r="729">
      <c r="A729" s="28">
        <v>45162.0</v>
      </c>
      <c r="B729" s="29">
        <f t="shared" si="1"/>
        <v>34</v>
      </c>
      <c r="C729" s="2" t="s">
        <v>81</v>
      </c>
    </row>
    <row r="730">
      <c r="A730" s="28">
        <v>45162.0</v>
      </c>
      <c r="B730" s="29">
        <f t="shared" si="1"/>
        <v>34</v>
      </c>
      <c r="C730" s="2" t="s">
        <v>82</v>
      </c>
    </row>
    <row r="731">
      <c r="A731" s="28">
        <v>45162.0</v>
      </c>
      <c r="B731" s="29">
        <f t="shared" si="1"/>
        <v>34</v>
      </c>
      <c r="C731" s="2" t="s">
        <v>83</v>
      </c>
      <c r="D731" s="2">
        <v>1650.0</v>
      </c>
    </row>
    <row r="732">
      <c r="A732" s="28">
        <v>45162.0</v>
      </c>
      <c r="B732" s="29">
        <f t="shared" si="1"/>
        <v>34</v>
      </c>
      <c r="C732" s="2" t="s">
        <v>84</v>
      </c>
      <c r="D732" s="2">
        <v>970.0</v>
      </c>
    </row>
    <row r="733">
      <c r="A733" s="28">
        <v>45162.0</v>
      </c>
      <c r="B733" s="29">
        <f t="shared" si="1"/>
        <v>34</v>
      </c>
      <c r="C733" s="2" t="s">
        <v>85</v>
      </c>
      <c r="D733" s="2">
        <v>97.0</v>
      </c>
    </row>
    <row r="734">
      <c r="A734" s="28">
        <v>45162.0</v>
      </c>
      <c r="B734" s="29">
        <f t="shared" si="1"/>
        <v>34</v>
      </c>
      <c r="C734" s="2" t="s">
        <v>86</v>
      </c>
    </row>
    <row r="735">
      <c r="A735" s="28">
        <v>45162.0</v>
      </c>
      <c r="B735" s="29">
        <f t="shared" si="1"/>
        <v>34</v>
      </c>
      <c r="C735" s="2" t="s">
        <v>87</v>
      </c>
    </row>
    <row r="736">
      <c r="A736" s="28">
        <v>45162.0</v>
      </c>
      <c r="B736" s="29">
        <f t="shared" si="1"/>
        <v>34</v>
      </c>
      <c r="C736" s="2" t="s">
        <v>88</v>
      </c>
      <c r="D736" s="2">
        <v>579.0</v>
      </c>
    </row>
    <row r="737">
      <c r="A737" s="28">
        <v>45162.0</v>
      </c>
      <c r="B737" s="29">
        <f t="shared" si="1"/>
        <v>34</v>
      </c>
      <c r="C737" s="2" t="s">
        <v>89</v>
      </c>
      <c r="D737" s="2">
        <v>237.0</v>
      </c>
    </row>
    <row r="738">
      <c r="A738" s="28">
        <v>45162.0</v>
      </c>
      <c r="B738" s="29">
        <f t="shared" si="1"/>
        <v>34</v>
      </c>
      <c r="C738" s="2" t="s">
        <v>90</v>
      </c>
      <c r="D738" s="2">
        <v>172.0</v>
      </c>
    </row>
    <row r="739">
      <c r="A739" s="28">
        <v>45162.0</v>
      </c>
      <c r="B739" s="29">
        <f t="shared" si="1"/>
        <v>34</v>
      </c>
      <c r="C739" s="2" t="s">
        <v>91</v>
      </c>
    </row>
    <row r="740">
      <c r="A740" s="28">
        <v>45162.0</v>
      </c>
      <c r="B740" s="29">
        <f t="shared" si="1"/>
        <v>34</v>
      </c>
      <c r="C740" s="2" t="s">
        <v>92</v>
      </c>
    </row>
    <row r="741">
      <c r="A741" s="28">
        <v>45162.0</v>
      </c>
      <c r="B741" s="29">
        <f t="shared" si="1"/>
        <v>34</v>
      </c>
      <c r="C741" s="2" t="s">
        <v>93</v>
      </c>
    </row>
    <row r="742">
      <c r="A742" s="28">
        <v>45162.0</v>
      </c>
      <c r="B742" s="29">
        <f t="shared" si="1"/>
        <v>34</v>
      </c>
      <c r="C742" s="2" t="s">
        <v>94</v>
      </c>
    </row>
    <row r="743">
      <c r="A743" s="28">
        <v>45162.0</v>
      </c>
      <c r="B743" s="29">
        <f t="shared" si="1"/>
        <v>34</v>
      </c>
      <c r="C743" s="2" t="s">
        <v>95</v>
      </c>
    </row>
    <row r="744">
      <c r="A744" s="28">
        <v>45162.0</v>
      </c>
      <c r="B744" s="29">
        <f t="shared" si="1"/>
        <v>34</v>
      </c>
      <c r="C744" s="2" t="s">
        <v>96</v>
      </c>
      <c r="D744" s="2">
        <v>346.0</v>
      </c>
    </row>
    <row r="745">
      <c r="A745" s="28">
        <v>45162.0</v>
      </c>
      <c r="B745" s="29">
        <f t="shared" si="1"/>
        <v>34</v>
      </c>
      <c r="C745" s="2" t="s">
        <v>97</v>
      </c>
      <c r="D745" s="2">
        <v>1235.0</v>
      </c>
    </row>
    <row r="746">
      <c r="A746" s="28">
        <v>45162.0</v>
      </c>
      <c r="B746" s="29">
        <f t="shared" si="1"/>
        <v>34</v>
      </c>
      <c r="C746" s="2" t="s">
        <v>98</v>
      </c>
    </row>
    <row r="747">
      <c r="A747" s="28">
        <v>45162.0</v>
      </c>
      <c r="B747" s="29">
        <f t="shared" si="1"/>
        <v>34</v>
      </c>
      <c r="C747" s="2" t="s">
        <v>99</v>
      </c>
    </row>
    <row r="748">
      <c r="A748" s="28">
        <v>45162.0</v>
      </c>
      <c r="B748" s="29">
        <f t="shared" si="1"/>
        <v>34</v>
      </c>
      <c r="C748" s="2" t="s">
        <v>100</v>
      </c>
    </row>
    <row r="749">
      <c r="A749" s="28">
        <v>45168.0</v>
      </c>
      <c r="B749" s="29">
        <f t="shared" si="1"/>
        <v>35</v>
      </c>
      <c r="C749" s="2" t="s">
        <v>101</v>
      </c>
      <c r="D749" s="2">
        <v>6060.0</v>
      </c>
    </row>
    <row r="750">
      <c r="A750" s="28">
        <v>45168.0</v>
      </c>
      <c r="B750" s="29">
        <f t="shared" si="1"/>
        <v>35</v>
      </c>
      <c r="C750" s="2" t="s">
        <v>80</v>
      </c>
      <c r="D750" s="2">
        <v>1090.0</v>
      </c>
    </row>
    <row r="751">
      <c r="A751" s="28">
        <v>45168.0</v>
      </c>
      <c r="B751" s="29">
        <f t="shared" si="1"/>
        <v>35</v>
      </c>
      <c r="C751" s="2" t="s">
        <v>81</v>
      </c>
    </row>
    <row r="752">
      <c r="A752" s="28">
        <v>45168.0</v>
      </c>
      <c r="B752" s="29">
        <f t="shared" si="1"/>
        <v>35</v>
      </c>
      <c r="C752" s="2" t="s">
        <v>82</v>
      </c>
    </row>
    <row r="753">
      <c r="A753" s="28">
        <v>45168.0</v>
      </c>
      <c r="B753" s="29">
        <f t="shared" si="1"/>
        <v>35</v>
      </c>
      <c r="C753" s="2" t="s">
        <v>83</v>
      </c>
      <c r="D753" s="2">
        <v>1182.0</v>
      </c>
    </row>
    <row r="754">
      <c r="A754" s="28">
        <v>45168.0</v>
      </c>
      <c r="B754" s="29">
        <f t="shared" si="1"/>
        <v>35</v>
      </c>
      <c r="C754" s="2" t="s">
        <v>84</v>
      </c>
      <c r="D754" s="2">
        <v>1095.0</v>
      </c>
    </row>
    <row r="755">
      <c r="A755" s="28">
        <v>45168.0</v>
      </c>
      <c r="B755" s="29">
        <f t="shared" si="1"/>
        <v>35</v>
      </c>
      <c r="C755" s="2" t="s">
        <v>85</v>
      </c>
      <c r="D755" s="2">
        <v>106.0</v>
      </c>
    </row>
    <row r="756">
      <c r="A756" s="28">
        <v>45168.0</v>
      </c>
      <c r="B756" s="29">
        <f t="shared" si="1"/>
        <v>35</v>
      </c>
      <c r="C756" s="2" t="s">
        <v>86</v>
      </c>
    </row>
    <row r="757">
      <c r="A757" s="28">
        <v>45168.0</v>
      </c>
      <c r="B757" s="29">
        <f t="shared" si="1"/>
        <v>35</v>
      </c>
      <c r="C757" s="2" t="s">
        <v>87</v>
      </c>
    </row>
    <row r="758">
      <c r="A758" s="28">
        <v>45168.0</v>
      </c>
      <c r="B758" s="29">
        <f t="shared" si="1"/>
        <v>35</v>
      </c>
      <c r="C758" s="2" t="s">
        <v>88</v>
      </c>
      <c r="D758" s="2">
        <v>459.0</v>
      </c>
    </row>
    <row r="759">
      <c r="A759" s="28">
        <v>45168.0</v>
      </c>
      <c r="B759" s="29">
        <f t="shared" si="1"/>
        <v>35</v>
      </c>
      <c r="C759" s="2" t="s">
        <v>89</v>
      </c>
      <c r="D759" s="2">
        <v>178.0</v>
      </c>
    </row>
    <row r="760">
      <c r="A760" s="28">
        <v>45168.0</v>
      </c>
      <c r="B760" s="29">
        <f t="shared" si="1"/>
        <v>35</v>
      </c>
      <c r="C760" s="2" t="s">
        <v>90</v>
      </c>
      <c r="D760" s="2">
        <v>116.0</v>
      </c>
    </row>
    <row r="761">
      <c r="A761" s="28">
        <v>45168.0</v>
      </c>
      <c r="B761" s="29">
        <f t="shared" si="1"/>
        <v>35</v>
      </c>
      <c r="C761" s="2" t="s">
        <v>91</v>
      </c>
    </row>
    <row r="762">
      <c r="A762" s="28">
        <v>45168.0</v>
      </c>
      <c r="B762" s="29">
        <f t="shared" si="1"/>
        <v>35</v>
      </c>
      <c r="C762" s="2" t="s">
        <v>92</v>
      </c>
    </row>
    <row r="763">
      <c r="A763" s="28">
        <v>45168.0</v>
      </c>
      <c r="B763" s="29">
        <f t="shared" si="1"/>
        <v>35</v>
      </c>
      <c r="C763" s="2" t="s">
        <v>93</v>
      </c>
    </row>
    <row r="764">
      <c r="A764" s="28">
        <v>45168.0</v>
      </c>
      <c r="B764" s="29">
        <f t="shared" si="1"/>
        <v>35</v>
      </c>
      <c r="C764" s="2" t="s">
        <v>94</v>
      </c>
    </row>
    <row r="765">
      <c r="A765" s="28">
        <v>45168.0</v>
      </c>
      <c r="B765" s="29">
        <f t="shared" si="1"/>
        <v>35</v>
      </c>
      <c r="C765" s="2" t="s">
        <v>95</v>
      </c>
    </row>
    <row r="766">
      <c r="A766" s="28">
        <v>45168.0</v>
      </c>
      <c r="B766" s="29">
        <f t="shared" si="1"/>
        <v>35</v>
      </c>
      <c r="C766" s="2" t="s">
        <v>96</v>
      </c>
      <c r="D766" s="2">
        <v>349.0</v>
      </c>
    </row>
    <row r="767">
      <c r="A767" s="28">
        <v>45168.0</v>
      </c>
      <c r="B767" s="29">
        <f t="shared" si="1"/>
        <v>35</v>
      </c>
      <c r="C767" s="2" t="s">
        <v>97</v>
      </c>
      <c r="D767" s="2">
        <v>1485.0</v>
      </c>
    </row>
    <row r="768">
      <c r="A768" s="28">
        <v>45168.0</v>
      </c>
      <c r="B768" s="29">
        <f t="shared" si="1"/>
        <v>35</v>
      </c>
      <c r="C768" s="2" t="s">
        <v>98</v>
      </c>
    </row>
    <row r="769">
      <c r="A769" s="28">
        <v>45168.0</v>
      </c>
      <c r="B769" s="29">
        <f t="shared" si="1"/>
        <v>35</v>
      </c>
      <c r="C769" s="2" t="s">
        <v>99</v>
      </c>
    </row>
    <row r="770">
      <c r="A770" s="28">
        <v>45168.0</v>
      </c>
      <c r="B770" s="29">
        <f t="shared" si="1"/>
        <v>35</v>
      </c>
      <c r="C770" s="2" t="s">
        <v>100</v>
      </c>
    </row>
    <row r="771">
      <c r="A771" s="28">
        <v>45175.0</v>
      </c>
      <c r="B771" s="29">
        <f t="shared" si="1"/>
        <v>36</v>
      </c>
      <c r="C771" s="2" t="s">
        <v>101</v>
      </c>
      <c r="D771" s="2">
        <v>7435.0</v>
      </c>
    </row>
    <row r="772">
      <c r="A772" s="28">
        <v>45175.0</v>
      </c>
      <c r="B772" s="29">
        <f t="shared" si="1"/>
        <v>36</v>
      </c>
      <c r="C772" s="2" t="s">
        <v>80</v>
      </c>
      <c r="D772" s="2">
        <v>2262.0</v>
      </c>
    </row>
    <row r="773">
      <c r="A773" s="28">
        <v>45175.0</v>
      </c>
      <c r="B773" s="29">
        <f t="shared" si="1"/>
        <v>36</v>
      </c>
      <c r="C773" s="2" t="s">
        <v>81</v>
      </c>
    </row>
    <row r="774">
      <c r="A774" s="28">
        <v>45175.0</v>
      </c>
      <c r="B774" s="29">
        <f t="shared" si="1"/>
        <v>36</v>
      </c>
      <c r="C774" s="2" t="s">
        <v>82</v>
      </c>
    </row>
    <row r="775">
      <c r="A775" s="28">
        <v>45175.0</v>
      </c>
      <c r="B775" s="29">
        <f t="shared" si="1"/>
        <v>36</v>
      </c>
      <c r="C775" s="2" t="s">
        <v>83</v>
      </c>
      <c r="D775" s="2">
        <v>1881.0</v>
      </c>
    </row>
    <row r="776">
      <c r="A776" s="28">
        <v>45175.0</v>
      </c>
      <c r="B776" s="29">
        <f t="shared" si="1"/>
        <v>36</v>
      </c>
      <c r="C776" s="2" t="s">
        <v>84</v>
      </c>
      <c r="D776" s="2">
        <v>1060.0</v>
      </c>
    </row>
    <row r="777">
      <c r="A777" s="28">
        <v>45175.0</v>
      </c>
      <c r="B777" s="29">
        <f t="shared" si="1"/>
        <v>36</v>
      </c>
      <c r="C777" s="2" t="s">
        <v>85</v>
      </c>
      <c r="D777" s="2">
        <v>92.0</v>
      </c>
    </row>
    <row r="778">
      <c r="A778" s="28">
        <v>45175.0</v>
      </c>
      <c r="B778" s="29">
        <f t="shared" si="1"/>
        <v>36</v>
      </c>
      <c r="C778" s="2" t="s">
        <v>86</v>
      </c>
    </row>
    <row r="779">
      <c r="A779" s="28">
        <v>45175.0</v>
      </c>
      <c r="B779" s="29">
        <f t="shared" si="1"/>
        <v>36</v>
      </c>
      <c r="C779" s="2" t="s">
        <v>87</v>
      </c>
    </row>
    <row r="780">
      <c r="A780" s="28">
        <v>45175.0</v>
      </c>
      <c r="B780" s="29">
        <f t="shared" si="1"/>
        <v>36</v>
      </c>
      <c r="C780" s="2" t="s">
        <v>88</v>
      </c>
      <c r="D780" s="2">
        <v>305.0</v>
      </c>
    </row>
    <row r="781">
      <c r="A781" s="28">
        <v>45175.0</v>
      </c>
      <c r="B781" s="29">
        <f t="shared" si="1"/>
        <v>36</v>
      </c>
      <c r="C781" s="2" t="s">
        <v>89</v>
      </c>
      <c r="D781" s="2">
        <v>400.0</v>
      </c>
    </row>
    <row r="782">
      <c r="A782" s="28">
        <v>45175.0</v>
      </c>
      <c r="B782" s="29">
        <f t="shared" si="1"/>
        <v>36</v>
      </c>
      <c r="C782" s="2" t="s">
        <v>90</v>
      </c>
      <c r="D782" s="2">
        <v>80.0</v>
      </c>
    </row>
    <row r="783">
      <c r="A783" s="28">
        <v>45175.0</v>
      </c>
      <c r="B783" s="29">
        <f t="shared" si="1"/>
        <v>36</v>
      </c>
      <c r="C783" s="2" t="s">
        <v>91</v>
      </c>
    </row>
    <row r="784">
      <c r="A784" s="28">
        <v>45175.0</v>
      </c>
      <c r="B784" s="29">
        <f t="shared" si="1"/>
        <v>36</v>
      </c>
      <c r="C784" s="2" t="s">
        <v>92</v>
      </c>
    </row>
    <row r="785">
      <c r="A785" s="28">
        <v>45175.0</v>
      </c>
      <c r="B785" s="29">
        <f t="shared" si="1"/>
        <v>36</v>
      </c>
      <c r="C785" s="2" t="s">
        <v>93</v>
      </c>
    </row>
    <row r="786">
      <c r="A786" s="28">
        <v>45175.0</v>
      </c>
      <c r="B786" s="29">
        <f t="shared" si="1"/>
        <v>36</v>
      </c>
      <c r="C786" s="2" t="s">
        <v>94</v>
      </c>
    </row>
    <row r="787">
      <c r="A787" s="28">
        <v>45175.0</v>
      </c>
      <c r="B787" s="29">
        <f t="shared" si="1"/>
        <v>36</v>
      </c>
      <c r="C787" s="2" t="s">
        <v>95</v>
      </c>
    </row>
    <row r="788">
      <c r="A788" s="28">
        <v>45175.0</v>
      </c>
      <c r="B788" s="29">
        <f t="shared" si="1"/>
        <v>36</v>
      </c>
      <c r="C788" s="2" t="s">
        <v>96</v>
      </c>
      <c r="D788" s="2">
        <v>249.0</v>
      </c>
    </row>
    <row r="789">
      <c r="A789" s="28">
        <v>45175.0</v>
      </c>
      <c r="B789" s="29">
        <f t="shared" si="1"/>
        <v>36</v>
      </c>
      <c r="C789" s="2" t="s">
        <v>97</v>
      </c>
      <c r="D789" s="2">
        <v>1106.0</v>
      </c>
    </row>
    <row r="790">
      <c r="A790" s="28">
        <v>45175.0</v>
      </c>
      <c r="B790" s="29">
        <f t="shared" si="1"/>
        <v>36</v>
      </c>
      <c r="C790" s="2" t="s">
        <v>98</v>
      </c>
    </row>
    <row r="791">
      <c r="A791" s="28">
        <v>45175.0</v>
      </c>
      <c r="B791" s="29">
        <f t="shared" si="1"/>
        <v>36</v>
      </c>
      <c r="C791" s="2" t="s">
        <v>99</v>
      </c>
    </row>
    <row r="792">
      <c r="A792" s="28">
        <v>45175.0</v>
      </c>
      <c r="B792" s="29">
        <f t="shared" si="1"/>
        <v>36</v>
      </c>
      <c r="C792" s="2" t="s">
        <v>100</v>
      </c>
    </row>
    <row r="793">
      <c r="A793" s="28">
        <v>45182.0</v>
      </c>
      <c r="B793" s="29">
        <f t="shared" si="1"/>
        <v>37</v>
      </c>
      <c r="C793" s="2" t="s">
        <v>101</v>
      </c>
      <c r="D793" s="2">
        <v>8499.0</v>
      </c>
    </row>
    <row r="794">
      <c r="A794" s="28">
        <v>45182.0</v>
      </c>
      <c r="B794" s="29">
        <f t="shared" si="1"/>
        <v>37</v>
      </c>
      <c r="C794" s="2" t="s">
        <v>80</v>
      </c>
      <c r="D794" s="2">
        <v>615.0</v>
      </c>
    </row>
    <row r="795">
      <c r="A795" s="28">
        <v>45182.0</v>
      </c>
      <c r="B795" s="29">
        <f t="shared" si="1"/>
        <v>37</v>
      </c>
      <c r="C795" s="2" t="s">
        <v>81</v>
      </c>
    </row>
    <row r="796">
      <c r="A796" s="28">
        <v>45182.0</v>
      </c>
      <c r="B796" s="29">
        <f t="shared" si="1"/>
        <v>37</v>
      </c>
      <c r="C796" s="2" t="s">
        <v>82</v>
      </c>
    </row>
    <row r="797">
      <c r="A797" s="28">
        <v>45182.0</v>
      </c>
      <c r="B797" s="29">
        <f t="shared" si="1"/>
        <v>37</v>
      </c>
      <c r="C797" s="2" t="s">
        <v>83</v>
      </c>
      <c r="D797" s="2">
        <v>2090.0</v>
      </c>
    </row>
    <row r="798">
      <c r="A798" s="28">
        <v>45182.0</v>
      </c>
      <c r="B798" s="29">
        <f t="shared" si="1"/>
        <v>37</v>
      </c>
      <c r="C798" s="2" t="s">
        <v>84</v>
      </c>
      <c r="D798" s="2">
        <v>1605.0</v>
      </c>
    </row>
    <row r="799">
      <c r="A799" s="28">
        <v>45182.0</v>
      </c>
      <c r="B799" s="29">
        <f t="shared" si="1"/>
        <v>37</v>
      </c>
      <c r="C799" s="2" t="s">
        <v>85</v>
      </c>
      <c r="D799" s="2">
        <v>82.0</v>
      </c>
    </row>
    <row r="800">
      <c r="A800" s="28">
        <v>45182.0</v>
      </c>
      <c r="B800" s="29">
        <f t="shared" si="1"/>
        <v>37</v>
      </c>
      <c r="C800" s="2" t="s">
        <v>86</v>
      </c>
    </row>
    <row r="801">
      <c r="A801" s="28">
        <v>45182.0</v>
      </c>
      <c r="B801" s="29">
        <f t="shared" si="1"/>
        <v>37</v>
      </c>
      <c r="C801" s="2" t="s">
        <v>87</v>
      </c>
    </row>
    <row r="802">
      <c r="A802" s="28">
        <v>45182.0</v>
      </c>
      <c r="B802" s="29">
        <f t="shared" si="1"/>
        <v>37</v>
      </c>
      <c r="C802" s="2" t="s">
        <v>88</v>
      </c>
      <c r="D802" s="2">
        <v>888.0</v>
      </c>
    </row>
    <row r="803">
      <c r="A803" s="28">
        <v>45182.0</v>
      </c>
      <c r="B803" s="29">
        <f t="shared" si="1"/>
        <v>37</v>
      </c>
      <c r="C803" s="2" t="s">
        <v>89</v>
      </c>
      <c r="D803" s="2">
        <v>746.0</v>
      </c>
    </row>
    <row r="804">
      <c r="A804" s="28">
        <v>45182.0</v>
      </c>
      <c r="B804" s="29">
        <f t="shared" si="1"/>
        <v>37</v>
      </c>
      <c r="C804" s="2" t="s">
        <v>90</v>
      </c>
      <c r="D804" s="2">
        <v>228.0</v>
      </c>
    </row>
    <row r="805">
      <c r="A805" s="28">
        <v>45182.0</v>
      </c>
      <c r="B805" s="29">
        <f t="shared" si="1"/>
        <v>37</v>
      </c>
      <c r="C805" s="2" t="s">
        <v>91</v>
      </c>
    </row>
    <row r="806">
      <c r="A806" s="28">
        <v>45182.0</v>
      </c>
      <c r="B806" s="29">
        <f t="shared" si="1"/>
        <v>37</v>
      </c>
      <c r="C806" s="2" t="s">
        <v>92</v>
      </c>
    </row>
    <row r="807">
      <c r="A807" s="28">
        <v>45182.0</v>
      </c>
      <c r="B807" s="29">
        <f t="shared" si="1"/>
        <v>37</v>
      </c>
      <c r="C807" s="2" t="s">
        <v>93</v>
      </c>
    </row>
    <row r="808">
      <c r="A808" s="28">
        <v>45182.0</v>
      </c>
      <c r="B808" s="29">
        <f t="shared" si="1"/>
        <v>37</v>
      </c>
      <c r="C808" s="2" t="s">
        <v>94</v>
      </c>
    </row>
    <row r="809">
      <c r="A809" s="28">
        <v>45182.0</v>
      </c>
      <c r="B809" s="29">
        <f t="shared" si="1"/>
        <v>37</v>
      </c>
      <c r="C809" s="2" t="s">
        <v>95</v>
      </c>
    </row>
    <row r="810">
      <c r="A810" s="28">
        <v>45182.0</v>
      </c>
      <c r="B810" s="29">
        <f t="shared" si="1"/>
        <v>37</v>
      </c>
      <c r="C810" s="2" t="s">
        <v>96</v>
      </c>
      <c r="D810" s="2">
        <v>200.0</v>
      </c>
    </row>
    <row r="811">
      <c r="A811" s="28">
        <v>45182.0</v>
      </c>
      <c r="B811" s="29">
        <f t="shared" si="1"/>
        <v>37</v>
      </c>
      <c r="C811" s="2" t="s">
        <v>97</v>
      </c>
      <c r="D811" s="2">
        <v>2045.0</v>
      </c>
    </row>
    <row r="812">
      <c r="A812" s="28">
        <v>45182.0</v>
      </c>
      <c r="B812" s="29">
        <f t="shared" si="1"/>
        <v>37</v>
      </c>
      <c r="C812" s="2" t="s">
        <v>98</v>
      </c>
    </row>
    <row r="813">
      <c r="A813" s="28">
        <v>45182.0</v>
      </c>
      <c r="B813" s="29">
        <f t="shared" si="1"/>
        <v>37</v>
      </c>
      <c r="C813" s="2" t="s">
        <v>99</v>
      </c>
    </row>
    <row r="814">
      <c r="A814" s="28">
        <v>45182.0</v>
      </c>
      <c r="B814" s="29">
        <f t="shared" si="1"/>
        <v>37</v>
      </c>
      <c r="C814" s="2" t="s">
        <v>100</v>
      </c>
    </row>
    <row r="815">
      <c r="A815" s="28">
        <v>45189.0</v>
      </c>
      <c r="B815" s="29">
        <f t="shared" si="1"/>
        <v>38</v>
      </c>
      <c r="C815" s="2" t="s">
        <v>101</v>
      </c>
      <c r="D815" s="2">
        <v>8448.0</v>
      </c>
    </row>
    <row r="816">
      <c r="A816" s="28">
        <v>45189.0</v>
      </c>
      <c r="B816" s="29">
        <f t="shared" si="1"/>
        <v>38</v>
      </c>
      <c r="C816" s="2" t="s">
        <v>80</v>
      </c>
      <c r="D816" s="2">
        <v>1842.0</v>
      </c>
    </row>
    <row r="817">
      <c r="A817" s="28">
        <v>45189.0</v>
      </c>
      <c r="B817" s="29">
        <f t="shared" si="1"/>
        <v>38</v>
      </c>
      <c r="C817" s="2" t="s">
        <v>81</v>
      </c>
    </row>
    <row r="818">
      <c r="A818" s="28">
        <v>45189.0</v>
      </c>
      <c r="B818" s="29">
        <f t="shared" si="1"/>
        <v>38</v>
      </c>
      <c r="C818" s="2" t="s">
        <v>82</v>
      </c>
    </row>
    <row r="819">
      <c r="A819" s="28">
        <v>45189.0</v>
      </c>
      <c r="B819" s="29">
        <f t="shared" si="1"/>
        <v>38</v>
      </c>
      <c r="C819" s="2" t="s">
        <v>83</v>
      </c>
      <c r="D819" s="2">
        <v>2138.0</v>
      </c>
    </row>
    <row r="820">
      <c r="A820" s="28">
        <v>45189.0</v>
      </c>
      <c r="B820" s="29">
        <f t="shared" si="1"/>
        <v>38</v>
      </c>
      <c r="C820" s="2" t="s">
        <v>84</v>
      </c>
      <c r="D820" s="2">
        <v>1614.0</v>
      </c>
    </row>
    <row r="821">
      <c r="A821" s="28">
        <v>45189.0</v>
      </c>
      <c r="B821" s="29">
        <f t="shared" si="1"/>
        <v>38</v>
      </c>
      <c r="C821" s="2" t="s">
        <v>85</v>
      </c>
      <c r="D821" s="2">
        <v>0.0</v>
      </c>
    </row>
    <row r="822">
      <c r="A822" s="28">
        <v>45189.0</v>
      </c>
      <c r="B822" s="29">
        <f t="shared" si="1"/>
        <v>38</v>
      </c>
      <c r="C822" s="2" t="s">
        <v>86</v>
      </c>
    </row>
    <row r="823">
      <c r="A823" s="28">
        <v>45189.0</v>
      </c>
      <c r="B823" s="29">
        <f t="shared" si="1"/>
        <v>38</v>
      </c>
      <c r="C823" s="2" t="s">
        <v>87</v>
      </c>
    </row>
    <row r="824">
      <c r="A824" s="28">
        <v>45189.0</v>
      </c>
      <c r="B824" s="29">
        <f t="shared" si="1"/>
        <v>38</v>
      </c>
      <c r="C824" s="2" t="s">
        <v>88</v>
      </c>
      <c r="D824" s="2">
        <v>495.0</v>
      </c>
    </row>
    <row r="825">
      <c r="A825" s="28">
        <v>45189.0</v>
      </c>
      <c r="B825" s="29">
        <f t="shared" si="1"/>
        <v>38</v>
      </c>
      <c r="C825" s="2" t="s">
        <v>89</v>
      </c>
      <c r="D825" s="2">
        <v>437.0</v>
      </c>
    </row>
    <row r="826">
      <c r="A826" s="28">
        <v>45189.0</v>
      </c>
      <c r="B826" s="29">
        <f t="shared" si="1"/>
        <v>38</v>
      </c>
      <c r="C826" s="2" t="s">
        <v>90</v>
      </c>
      <c r="D826" s="2">
        <v>109.0</v>
      </c>
    </row>
    <row r="827">
      <c r="A827" s="28">
        <v>45189.0</v>
      </c>
      <c r="B827" s="29">
        <f t="shared" si="1"/>
        <v>38</v>
      </c>
      <c r="C827" s="2" t="s">
        <v>91</v>
      </c>
    </row>
    <row r="828">
      <c r="A828" s="28">
        <v>45189.0</v>
      </c>
      <c r="B828" s="29">
        <f t="shared" si="1"/>
        <v>38</v>
      </c>
      <c r="C828" s="2" t="s">
        <v>92</v>
      </c>
    </row>
    <row r="829">
      <c r="A829" s="28">
        <v>45189.0</v>
      </c>
      <c r="B829" s="29">
        <f t="shared" si="1"/>
        <v>38</v>
      </c>
      <c r="C829" s="2" t="s">
        <v>93</v>
      </c>
    </row>
    <row r="830">
      <c r="A830" s="28">
        <v>45189.0</v>
      </c>
      <c r="B830" s="29">
        <f t="shared" si="1"/>
        <v>38</v>
      </c>
      <c r="C830" s="2" t="s">
        <v>94</v>
      </c>
    </row>
    <row r="831">
      <c r="A831" s="28">
        <v>45189.0</v>
      </c>
      <c r="B831" s="29">
        <f t="shared" si="1"/>
        <v>38</v>
      </c>
      <c r="C831" s="2" t="s">
        <v>95</v>
      </c>
    </row>
    <row r="832">
      <c r="A832" s="28">
        <v>45189.0</v>
      </c>
      <c r="B832" s="29">
        <f t="shared" si="1"/>
        <v>38</v>
      </c>
      <c r="C832" s="2" t="s">
        <v>96</v>
      </c>
      <c r="D832" s="2">
        <v>635.0</v>
      </c>
    </row>
    <row r="833">
      <c r="A833" s="28">
        <v>45189.0</v>
      </c>
      <c r="B833" s="29">
        <f t="shared" si="1"/>
        <v>38</v>
      </c>
      <c r="C833" s="2" t="s">
        <v>97</v>
      </c>
      <c r="D833" s="2">
        <v>1178.0</v>
      </c>
    </row>
    <row r="834">
      <c r="A834" s="28">
        <v>45189.0</v>
      </c>
      <c r="B834" s="29">
        <f t="shared" si="1"/>
        <v>38</v>
      </c>
      <c r="C834" s="2" t="s">
        <v>98</v>
      </c>
    </row>
    <row r="835">
      <c r="A835" s="28">
        <v>45189.0</v>
      </c>
      <c r="B835" s="29">
        <f t="shared" si="1"/>
        <v>38</v>
      </c>
      <c r="C835" s="2" t="s">
        <v>99</v>
      </c>
    </row>
    <row r="836">
      <c r="A836" s="28">
        <v>45189.0</v>
      </c>
      <c r="B836" s="29">
        <f t="shared" si="1"/>
        <v>38</v>
      </c>
      <c r="C836" s="2" t="s">
        <v>100</v>
      </c>
    </row>
    <row r="837">
      <c r="A837" s="28">
        <v>45196.0</v>
      </c>
      <c r="B837" s="29">
        <f t="shared" si="1"/>
        <v>39</v>
      </c>
      <c r="C837" s="2" t="s">
        <v>101</v>
      </c>
      <c r="D837" s="2">
        <v>9471.0</v>
      </c>
    </row>
    <row r="838">
      <c r="A838" s="28">
        <v>45196.0</v>
      </c>
      <c r="B838" s="29">
        <f t="shared" si="1"/>
        <v>39</v>
      </c>
      <c r="C838" s="2" t="s">
        <v>80</v>
      </c>
      <c r="D838" s="2">
        <v>1922.0</v>
      </c>
    </row>
    <row r="839">
      <c r="A839" s="28">
        <v>45196.0</v>
      </c>
      <c r="B839" s="29">
        <f t="shared" si="1"/>
        <v>39</v>
      </c>
      <c r="C839" s="2" t="s">
        <v>81</v>
      </c>
    </row>
    <row r="840">
      <c r="A840" s="28">
        <v>45196.0</v>
      </c>
      <c r="B840" s="29">
        <f t="shared" si="1"/>
        <v>39</v>
      </c>
      <c r="C840" s="2" t="s">
        <v>82</v>
      </c>
    </row>
    <row r="841">
      <c r="A841" s="28">
        <v>45196.0</v>
      </c>
      <c r="B841" s="29">
        <f t="shared" si="1"/>
        <v>39</v>
      </c>
      <c r="C841" s="2" t="s">
        <v>83</v>
      </c>
      <c r="D841" s="2">
        <v>1520.0</v>
      </c>
    </row>
    <row r="842">
      <c r="A842" s="28">
        <v>45196.0</v>
      </c>
      <c r="B842" s="29">
        <f t="shared" si="1"/>
        <v>39</v>
      </c>
      <c r="C842" s="2" t="s">
        <v>84</v>
      </c>
      <c r="D842" s="2">
        <v>869.0</v>
      </c>
    </row>
    <row r="843">
      <c r="A843" s="28">
        <v>45196.0</v>
      </c>
      <c r="B843" s="29">
        <f t="shared" si="1"/>
        <v>39</v>
      </c>
      <c r="C843" s="2" t="s">
        <v>85</v>
      </c>
      <c r="D843" s="2">
        <v>142.0</v>
      </c>
    </row>
    <row r="844">
      <c r="A844" s="28">
        <v>45196.0</v>
      </c>
      <c r="B844" s="29">
        <f t="shared" si="1"/>
        <v>39</v>
      </c>
      <c r="C844" s="2" t="s">
        <v>86</v>
      </c>
    </row>
    <row r="845">
      <c r="A845" s="28">
        <v>45196.0</v>
      </c>
      <c r="B845" s="29">
        <f t="shared" si="1"/>
        <v>39</v>
      </c>
      <c r="C845" s="2" t="s">
        <v>87</v>
      </c>
    </row>
    <row r="846">
      <c r="A846" s="28">
        <v>45196.0</v>
      </c>
      <c r="B846" s="29">
        <f t="shared" si="1"/>
        <v>39</v>
      </c>
      <c r="C846" s="2" t="s">
        <v>88</v>
      </c>
      <c r="D846" s="2">
        <v>827.0</v>
      </c>
    </row>
    <row r="847">
      <c r="A847" s="28">
        <v>45196.0</v>
      </c>
      <c r="B847" s="29">
        <f t="shared" si="1"/>
        <v>39</v>
      </c>
      <c r="C847" s="2" t="s">
        <v>89</v>
      </c>
      <c r="D847" s="2">
        <v>635.0</v>
      </c>
    </row>
    <row r="848">
      <c r="A848" s="28">
        <v>45196.0</v>
      </c>
      <c r="B848" s="29">
        <f t="shared" si="1"/>
        <v>39</v>
      </c>
      <c r="C848" s="2" t="s">
        <v>90</v>
      </c>
      <c r="D848" s="2">
        <v>113.0</v>
      </c>
    </row>
    <row r="849">
      <c r="A849" s="28">
        <v>45196.0</v>
      </c>
      <c r="B849" s="29">
        <f t="shared" si="1"/>
        <v>39</v>
      </c>
      <c r="C849" s="2" t="s">
        <v>91</v>
      </c>
    </row>
    <row r="850">
      <c r="A850" s="28">
        <v>45196.0</v>
      </c>
      <c r="B850" s="29">
        <f t="shared" si="1"/>
        <v>39</v>
      </c>
      <c r="C850" s="2" t="s">
        <v>92</v>
      </c>
    </row>
    <row r="851">
      <c r="A851" s="28">
        <v>45196.0</v>
      </c>
      <c r="B851" s="29">
        <f t="shared" si="1"/>
        <v>39</v>
      </c>
      <c r="C851" s="2" t="s">
        <v>93</v>
      </c>
    </row>
    <row r="852">
      <c r="A852" s="28">
        <v>45196.0</v>
      </c>
      <c r="B852" s="29">
        <f t="shared" si="1"/>
        <v>39</v>
      </c>
      <c r="C852" s="2" t="s">
        <v>94</v>
      </c>
    </row>
    <row r="853">
      <c r="A853" s="28">
        <v>45196.0</v>
      </c>
      <c r="B853" s="29">
        <f t="shared" si="1"/>
        <v>39</v>
      </c>
      <c r="C853" s="2" t="s">
        <v>95</v>
      </c>
    </row>
    <row r="854">
      <c r="A854" s="28">
        <v>45196.0</v>
      </c>
      <c r="B854" s="29">
        <f t="shared" si="1"/>
        <v>39</v>
      </c>
      <c r="C854" s="2" t="s">
        <v>96</v>
      </c>
      <c r="D854" s="2">
        <v>438.0</v>
      </c>
    </row>
    <row r="855">
      <c r="A855" s="28">
        <v>45196.0</v>
      </c>
      <c r="B855" s="29">
        <f t="shared" si="1"/>
        <v>39</v>
      </c>
      <c r="C855" s="2" t="s">
        <v>97</v>
      </c>
      <c r="D855" s="2">
        <v>3005.0</v>
      </c>
    </row>
    <row r="856">
      <c r="A856" s="28">
        <v>45196.0</v>
      </c>
      <c r="B856" s="29">
        <f t="shared" si="1"/>
        <v>39</v>
      </c>
      <c r="C856" s="2" t="s">
        <v>98</v>
      </c>
    </row>
    <row r="857">
      <c r="A857" s="28">
        <v>45196.0</v>
      </c>
      <c r="B857" s="29">
        <f t="shared" si="1"/>
        <v>39</v>
      </c>
      <c r="C857" s="2" t="s">
        <v>99</v>
      </c>
    </row>
    <row r="858">
      <c r="A858" s="28">
        <v>45196.0</v>
      </c>
      <c r="B858" s="29">
        <f t="shared" si="1"/>
        <v>39</v>
      </c>
      <c r="C858" s="2" t="s">
        <v>100</v>
      </c>
    </row>
    <row r="859">
      <c r="A859" s="28">
        <v>45204.0</v>
      </c>
      <c r="B859" s="29">
        <f t="shared" si="1"/>
        <v>40</v>
      </c>
      <c r="C859" s="2" t="s">
        <v>101</v>
      </c>
      <c r="D859" s="2">
        <v>8220.0</v>
      </c>
    </row>
    <row r="860">
      <c r="A860" s="28">
        <v>45204.0</v>
      </c>
      <c r="B860" s="29">
        <f t="shared" si="1"/>
        <v>40</v>
      </c>
      <c r="C860" s="2" t="s">
        <v>80</v>
      </c>
      <c r="D860" s="2">
        <v>1022.0</v>
      </c>
    </row>
    <row r="861">
      <c r="A861" s="28">
        <v>45204.0</v>
      </c>
      <c r="B861" s="29">
        <f t="shared" si="1"/>
        <v>40</v>
      </c>
      <c r="C861" s="2" t="s">
        <v>81</v>
      </c>
    </row>
    <row r="862">
      <c r="A862" s="28">
        <v>45204.0</v>
      </c>
      <c r="B862" s="29">
        <f t="shared" si="1"/>
        <v>40</v>
      </c>
      <c r="C862" s="2" t="s">
        <v>82</v>
      </c>
    </row>
    <row r="863">
      <c r="A863" s="28">
        <v>45204.0</v>
      </c>
      <c r="B863" s="29">
        <f t="shared" si="1"/>
        <v>40</v>
      </c>
      <c r="C863" s="2" t="s">
        <v>83</v>
      </c>
      <c r="D863" s="2">
        <v>2880.0</v>
      </c>
    </row>
    <row r="864">
      <c r="A864" s="28">
        <v>45204.0</v>
      </c>
      <c r="B864" s="29">
        <f t="shared" si="1"/>
        <v>40</v>
      </c>
      <c r="C864" s="2" t="s">
        <v>84</v>
      </c>
      <c r="D864" s="2">
        <v>1147.0</v>
      </c>
    </row>
    <row r="865">
      <c r="A865" s="28">
        <v>45204.0</v>
      </c>
      <c r="B865" s="29">
        <f t="shared" si="1"/>
        <v>40</v>
      </c>
      <c r="C865" s="2" t="s">
        <v>85</v>
      </c>
      <c r="D865" s="2">
        <v>125.0</v>
      </c>
    </row>
    <row r="866">
      <c r="A866" s="28">
        <v>45204.0</v>
      </c>
      <c r="B866" s="29">
        <f t="shared" si="1"/>
        <v>40</v>
      </c>
      <c r="C866" s="2" t="s">
        <v>86</v>
      </c>
    </row>
    <row r="867">
      <c r="A867" s="28">
        <v>45204.0</v>
      </c>
      <c r="B867" s="29">
        <f t="shared" si="1"/>
        <v>40</v>
      </c>
      <c r="C867" s="2" t="s">
        <v>87</v>
      </c>
    </row>
    <row r="868">
      <c r="A868" s="28">
        <v>45204.0</v>
      </c>
      <c r="B868" s="29">
        <f t="shared" si="1"/>
        <v>40</v>
      </c>
      <c r="C868" s="2" t="s">
        <v>88</v>
      </c>
      <c r="D868" s="2">
        <v>589.0</v>
      </c>
    </row>
    <row r="869">
      <c r="A869" s="28">
        <v>45204.0</v>
      </c>
      <c r="B869" s="29">
        <f t="shared" si="1"/>
        <v>40</v>
      </c>
      <c r="C869" s="2" t="s">
        <v>89</v>
      </c>
      <c r="D869" s="2">
        <v>395.0</v>
      </c>
    </row>
    <row r="870">
      <c r="A870" s="28">
        <v>45204.0</v>
      </c>
      <c r="B870" s="29">
        <f t="shared" si="1"/>
        <v>40</v>
      </c>
      <c r="C870" s="2" t="s">
        <v>90</v>
      </c>
      <c r="D870" s="2">
        <v>171.0</v>
      </c>
    </row>
    <row r="871">
      <c r="A871" s="28">
        <v>45204.0</v>
      </c>
      <c r="B871" s="29">
        <f t="shared" si="1"/>
        <v>40</v>
      </c>
      <c r="C871" s="2" t="s">
        <v>91</v>
      </c>
    </row>
    <row r="872">
      <c r="A872" s="28">
        <v>45204.0</v>
      </c>
      <c r="B872" s="29">
        <f t="shared" si="1"/>
        <v>40</v>
      </c>
      <c r="C872" s="2" t="s">
        <v>92</v>
      </c>
    </row>
    <row r="873">
      <c r="A873" s="28">
        <v>45204.0</v>
      </c>
      <c r="B873" s="29">
        <f t="shared" si="1"/>
        <v>40</v>
      </c>
      <c r="C873" s="2" t="s">
        <v>93</v>
      </c>
    </row>
    <row r="874">
      <c r="A874" s="28">
        <v>45204.0</v>
      </c>
      <c r="B874" s="29">
        <f t="shared" si="1"/>
        <v>40</v>
      </c>
      <c r="C874" s="2" t="s">
        <v>94</v>
      </c>
    </row>
    <row r="875">
      <c r="A875" s="28">
        <v>45204.0</v>
      </c>
      <c r="B875" s="29">
        <f t="shared" si="1"/>
        <v>40</v>
      </c>
      <c r="C875" s="2" t="s">
        <v>95</v>
      </c>
    </row>
    <row r="876">
      <c r="A876" s="28">
        <v>45204.0</v>
      </c>
      <c r="B876" s="29">
        <f t="shared" si="1"/>
        <v>40</v>
      </c>
      <c r="C876" s="2" t="s">
        <v>96</v>
      </c>
      <c r="D876" s="2">
        <v>409.0</v>
      </c>
    </row>
    <row r="877">
      <c r="A877" s="28">
        <v>45204.0</v>
      </c>
      <c r="B877" s="29">
        <f t="shared" si="1"/>
        <v>40</v>
      </c>
      <c r="C877" s="2" t="s">
        <v>97</v>
      </c>
      <c r="D877" s="2">
        <v>1482.0</v>
      </c>
    </row>
    <row r="878">
      <c r="A878" s="28">
        <v>45204.0</v>
      </c>
      <c r="B878" s="29">
        <f t="shared" si="1"/>
        <v>40</v>
      </c>
      <c r="C878" s="2" t="s">
        <v>98</v>
      </c>
    </row>
    <row r="879">
      <c r="A879" s="28">
        <v>45204.0</v>
      </c>
      <c r="B879" s="29">
        <f t="shared" si="1"/>
        <v>40</v>
      </c>
      <c r="C879" s="2" t="s">
        <v>99</v>
      </c>
    </row>
    <row r="880">
      <c r="A880" s="28">
        <v>45204.0</v>
      </c>
      <c r="B880" s="29">
        <f t="shared" si="1"/>
        <v>40</v>
      </c>
      <c r="C880" s="2" t="s">
        <v>100</v>
      </c>
    </row>
    <row r="881">
      <c r="A881" s="28">
        <v>45210.0</v>
      </c>
      <c r="B881" s="29">
        <f t="shared" si="1"/>
        <v>41</v>
      </c>
      <c r="C881" s="2" t="s">
        <v>101</v>
      </c>
      <c r="D881" s="2">
        <v>6576.0</v>
      </c>
    </row>
    <row r="882">
      <c r="A882" s="28">
        <v>45210.0</v>
      </c>
      <c r="B882" s="29">
        <f t="shared" si="1"/>
        <v>41</v>
      </c>
      <c r="C882" s="2" t="s">
        <v>80</v>
      </c>
      <c r="D882" s="2">
        <v>2187.0</v>
      </c>
    </row>
    <row r="883">
      <c r="A883" s="28">
        <v>45210.0</v>
      </c>
      <c r="B883" s="29">
        <f t="shared" si="1"/>
        <v>41</v>
      </c>
      <c r="C883" s="2" t="s">
        <v>81</v>
      </c>
    </row>
    <row r="884">
      <c r="A884" s="28">
        <v>45210.0</v>
      </c>
      <c r="B884" s="29">
        <f t="shared" si="1"/>
        <v>41</v>
      </c>
      <c r="C884" s="2" t="s">
        <v>82</v>
      </c>
    </row>
    <row r="885">
      <c r="A885" s="28">
        <v>45210.0</v>
      </c>
      <c r="B885" s="29">
        <f t="shared" si="1"/>
        <v>41</v>
      </c>
      <c r="C885" s="2" t="s">
        <v>83</v>
      </c>
      <c r="D885" s="2">
        <v>1127.0</v>
      </c>
    </row>
    <row r="886">
      <c r="A886" s="28">
        <v>45210.0</v>
      </c>
      <c r="B886" s="29">
        <f t="shared" si="1"/>
        <v>41</v>
      </c>
      <c r="C886" s="2" t="s">
        <v>84</v>
      </c>
      <c r="D886" s="2">
        <v>1605.0</v>
      </c>
    </row>
    <row r="887">
      <c r="A887" s="28">
        <v>45210.0</v>
      </c>
      <c r="B887" s="29">
        <f t="shared" si="1"/>
        <v>41</v>
      </c>
      <c r="C887" s="2" t="s">
        <v>85</v>
      </c>
      <c r="D887" s="2">
        <v>92.0</v>
      </c>
    </row>
    <row r="888">
      <c r="A888" s="28">
        <v>45210.0</v>
      </c>
      <c r="B888" s="29">
        <f t="shared" si="1"/>
        <v>41</v>
      </c>
      <c r="C888" s="2" t="s">
        <v>86</v>
      </c>
    </row>
    <row r="889">
      <c r="A889" s="28">
        <v>45210.0</v>
      </c>
      <c r="B889" s="29">
        <f t="shared" si="1"/>
        <v>41</v>
      </c>
      <c r="C889" s="2" t="s">
        <v>87</v>
      </c>
    </row>
    <row r="890">
      <c r="A890" s="28">
        <v>45210.0</v>
      </c>
      <c r="B890" s="29">
        <f t="shared" si="1"/>
        <v>41</v>
      </c>
      <c r="C890" s="2" t="s">
        <v>88</v>
      </c>
      <c r="D890" s="2">
        <v>444.0</v>
      </c>
    </row>
    <row r="891">
      <c r="A891" s="28">
        <v>45210.0</v>
      </c>
      <c r="B891" s="29">
        <f t="shared" si="1"/>
        <v>41</v>
      </c>
      <c r="C891" s="2" t="s">
        <v>89</v>
      </c>
      <c r="D891" s="2">
        <v>580.0</v>
      </c>
    </row>
    <row r="892">
      <c r="A892" s="28">
        <v>45210.0</v>
      </c>
      <c r="B892" s="29">
        <f t="shared" si="1"/>
        <v>41</v>
      </c>
      <c r="C892" s="2" t="s">
        <v>90</v>
      </c>
      <c r="D892" s="2">
        <v>107.0</v>
      </c>
    </row>
    <row r="893">
      <c r="A893" s="28">
        <v>45210.0</v>
      </c>
      <c r="B893" s="29">
        <f t="shared" si="1"/>
        <v>41</v>
      </c>
      <c r="C893" s="2" t="s">
        <v>91</v>
      </c>
    </row>
    <row r="894">
      <c r="A894" s="28">
        <v>45210.0</v>
      </c>
      <c r="B894" s="29">
        <f t="shared" si="1"/>
        <v>41</v>
      </c>
      <c r="C894" s="2" t="s">
        <v>92</v>
      </c>
    </row>
    <row r="895">
      <c r="A895" s="28">
        <v>45210.0</v>
      </c>
      <c r="B895" s="29">
        <f t="shared" si="1"/>
        <v>41</v>
      </c>
      <c r="C895" s="2" t="s">
        <v>93</v>
      </c>
    </row>
    <row r="896">
      <c r="A896" s="28">
        <v>45210.0</v>
      </c>
      <c r="B896" s="29">
        <f t="shared" si="1"/>
        <v>41</v>
      </c>
      <c r="C896" s="2" t="s">
        <v>94</v>
      </c>
    </row>
    <row r="897">
      <c r="A897" s="28">
        <v>45210.0</v>
      </c>
      <c r="B897" s="29">
        <f t="shared" si="1"/>
        <v>41</v>
      </c>
      <c r="C897" s="2" t="s">
        <v>95</v>
      </c>
    </row>
    <row r="898">
      <c r="A898" s="28">
        <v>45210.0</v>
      </c>
      <c r="B898" s="29">
        <f t="shared" si="1"/>
        <v>41</v>
      </c>
      <c r="C898" s="2" t="s">
        <v>96</v>
      </c>
      <c r="D898" s="2">
        <v>240.0</v>
      </c>
    </row>
    <row r="899">
      <c r="A899" s="28">
        <v>45210.0</v>
      </c>
      <c r="B899" s="29">
        <f t="shared" si="1"/>
        <v>41</v>
      </c>
      <c r="C899" s="2" t="s">
        <v>97</v>
      </c>
      <c r="D899" s="2">
        <v>194.0</v>
      </c>
    </row>
    <row r="900">
      <c r="A900" s="28">
        <v>45210.0</v>
      </c>
      <c r="B900" s="29">
        <f t="shared" si="1"/>
        <v>41</v>
      </c>
      <c r="C900" s="2" t="s">
        <v>98</v>
      </c>
    </row>
    <row r="901">
      <c r="A901" s="28">
        <v>45210.0</v>
      </c>
      <c r="B901" s="29">
        <f t="shared" si="1"/>
        <v>41</v>
      </c>
      <c r="C901" s="2" t="s">
        <v>99</v>
      </c>
    </row>
    <row r="902">
      <c r="A902" s="28">
        <v>45210.0</v>
      </c>
      <c r="B902" s="29">
        <f t="shared" si="1"/>
        <v>41</v>
      </c>
      <c r="C902" s="2" t="s">
        <v>100</v>
      </c>
    </row>
    <row r="903">
      <c r="A903" s="28">
        <v>45217.0</v>
      </c>
      <c r="B903" s="29">
        <f t="shared" si="1"/>
        <v>42</v>
      </c>
      <c r="C903" s="2" t="s">
        <v>101</v>
      </c>
      <c r="D903" s="2">
        <v>10635.0</v>
      </c>
    </row>
    <row r="904">
      <c r="A904" s="28">
        <v>45217.0</v>
      </c>
      <c r="B904" s="29">
        <f t="shared" si="1"/>
        <v>42</v>
      </c>
      <c r="C904" s="2" t="s">
        <v>80</v>
      </c>
      <c r="D904" s="2">
        <v>2107.0</v>
      </c>
    </row>
    <row r="905">
      <c r="A905" s="28">
        <v>45217.0</v>
      </c>
      <c r="B905" s="29">
        <f t="shared" si="1"/>
        <v>42</v>
      </c>
      <c r="C905" s="2" t="s">
        <v>81</v>
      </c>
    </row>
    <row r="906">
      <c r="A906" s="28">
        <v>45217.0</v>
      </c>
      <c r="B906" s="29">
        <f t="shared" si="1"/>
        <v>42</v>
      </c>
      <c r="C906" s="2" t="s">
        <v>82</v>
      </c>
    </row>
    <row r="907">
      <c r="A907" s="28">
        <v>45217.0</v>
      </c>
      <c r="B907" s="29">
        <f t="shared" si="1"/>
        <v>42</v>
      </c>
      <c r="C907" s="2" t="s">
        <v>83</v>
      </c>
      <c r="D907" s="2">
        <v>1800.0</v>
      </c>
    </row>
    <row r="908">
      <c r="A908" s="28">
        <v>45217.0</v>
      </c>
      <c r="B908" s="29">
        <f t="shared" si="1"/>
        <v>42</v>
      </c>
      <c r="C908" s="2" t="s">
        <v>84</v>
      </c>
      <c r="D908" s="2">
        <v>722.0</v>
      </c>
    </row>
    <row r="909">
      <c r="A909" s="28">
        <v>45217.0</v>
      </c>
      <c r="B909" s="29">
        <f t="shared" si="1"/>
        <v>42</v>
      </c>
      <c r="C909" s="2" t="s">
        <v>85</v>
      </c>
      <c r="D909" s="2">
        <v>130.0</v>
      </c>
    </row>
    <row r="910">
      <c r="A910" s="28">
        <v>45217.0</v>
      </c>
      <c r="B910" s="29">
        <f t="shared" si="1"/>
        <v>42</v>
      </c>
      <c r="C910" s="2" t="s">
        <v>86</v>
      </c>
    </row>
    <row r="911">
      <c r="A911" s="28">
        <v>45217.0</v>
      </c>
      <c r="B911" s="29">
        <f t="shared" si="1"/>
        <v>42</v>
      </c>
      <c r="C911" s="2" t="s">
        <v>87</v>
      </c>
    </row>
    <row r="912">
      <c r="A912" s="28">
        <v>45217.0</v>
      </c>
      <c r="B912" s="29">
        <f t="shared" si="1"/>
        <v>42</v>
      </c>
      <c r="C912" s="2" t="s">
        <v>88</v>
      </c>
      <c r="D912" s="2">
        <v>1159.0</v>
      </c>
    </row>
    <row r="913">
      <c r="A913" s="28">
        <v>45217.0</v>
      </c>
      <c r="B913" s="29">
        <f t="shared" si="1"/>
        <v>42</v>
      </c>
      <c r="C913" s="2" t="s">
        <v>89</v>
      </c>
      <c r="D913" s="2">
        <v>751.0</v>
      </c>
    </row>
    <row r="914">
      <c r="A914" s="28">
        <v>45217.0</v>
      </c>
      <c r="B914" s="29">
        <f t="shared" si="1"/>
        <v>42</v>
      </c>
      <c r="C914" s="2" t="s">
        <v>90</v>
      </c>
      <c r="D914" s="2">
        <v>126.0</v>
      </c>
    </row>
    <row r="915">
      <c r="A915" s="28">
        <v>45217.0</v>
      </c>
      <c r="B915" s="29">
        <f t="shared" si="1"/>
        <v>42</v>
      </c>
      <c r="C915" s="2" t="s">
        <v>91</v>
      </c>
    </row>
    <row r="916">
      <c r="A916" s="28">
        <v>45217.0</v>
      </c>
      <c r="B916" s="29">
        <f t="shared" si="1"/>
        <v>42</v>
      </c>
      <c r="C916" s="2" t="s">
        <v>92</v>
      </c>
    </row>
    <row r="917">
      <c r="A917" s="28">
        <v>45217.0</v>
      </c>
      <c r="B917" s="29">
        <f t="shared" si="1"/>
        <v>42</v>
      </c>
      <c r="C917" s="2" t="s">
        <v>93</v>
      </c>
    </row>
    <row r="918">
      <c r="A918" s="28">
        <v>45217.0</v>
      </c>
      <c r="B918" s="29">
        <f t="shared" si="1"/>
        <v>42</v>
      </c>
      <c r="C918" s="2" t="s">
        <v>94</v>
      </c>
    </row>
    <row r="919">
      <c r="A919" s="28">
        <v>45217.0</v>
      </c>
      <c r="B919" s="29">
        <f t="shared" si="1"/>
        <v>42</v>
      </c>
      <c r="C919" s="2" t="s">
        <v>95</v>
      </c>
    </row>
    <row r="920">
      <c r="A920" s="28">
        <v>45217.0</v>
      </c>
      <c r="B920" s="29">
        <f t="shared" si="1"/>
        <v>42</v>
      </c>
      <c r="C920" s="2" t="s">
        <v>96</v>
      </c>
      <c r="D920" s="2">
        <v>205.0</v>
      </c>
    </row>
    <row r="921">
      <c r="A921" s="28">
        <v>45217.0</v>
      </c>
      <c r="B921" s="29">
        <f t="shared" si="1"/>
        <v>42</v>
      </c>
      <c r="C921" s="2" t="s">
        <v>97</v>
      </c>
      <c r="D921" s="2">
        <v>3635.0</v>
      </c>
    </row>
    <row r="922">
      <c r="A922" s="28">
        <v>45217.0</v>
      </c>
      <c r="B922" s="29">
        <f t="shared" si="1"/>
        <v>42</v>
      </c>
      <c r="C922" s="2" t="s">
        <v>98</v>
      </c>
    </row>
    <row r="923">
      <c r="A923" s="28">
        <v>45217.0</v>
      </c>
      <c r="B923" s="29">
        <f t="shared" si="1"/>
        <v>42</v>
      </c>
      <c r="C923" s="2" t="s">
        <v>99</v>
      </c>
    </row>
    <row r="924">
      <c r="A924" s="28">
        <v>45217.0</v>
      </c>
      <c r="B924" s="29">
        <f t="shared" si="1"/>
        <v>42</v>
      </c>
      <c r="C924" s="2" t="s">
        <v>100</v>
      </c>
    </row>
    <row r="925">
      <c r="A925" s="28">
        <v>45224.0</v>
      </c>
      <c r="B925" s="29">
        <f t="shared" si="1"/>
        <v>43</v>
      </c>
      <c r="C925" s="2" t="s">
        <v>101</v>
      </c>
      <c r="D925" s="2">
        <v>10308.0</v>
      </c>
    </row>
    <row r="926">
      <c r="A926" s="28">
        <v>45224.0</v>
      </c>
      <c r="B926" s="29">
        <f t="shared" si="1"/>
        <v>43</v>
      </c>
      <c r="C926" s="2" t="s">
        <v>80</v>
      </c>
      <c r="D926" s="2">
        <v>1339.0</v>
      </c>
    </row>
    <row r="927">
      <c r="A927" s="28">
        <v>45224.0</v>
      </c>
      <c r="B927" s="29">
        <f t="shared" si="1"/>
        <v>43</v>
      </c>
      <c r="C927" s="2" t="s">
        <v>81</v>
      </c>
    </row>
    <row r="928">
      <c r="A928" s="28">
        <v>45224.0</v>
      </c>
      <c r="B928" s="29">
        <f t="shared" si="1"/>
        <v>43</v>
      </c>
      <c r="C928" s="2" t="s">
        <v>82</v>
      </c>
    </row>
    <row r="929">
      <c r="A929" s="28">
        <v>45224.0</v>
      </c>
      <c r="B929" s="29">
        <f t="shared" si="1"/>
        <v>43</v>
      </c>
      <c r="C929" s="2" t="s">
        <v>83</v>
      </c>
      <c r="D929" s="2">
        <v>1349.0</v>
      </c>
    </row>
    <row r="930">
      <c r="A930" s="28">
        <v>45224.0</v>
      </c>
      <c r="B930" s="29">
        <f t="shared" si="1"/>
        <v>43</v>
      </c>
      <c r="C930" s="2" t="s">
        <v>84</v>
      </c>
      <c r="D930" s="2">
        <v>1379.0</v>
      </c>
    </row>
    <row r="931">
      <c r="A931" s="28">
        <v>45224.0</v>
      </c>
      <c r="B931" s="29">
        <f t="shared" si="1"/>
        <v>43</v>
      </c>
      <c r="C931" s="2" t="s">
        <v>85</v>
      </c>
      <c r="D931" s="2">
        <v>121.0</v>
      </c>
    </row>
    <row r="932">
      <c r="A932" s="28">
        <v>45224.0</v>
      </c>
      <c r="B932" s="29">
        <f t="shared" si="1"/>
        <v>43</v>
      </c>
      <c r="C932" s="2" t="s">
        <v>86</v>
      </c>
    </row>
    <row r="933">
      <c r="A933" s="28">
        <v>45224.0</v>
      </c>
      <c r="B933" s="29">
        <f t="shared" si="1"/>
        <v>43</v>
      </c>
      <c r="C933" s="2" t="s">
        <v>87</v>
      </c>
    </row>
    <row r="934">
      <c r="A934" s="28">
        <v>45224.0</v>
      </c>
      <c r="B934" s="29">
        <f t="shared" si="1"/>
        <v>43</v>
      </c>
      <c r="C934" s="2" t="s">
        <v>88</v>
      </c>
      <c r="D934" s="2">
        <v>669.0</v>
      </c>
    </row>
    <row r="935">
      <c r="A935" s="28">
        <v>45224.0</v>
      </c>
      <c r="B935" s="29">
        <f t="shared" si="1"/>
        <v>43</v>
      </c>
      <c r="C935" s="2" t="s">
        <v>89</v>
      </c>
      <c r="D935" s="2">
        <v>1198.0</v>
      </c>
    </row>
    <row r="936">
      <c r="A936" s="28">
        <v>45224.0</v>
      </c>
      <c r="B936" s="29">
        <f t="shared" si="1"/>
        <v>43</v>
      </c>
      <c r="C936" s="2" t="s">
        <v>90</v>
      </c>
      <c r="D936" s="2">
        <v>105.0</v>
      </c>
    </row>
    <row r="937">
      <c r="A937" s="28">
        <v>45224.0</v>
      </c>
      <c r="B937" s="29">
        <f t="shared" si="1"/>
        <v>43</v>
      </c>
      <c r="C937" s="2" t="s">
        <v>91</v>
      </c>
    </row>
    <row r="938">
      <c r="A938" s="28">
        <v>45224.0</v>
      </c>
      <c r="B938" s="29">
        <f t="shared" si="1"/>
        <v>43</v>
      </c>
      <c r="C938" s="2" t="s">
        <v>92</v>
      </c>
    </row>
    <row r="939">
      <c r="A939" s="28">
        <v>45224.0</v>
      </c>
      <c r="B939" s="29">
        <f t="shared" si="1"/>
        <v>43</v>
      </c>
      <c r="C939" s="2" t="s">
        <v>93</v>
      </c>
    </row>
    <row r="940">
      <c r="A940" s="28">
        <v>45224.0</v>
      </c>
      <c r="B940" s="29">
        <f t="shared" si="1"/>
        <v>43</v>
      </c>
      <c r="C940" s="2" t="s">
        <v>94</v>
      </c>
    </row>
    <row r="941">
      <c r="A941" s="28">
        <v>45224.0</v>
      </c>
      <c r="B941" s="29">
        <f t="shared" si="1"/>
        <v>43</v>
      </c>
      <c r="C941" s="2" t="s">
        <v>95</v>
      </c>
    </row>
    <row r="942">
      <c r="A942" s="28">
        <v>45224.0</v>
      </c>
      <c r="B942" s="29">
        <f t="shared" si="1"/>
        <v>43</v>
      </c>
      <c r="C942" s="2" t="s">
        <v>96</v>
      </c>
      <c r="D942" s="2">
        <v>1163.0</v>
      </c>
    </row>
    <row r="943">
      <c r="A943" s="28">
        <v>45224.0</v>
      </c>
      <c r="B943" s="29">
        <f t="shared" si="1"/>
        <v>43</v>
      </c>
      <c r="C943" s="2" t="s">
        <v>97</v>
      </c>
      <c r="D943" s="2">
        <v>2985.0</v>
      </c>
    </row>
    <row r="944">
      <c r="A944" s="28">
        <v>45224.0</v>
      </c>
      <c r="B944" s="29">
        <f t="shared" si="1"/>
        <v>43</v>
      </c>
      <c r="C944" s="2" t="s">
        <v>98</v>
      </c>
    </row>
    <row r="945">
      <c r="A945" s="28">
        <v>45224.0</v>
      </c>
      <c r="B945" s="29">
        <f t="shared" si="1"/>
        <v>43</v>
      </c>
      <c r="C945" s="2" t="s">
        <v>99</v>
      </c>
    </row>
    <row r="946">
      <c r="A946" s="28">
        <v>45224.0</v>
      </c>
      <c r="B946" s="29">
        <f t="shared" si="1"/>
        <v>43</v>
      </c>
      <c r="C946" s="2" t="s">
        <v>100</v>
      </c>
    </row>
    <row r="947">
      <c r="A947" s="28">
        <v>45231.0</v>
      </c>
      <c r="B947" s="29">
        <f t="shared" si="1"/>
        <v>44</v>
      </c>
      <c r="C947" s="2" t="s">
        <v>101</v>
      </c>
      <c r="D947" s="2">
        <v>6368.0</v>
      </c>
    </row>
    <row r="948">
      <c r="A948" s="28">
        <v>45231.0</v>
      </c>
      <c r="B948" s="29">
        <f t="shared" si="1"/>
        <v>44</v>
      </c>
      <c r="C948" s="2" t="s">
        <v>80</v>
      </c>
      <c r="D948" s="2">
        <v>781.0</v>
      </c>
    </row>
    <row r="949">
      <c r="A949" s="28">
        <v>45231.0</v>
      </c>
      <c r="B949" s="29">
        <f t="shared" si="1"/>
        <v>44</v>
      </c>
      <c r="C949" s="2" t="s">
        <v>81</v>
      </c>
    </row>
    <row r="950">
      <c r="A950" s="28">
        <v>45231.0</v>
      </c>
      <c r="B950" s="29">
        <f t="shared" si="1"/>
        <v>44</v>
      </c>
      <c r="C950" s="2" t="s">
        <v>82</v>
      </c>
    </row>
    <row r="951">
      <c r="A951" s="28">
        <v>45231.0</v>
      </c>
      <c r="B951" s="29">
        <f t="shared" si="1"/>
        <v>44</v>
      </c>
      <c r="C951" s="2" t="s">
        <v>83</v>
      </c>
      <c r="D951" s="2">
        <v>2451.0</v>
      </c>
    </row>
    <row r="952">
      <c r="A952" s="28">
        <v>45231.0</v>
      </c>
      <c r="B952" s="29">
        <f t="shared" si="1"/>
        <v>44</v>
      </c>
      <c r="C952" s="2" t="s">
        <v>84</v>
      </c>
      <c r="D952" s="2">
        <v>937.0</v>
      </c>
    </row>
    <row r="953">
      <c r="A953" s="28">
        <v>45231.0</v>
      </c>
      <c r="B953" s="29">
        <f t="shared" si="1"/>
        <v>44</v>
      </c>
      <c r="C953" s="2" t="s">
        <v>85</v>
      </c>
      <c r="D953" s="2">
        <v>135.0</v>
      </c>
    </row>
    <row r="954">
      <c r="A954" s="28">
        <v>45231.0</v>
      </c>
      <c r="B954" s="29">
        <f t="shared" si="1"/>
        <v>44</v>
      </c>
      <c r="C954" s="2" t="s">
        <v>86</v>
      </c>
    </row>
    <row r="955">
      <c r="A955" s="28">
        <v>45231.0</v>
      </c>
      <c r="B955" s="29">
        <f t="shared" si="1"/>
        <v>44</v>
      </c>
      <c r="C955" s="2" t="s">
        <v>87</v>
      </c>
    </row>
    <row r="956">
      <c r="A956" s="28">
        <v>45231.0</v>
      </c>
      <c r="B956" s="29">
        <f t="shared" si="1"/>
        <v>44</v>
      </c>
      <c r="C956" s="2" t="s">
        <v>88</v>
      </c>
      <c r="D956" s="2">
        <v>296.0</v>
      </c>
    </row>
    <row r="957">
      <c r="A957" s="28">
        <v>45231.0</v>
      </c>
      <c r="B957" s="29">
        <f t="shared" si="1"/>
        <v>44</v>
      </c>
      <c r="C957" s="2" t="s">
        <v>89</v>
      </c>
      <c r="D957" s="2">
        <v>365.0</v>
      </c>
    </row>
    <row r="958">
      <c r="A958" s="28">
        <v>45231.0</v>
      </c>
      <c r="B958" s="29">
        <f t="shared" si="1"/>
        <v>44</v>
      </c>
      <c r="C958" s="2" t="s">
        <v>90</v>
      </c>
      <c r="D958" s="2">
        <v>129.0</v>
      </c>
    </row>
    <row r="959">
      <c r="A959" s="28">
        <v>45231.0</v>
      </c>
      <c r="B959" s="29">
        <f t="shared" si="1"/>
        <v>44</v>
      </c>
      <c r="C959" s="2" t="s">
        <v>91</v>
      </c>
    </row>
    <row r="960">
      <c r="A960" s="28">
        <v>45231.0</v>
      </c>
      <c r="B960" s="29">
        <f t="shared" si="1"/>
        <v>44</v>
      </c>
      <c r="C960" s="2" t="s">
        <v>92</v>
      </c>
    </row>
    <row r="961">
      <c r="A961" s="28">
        <v>45231.0</v>
      </c>
      <c r="B961" s="29">
        <f t="shared" si="1"/>
        <v>44</v>
      </c>
      <c r="C961" s="2" t="s">
        <v>93</v>
      </c>
    </row>
    <row r="962">
      <c r="A962" s="28">
        <v>45231.0</v>
      </c>
      <c r="B962" s="29">
        <f t="shared" si="1"/>
        <v>44</v>
      </c>
      <c r="C962" s="2" t="s">
        <v>94</v>
      </c>
    </row>
    <row r="963">
      <c r="A963" s="28">
        <v>45231.0</v>
      </c>
      <c r="B963" s="29">
        <f t="shared" si="1"/>
        <v>44</v>
      </c>
      <c r="C963" s="2" t="s">
        <v>95</v>
      </c>
    </row>
    <row r="964">
      <c r="A964" s="28">
        <v>45231.0</v>
      </c>
      <c r="B964" s="29">
        <f t="shared" si="1"/>
        <v>44</v>
      </c>
      <c r="C964" s="2" t="s">
        <v>96</v>
      </c>
      <c r="D964" s="2">
        <v>219.0</v>
      </c>
    </row>
    <row r="965">
      <c r="A965" s="28">
        <v>45231.0</v>
      </c>
      <c r="B965" s="29">
        <f t="shared" si="1"/>
        <v>44</v>
      </c>
      <c r="C965" s="2" t="s">
        <v>97</v>
      </c>
      <c r="D965" s="2">
        <v>1055.0</v>
      </c>
    </row>
    <row r="966">
      <c r="A966" s="28">
        <v>45231.0</v>
      </c>
      <c r="B966" s="29">
        <f t="shared" si="1"/>
        <v>44</v>
      </c>
      <c r="C966" s="2" t="s">
        <v>98</v>
      </c>
    </row>
    <row r="967">
      <c r="A967" s="28">
        <v>45231.0</v>
      </c>
      <c r="B967" s="29">
        <f t="shared" si="1"/>
        <v>44</v>
      </c>
      <c r="C967" s="2" t="s">
        <v>99</v>
      </c>
    </row>
    <row r="968">
      <c r="A968" s="28">
        <v>45231.0</v>
      </c>
      <c r="B968" s="29">
        <f t="shared" si="1"/>
        <v>44</v>
      </c>
      <c r="C968" s="2" t="s">
        <v>100</v>
      </c>
    </row>
    <row r="969">
      <c r="A969" s="28">
        <v>45238.0</v>
      </c>
      <c r="B969" s="29">
        <f t="shared" si="1"/>
        <v>45</v>
      </c>
      <c r="C969" s="2" t="s">
        <v>101</v>
      </c>
      <c r="D969" s="2">
        <v>9364.0</v>
      </c>
    </row>
    <row r="970">
      <c r="A970" s="28">
        <v>45238.0</v>
      </c>
      <c r="B970" s="29">
        <f t="shared" si="1"/>
        <v>45</v>
      </c>
      <c r="C970" s="2" t="s">
        <v>80</v>
      </c>
      <c r="D970" s="2">
        <v>2028.0</v>
      </c>
    </row>
    <row r="971">
      <c r="A971" s="28">
        <v>45238.0</v>
      </c>
      <c r="B971" s="29">
        <f t="shared" si="1"/>
        <v>45</v>
      </c>
      <c r="C971" s="2" t="s">
        <v>81</v>
      </c>
    </row>
    <row r="972">
      <c r="A972" s="28">
        <v>45238.0</v>
      </c>
      <c r="B972" s="29">
        <f t="shared" si="1"/>
        <v>45</v>
      </c>
      <c r="C972" s="2" t="s">
        <v>82</v>
      </c>
    </row>
    <row r="973">
      <c r="A973" s="28">
        <v>45238.0</v>
      </c>
      <c r="B973" s="29">
        <f t="shared" si="1"/>
        <v>45</v>
      </c>
      <c r="C973" s="2" t="s">
        <v>83</v>
      </c>
      <c r="D973" s="2">
        <v>1805.0</v>
      </c>
    </row>
    <row r="974">
      <c r="A974" s="28">
        <v>45238.0</v>
      </c>
      <c r="B974" s="29">
        <f t="shared" si="1"/>
        <v>45</v>
      </c>
      <c r="C974" s="2" t="s">
        <v>84</v>
      </c>
      <c r="D974" s="2">
        <v>1552.0</v>
      </c>
    </row>
    <row r="975">
      <c r="A975" s="28">
        <v>45238.0</v>
      </c>
      <c r="B975" s="29">
        <f t="shared" si="1"/>
        <v>45</v>
      </c>
      <c r="C975" s="2" t="s">
        <v>85</v>
      </c>
      <c r="D975" s="2">
        <v>0.0</v>
      </c>
    </row>
    <row r="976">
      <c r="A976" s="28">
        <v>45238.0</v>
      </c>
      <c r="B976" s="29">
        <f t="shared" si="1"/>
        <v>45</v>
      </c>
      <c r="C976" s="2" t="s">
        <v>86</v>
      </c>
    </row>
    <row r="977">
      <c r="A977" s="28">
        <v>45238.0</v>
      </c>
      <c r="B977" s="29">
        <f t="shared" si="1"/>
        <v>45</v>
      </c>
      <c r="C977" s="2" t="s">
        <v>87</v>
      </c>
    </row>
    <row r="978">
      <c r="A978" s="28">
        <v>45238.0</v>
      </c>
      <c r="B978" s="29">
        <f t="shared" si="1"/>
        <v>45</v>
      </c>
      <c r="C978" s="2" t="s">
        <v>88</v>
      </c>
      <c r="D978" s="2">
        <v>928.0</v>
      </c>
    </row>
    <row r="979">
      <c r="A979" s="28">
        <v>45238.0</v>
      </c>
      <c r="B979" s="29">
        <f t="shared" si="1"/>
        <v>45</v>
      </c>
      <c r="C979" s="2" t="s">
        <v>89</v>
      </c>
      <c r="D979" s="2">
        <v>935.0</v>
      </c>
    </row>
    <row r="980">
      <c r="A980" s="28">
        <v>45238.0</v>
      </c>
      <c r="B980" s="29">
        <f t="shared" si="1"/>
        <v>45</v>
      </c>
      <c r="C980" s="2" t="s">
        <v>90</v>
      </c>
      <c r="D980" s="2">
        <v>88.0</v>
      </c>
    </row>
    <row r="981">
      <c r="A981" s="28">
        <v>45238.0</v>
      </c>
      <c r="B981" s="29">
        <f t="shared" si="1"/>
        <v>45</v>
      </c>
      <c r="C981" s="2" t="s">
        <v>91</v>
      </c>
    </row>
    <row r="982">
      <c r="A982" s="28">
        <v>45238.0</v>
      </c>
      <c r="B982" s="29">
        <f t="shared" si="1"/>
        <v>45</v>
      </c>
      <c r="C982" s="2" t="s">
        <v>92</v>
      </c>
    </row>
    <row r="983">
      <c r="A983" s="28">
        <v>45238.0</v>
      </c>
      <c r="B983" s="29">
        <f t="shared" si="1"/>
        <v>45</v>
      </c>
      <c r="C983" s="2" t="s">
        <v>93</v>
      </c>
    </row>
    <row r="984">
      <c r="A984" s="28">
        <v>45238.0</v>
      </c>
      <c r="B984" s="29">
        <f t="shared" si="1"/>
        <v>45</v>
      </c>
      <c r="C984" s="2" t="s">
        <v>94</v>
      </c>
    </row>
    <row r="985">
      <c r="A985" s="28">
        <v>45238.0</v>
      </c>
      <c r="B985" s="29">
        <f t="shared" si="1"/>
        <v>45</v>
      </c>
      <c r="C985" s="2" t="s">
        <v>95</v>
      </c>
    </row>
    <row r="986">
      <c r="A986" s="28">
        <v>45238.0</v>
      </c>
      <c r="B986" s="29">
        <f t="shared" si="1"/>
        <v>45</v>
      </c>
      <c r="C986" s="2" t="s">
        <v>96</v>
      </c>
      <c r="D986" s="2">
        <v>267.0</v>
      </c>
    </row>
    <row r="987">
      <c r="A987" s="28">
        <v>45238.0</v>
      </c>
      <c r="B987" s="29">
        <f t="shared" si="1"/>
        <v>45</v>
      </c>
      <c r="C987" s="2" t="s">
        <v>97</v>
      </c>
      <c r="D987" s="2">
        <v>1761.0</v>
      </c>
    </row>
    <row r="988">
      <c r="A988" s="28">
        <v>45238.0</v>
      </c>
      <c r="B988" s="29">
        <f t="shared" si="1"/>
        <v>45</v>
      </c>
      <c r="C988" s="2" t="s">
        <v>98</v>
      </c>
    </row>
    <row r="989">
      <c r="A989" s="28">
        <v>45238.0</v>
      </c>
      <c r="B989" s="29">
        <f t="shared" si="1"/>
        <v>45</v>
      </c>
      <c r="C989" s="2" t="s">
        <v>99</v>
      </c>
    </row>
    <row r="990">
      <c r="A990" s="28">
        <v>45238.0</v>
      </c>
      <c r="B990" s="29">
        <f t="shared" si="1"/>
        <v>45</v>
      </c>
      <c r="C990" s="2" t="s">
        <v>100</v>
      </c>
    </row>
    <row r="991">
      <c r="A991" s="28">
        <v>45245.0</v>
      </c>
      <c r="B991" s="29">
        <f t="shared" si="1"/>
        <v>46</v>
      </c>
      <c r="C991" s="2" t="s">
        <v>101</v>
      </c>
      <c r="D991" s="2">
        <v>19414.0</v>
      </c>
    </row>
    <row r="992">
      <c r="A992" s="28">
        <v>45245.0</v>
      </c>
      <c r="B992" s="29">
        <f t="shared" si="1"/>
        <v>46</v>
      </c>
      <c r="C992" s="2" t="s">
        <v>80</v>
      </c>
      <c r="D992" s="2">
        <v>1722.0</v>
      </c>
    </row>
    <row r="993">
      <c r="A993" s="28">
        <v>45245.0</v>
      </c>
      <c r="B993" s="29">
        <f t="shared" si="1"/>
        <v>46</v>
      </c>
      <c r="C993" s="2" t="s">
        <v>81</v>
      </c>
    </row>
    <row r="994">
      <c r="A994" s="28">
        <v>45245.0</v>
      </c>
      <c r="B994" s="29">
        <f t="shared" si="1"/>
        <v>46</v>
      </c>
      <c r="C994" s="2" t="s">
        <v>82</v>
      </c>
    </row>
    <row r="995">
      <c r="A995" s="28">
        <v>45245.0</v>
      </c>
      <c r="B995" s="29">
        <f t="shared" si="1"/>
        <v>46</v>
      </c>
      <c r="C995" s="2" t="s">
        <v>83</v>
      </c>
      <c r="D995" s="2">
        <v>2611.0</v>
      </c>
    </row>
    <row r="996">
      <c r="A996" s="28">
        <v>45245.0</v>
      </c>
      <c r="B996" s="29">
        <f t="shared" si="1"/>
        <v>46</v>
      </c>
      <c r="C996" s="2" t="s">
        <v>84</v>
      </c>
      <c r="D996" s="2">
        <v>1501.0</v>
      </c>
    </row>
    <row r="997">
      <c r="A997" s="28">
        <v>45245.0</v>
      </c>
      <c r="B997" s="29">
        <f t="shared" si="1"/>
        <v>46</v>
      </c>
      <c r="C997" s="2" t="s">
        <v>85</v>
      </c>
      <c r="D997" s="2">
        <v>91.0</v>
      </c>
    </row>
    <row r="998">
      <c r="A998" s="28">
        <v>45245.0</v>
      </c>
      <c r="B998" s="29">
        <f t="shared" si="1"/>
        <v>46</v>
      </c>
      <c r="C998" s="2" t="s">
        <v>86</v>
      </c>
    </row>
    <row r="999">
      <c r="A999" s="28">
        <v>45245.0</v>
      </c>
      <c r="B999" s="29">
        <f t="shared" si="1"/>
        <v>46</v>
      </c>
      <c r="C999" s="2" t="s">
        <v>87</v>
      </c>
    </row>
    <row r="1000">
      <c r="A1000" s="28">
        <v>45245.0</v>
      </c>
      <c r="B1000" s="29">
        <f t="shared" si="1"/>
        <v>46</v>
      </c>
      <c r="C1000" s="2" t="s">
        <v>88</v>
      </c>
      <c r="D1000" s="2">
        <v>996.0</v>
      </c>
    </row>
    <row r="1001">
      <c r="A1001" s="28">
        <v>45245.0</v>
      </c>
      <c r="B1001" s="29">
        <f t="shared" si="1"/>
        <v>46</v>
      </c>
      <c r="C1001" s="2" t="s">
        <v>89</v>
      </c>
      <c r="D1001" s="2">
        <v>626.0</v>
      </c>
    </row>
    <row r="1002">
      <c r="A1002" s="28">
        <v>45245.0</v>
      </c>
      <c r="B1002" s="29">
        <f t="shared" si="1"/>
        <v>46</v>
      </c>
      <c r="C1002" s="2" t="s">
        <v>90</v>
      </c>
      <c r="D1002" s="2">
        <v>90.0</v>
      </c>
    </row>
    <row r="1003">
      <c r="A1003" s="28">
        <v>45245.0</v>
      </c>
      <c r="B1003" s="29">
        <f t="shared" si="1"/>
        <v>46</v>
      </c>
      <c r="C1003" s="2" t="s">
        <v>91</v>
      </c>
    </row>
    <row r="1004">
      <c r="A1004" s="28">
        <v>45245.0</v>
      </c>
      <c r="B1004" s="29">
        <f t="shared" si="1"/>
        <v>46</v>
      </c>
      <c r="C1004" s="2" t="s">
        <v>92</v>
      </c>
    </row>
    <row r="1005">
      <c r="A1005" s="28">
        <v>45245.0</v>
      </c>
      <c r="B1005" s="29">
        <f t="shared" si="1"/>
        <v>46</v>
      </c>
      <c r="C1005" s="2" t="s">
        <v>93</v>
      </c>
    </row>
    <row r="1006">
      <c r="A1006" s="28">
        <v>45245.0</v>
      </c>
      <c r="B1006" s="29">
        <f t="shared" si="1"/>
        <v>46</v>
      </c>
      <c r="C1006" s="2" t="s">
        <v>94</v>
      </c>
    </row>
    <row r="1007">
      <c r="A1007" s="28">
        <v>45245.0</v>
      </c>
      <c r="B1007" s="29">
        <f t="shared" si="1"/>
        <v>46</v>
      </c>
      <c r="C1007" s="2" t="s">
        <v>95</v>
      </c>
    </row>
    <row r="1008">
      <c r="A1008" s="28">
        <v>45245.0</v>
      </c>
      <c r="B1008" s="29">
        <f t="shared" si="1"/>
        <v>46</v>
      </c>
      <c r="C1008" s="2" t="s">
        <v>96</v>
      </c>
      <c r="D1008" s="2">
        <v>499.0</v>
      </c>
    </row>
    <row r="1009">
      <c r="A1009" s="28">
        <v>45245.0</v>
      </c>
      <c r="B1009" s="29">
        <f t="shared" si="1"/>
        <v>46</v>
      </c>
      <c r="C1009" s="2" t="s">
        <v>97</v>
      </c>
      <c r="D1009" s="2">
        <v>11278.0</v>
      </c>
    </row>
    <row r="1010">
      <c r="A1010" s="28">
        <v>45245.0</v>
      </c>
      <c r="B1010" s="29">
        <f t="shared" si="1"/>
        <v>46</v>
      </c>
      <c r="C1010" s="2" t="s">
        <v>98</v>
      </c>
    </row>
    <row r="1011">
      <c r="A1011" s="28">
        <v>45245.0</v>
      </c>
      <c r="B1011" s="29">
        <f t="shared" si="1"/>
        <v>46</v>
      </c>
      <c r="C1011" s="2" t="s">
        <v>99</v>
      </c>
    </row>
    <row r="1012">
      <c r="A1012" s="28">
        <v>45245.0</v>
      </c>
      <c r="B1012" s="29">
        <f t="shared" si="1"/>
        <v>46</v>
      </c>
      <c r="C1012" s="2" t="s">
        <v>100</v>
      </c>
    </row>
    <row r="1013">
      <c r="A1013" s="28">
        <v>45259.0</v>
      </c>
      <c r="B1013" s="29">
        <f t="shared" si="1"/>
        <v>48</v>
      </c>
      <c r="C1013" s="2" t="s">
        <v>101</v>
      </c>
      <c r="D1013" s="2">
        <v>10987.0</v>
      </c>
    </row>
    <row r="1014">
      <c r="A1014" s="28">
        <v>45259.0</v>
      </c>
      <c r="B1014" s="29">
        <f t="shared" si="1"/>
        <v>48</v>
      </c>
      <c r="C1014" s="2" t="s">
        <v>80</v>
      </c>
      <c r="D1014" s="2">
        <v>4232.0</v>
      </c>
    </row>
    <row r="1015">
      <c r="A1015" s="28">
        <v>45259.0</v>
      </c>
      <c r="B1015" s="29">
        <f t="shared" si="1"/>
        <v>48</v>
      </c>
      <c r="C1015" s="2" t="s">
        <v>81</v>
      </c>
    </row>
    <row r="1016">
      <c r="A1016" s="28">
        <v>45259.0</v>
      </c>
      <c r="B1016" s="29">
        <f t="shared" si="1"/>
        <v>48</v>
      </c>
      <c r="C1016" s="2" t="s">
        <v>82</v>
      </c>
    </row>
    <row r="1017">
      <c r="A1017" s="28">
        <v>45259.0</v>
      </c>
      <c r="B1017" s="29">
        <f t="shared" si="1"/>
        <v>48</v>
      </c>
      <c r="C1017" s="2" t="s">
        <v>83</v>
      </c>
      <c r="D1017" s="2">
        <v>2404.0</v>
      </c>
    </row>
    <row r="1018">
      <c r="A1018" s="28">
        <v>45259.0</v>
      </c>
      <c r="B1018" s="29">
        <f t="shared" si="1"/>
        <v>48</v>
      </c>
      <c r="C1018" s="2" t="s">
        <v>84</v>
      </c>
      <c r="D1018" s="2">
        <v>1537.0</v>
      </c>
    </row>
    <row r="1019">
      <c r="A1019" s="28">
        <v>45259.0</v>
      </c>
      <c r="B1019" s="29">
        <f t="shared" si="1"/>
        <v>48</v>
      </c>
      <c r="C1019" s="2" t="s">
        <v>85</v>
      </c>
      <c r="D1019" s="2">
        <v>82.0</v>
      </c>
    </row>
    <row r="1020">
      <c r="A1020" s="28">
        <v>45259.0</v>
      </c>
      <c r="B1020" s="29">
        <f t="shared" si="1"/>
        <v>48</v>
      </c>
      <c r="C1020" s="2" t="s">
        <v>86</v>
      </c>
    </row>
    <row r="1021">
      <c r="A1021" s="28">
        <v>45259.0</v>
      </c>
      <c r="B1021" s="29">
        <f t="shared" si="1"/>
        <v>48</v>
      </c>
      <c r="C1021" s="2" t="s">
        <v>87</v>
      </c>
    </row>
    <row r="1022">
      <c r="A1022" s="28">
        <v>45259.0</v>
      </c>
      <c r="B1022" s="29">
        <f t="shared" si="1"/>
        <v>48</v>
      </c>
      <c r="C1022" s="2" t="s">
        <v>88</v>
      </c>
      <c r="D1022" s="2">
        <v>718.0</v>
      </c>
    </row>
    <row r="1023">
      <c r="A1023" s="28">
        <v>45259.0</v>
      </c>
      <c r="B1023" s="29">
        <f t="shared" si="1"/>
        <v>48</v>
      </c>
      <c r="C1023" s="2" t="s">
        <v>89</v>
      </c>
      <c r="D1023" s="2">
        <v>1203.0</v>
      </c>
    </row>
    <row r="1024">
      <c r="A1024" s="28">
        <v>45259.0</v>
      </c>
      <c r="B1024" s="29">
        <f t="shared" si="1"/>
        <v>48</v>
      </c>
      <c r="C1024" s="2" t="s">
        <v>90</v>
      </c>
      <c r="D1024" s="2">
        <v>91.0</v>
      </c>
    </row>
    <row r="1025">
      <c r="A1025" s="28">
        <v>45259.0</v>
      </c>
      <c r="B1025" s="29">
        <f t="shared" si="1"/>
        <v>48</v>
      </c>
      <c r="C1025" s="2" t="s">
        <v>91</v>
      </c>
    </row>
    <row r="1026">
      <c r="A1026" s="28">
        <v>45259.0</v>
      </c>
      <c r="B1026" s="29">
        <f t="shared" si="1"/>
        <v>48</v>
      </c>
      <c r="C1026" s="2" t="s">
        <v>92</v>
      </c>
    </row>
    <row r="1027">
      <c r="A1027" s="28">
        <v>45259.0</v>
      </c>
      <c r="B1027" s="29">
        <f t="shared" si="1"/>
        <v>48</v>
      </c>
      <c r="C1027" s="2" t="s">
        <v>93</v>
      </c>
    </row>
    <row r="1028">
      <c r="A1028" s="28">
        <v>45259.0</v>
      </c>
      <c r="B1028" s="29">
        <f t="shared" si="1"/>
        <v>48</v>
      </c>
      <c r="C1028" s="2" t="s">
        <v>94</v>
      </c>
    </row>
    <row r="1029">
      <c r="A1029" s="28">
        <v>45259.0</v>
      </c>
      <c r="B1029" s="29">
        <f t="shared" si="1"/>
        <v>48</v>
      </c>
      <c r="C1029" s="2" t="s">
        <v>95</v>
      </c>
    </row>
    <row r="1030">
      <c r="A1030" s="28">
        <v>45259.0</v>
      </c>
      <c r="B1030" s="29">
        <f t="shared" si="1"/>
        <v>48</v>
      </c>
      <c r="C1030" s="2" t="s">
        <v>96</v>
      </c>
      <c r="D1030" s="2">
        <v>388.0</v>
      </c>
    </row>
    <row r="1031">
      <c r="A1031" s="28">
        <v>45259.0</v>
      </c>
      <c r="B1031" s="29">
        <f t="shared" si="1"/>
        <v>48</v>
      </c>
      <c r="C1031" s="2" t="s">
        <v>97</v>
      </c>
      <c r="D1031" s="2">
        <v>332.0</v>
      </c>
    </row>
    <row r="1032">
      <c r="A1032" s="28">
        <v>45259.0</v>
      </c>
      <c r="B1032" s="29">
        <f t="shared" si="1"/>
        <v>48</v>
      </c>
      <c r="C1032" s="2" t="s">
        <v>98</v>
      </c>
    </row>
    <row r="1033">
      <c r="A1033" s="28">
        <v>45259.0</v>
      </c>
      <c r="B1033" s="29">
        <f t="shared" si="1"/>
        <v>48</v>
      </c>
      <c r="C1033" s="2" t="s">
        <v>99</v>
      </c>
    </row>
    <row r="1034">
      <c r="A1034" s="28">
        <v>45259.0</v>
      </c>
      <c r="B1034" s="29">
        <f t="shared" si="1"/>
        <v>48</v>
      </c>
      <c r="C1034" s="2" t="s">
        <v>100</v>
      </c>
    </row>
    <row r="1035">
      <c r="A1035" s="28">
        <v>45266.0</v>
      </c>
      <c r="B1035" s="29">
        <f t="shared" si="1"/>
        <v>49</v>
      </c>
      <c r="C1035" s="2" t="s">
        <v>101</v>
      </c>
      <c r="D1035" s="2">
        <v>12751.0</v>
      </c>
    </row>
    <row r="1036">
      <c r="A1036" s="28">
        <v>45266.0</v>
      </c>
      <c r="B1036" s="29">
        <f t="shared" si="1"/>
        <v>49</v>
      </c>
      <c r="C1036" s="2" t="s">
        <v>80</v>
      </c>
      <c r="D1036" s="2">
        <v>961.0</v>
      </c>
    </row>
    <row r="1037">
      <c r="A1037" s="28">
        <v>45266.0</v>
      </c>
      <c r="B1037" s="29">
        <f t="shared" si="1"/>
        <v>49</v>
      </c>
      <c r="C1037" s="2" t="s">
        <v>81</v>
      </c>
    </row>
    <row r="1038">
      <c r="A1038" s="28">
        <v>45266.0</v>
      </c>
      <c r="B1038" s="29">
        <f t="shared" si="1"/>
        <v>49</v>
      </c>
      <c r="C1038" s="2" t="s">
        <v>82</v>
      </c>
    </row>
    <row r="1039">
      <c r="A1039" s="28">
        <v>45266.0</v>
      </c>
      <c r="B1039" s="29">
        <f t="shared" si="1"/>
        <v>49</v>
      </c>
      <c r="C1039" s="2" t="s">
        <v>83</v>
      </c>
      <c r="D1039" s="2">
        <v>1714.0</v>
      </c>
    </row>
    <row r="1040">
      <c r="A1040" s="28">
        <v>45266.0</v>
      </c>
      <c r="B1040" s="29">
        <f t="shared" si="1"/>
        <v>49</v>
      </c>
      <c r="C1040" s="2" t="s">
        <v>84</v>
      </c>
      <c r="D1040" s="2">
        <v>2233.0</v>
      </c>
    </row>
    <row r="1041">
      <c r="A1041" s="28">
        <v>45266.0</v>
      </c>
      <c r="B1041" s="29">
        <f t="shared" si="1"/>
        <v>49</v>
      </c>
      <c r="C1041" s="2" t="s">
        <v>85</v>
      </c>
      <c r="D1041" s="2">
        <v>111.0</v>
      </c>
    </row>
    <row r="1042">
      <c r="A1042" s="28">
        <v>45266.0</v>
      </c>
      <c r="B1042" s="29">
        <f t="shared" si="1"/>
        <v>49</v>
      </c>
      <c r="C1042" s="2" t="s">
        <v>86</v>
      </c>
    </row>
    <row r="1043">
      <c r="A1043" s="28">
        <v>45266.0</v>
      </c>
      <c r="B1043" s="29">
        <f t="shared" si="1"/>
        <v>49</v>
      </c>
      <c r="C1043" s="2" t="s">
        <v>87</v>
      </c>
    </row>
    <row r="1044">
      <c r="A1044" s="28">
        <v>45266.0</v>
      </c>
      <c r="B1044" s="29">
        <f t="shared" si="1"/>
        <v>49</v>
      </c>
      <c r="C1044" s="2" t="s">
        <v>88</v>
      </c>
      <c r="D1044" s="2">
        <v>944.0</v>
      </c>
    </row>
    <row r="1045">
      <c r="A1045" s="28">
        <v>45266.0</v>
      </c>
      <c r="B1045" s="29">
        <f t="shared" si="1"/>
        <v>49</v>
      </c>
      <c r="C1045" s="2" t="s">
        <v>89</v>
      </c>
      <c r="D1045" s="2">
        <v>1387.0</v>
      </c>
    </row>
    <row r="1046">
      <c r="A1046" s="28">
        <v>45266.0</v>
      </c>
      <c r="B1046" s="29">
        <f t="shared" si="1"/>
        <v>49</v>
      </c>
      <c r="C1046" s="2" t="s">
        <v>90</v>
      </c>
      <c r="D1046" s="2">
        <v>128.0</v>
      </c>
    </row>
    <row r="1047">
      <c r="A1047" s="28">
        <v>45266.0</v>
      </c>
      <c r="B1047" s="29">
        <f t="shared" si="1"/>
        <v>49</v>
      </c>
      <c r="C1047" s="2" t="s">
        <v>91</v>
      </c>
    </row>
    <row r="1048">
      <c r="A1048" s="28">
        <v>45266.0</v>
      </c>
      <c r="B1048" s="29">
        <f t="shared" si="1"/>
        <v>49</v>
      </c>
      <c r="C1048" s="2" t="s">
        <v>92</v>
      </c>
    </row>
    <row r="1049">
      <c r="A1049" s="28">
        <v>45266.0</v>
      </c>
      <c r="B1049" s="29">
        <f t="shared" si="1"/>
        <v>49</v>
      </c>
      <c r="C1049" s="2" t="s">
        <v>93</v>
      </c>
    </row>
    <row r="1050">
      <c r="A1050" s="28">
        <v>45266.0</v>
      </c>
      <c r="B1050" s="29">
        <f t="shared" si="1"/>
        <v>49</v>
      </c>
      <c r="C1050" s="2" t="s">
        <v>94</v>
      </c>
    </row>
    <row r="1051">
      <c r="A1051" s="28">
        <v>45266.0</v>
      </c>
      <c r="B1051" s="29">
        <f t="shared" si="1"/>
        <v>49</v>
      </c>
      <c r="C1051" s="2" t="s">
        <v>95</v>
      </c>
    </row>
    <row r="1052">
      <c r="A1052" s="28">
        <v>45266.0</v>
      </c>
      <c r="B1052" s="29">
        <f t="shared" si="1"/>
        <v>49</v>
      </c>
      <c r="C1052" s="2" t="s">
        <v>96</v>
      </c>
      <c r="D1052" s="2">
        <v>292.0</v>
      </c>
    </row>
    <row r="1053">
      <c r="A1053" s="28">
        <v>45266.0</v>
      </c>
      <c r="B1053" s="29">
        <f t="shared" si="1"/>
        <v>49</v>
      </c>
      <c r="C1053" s="2" t="s">
        <v>97</v>
      </c>
      <c r="D1053" s="2">
        <v>4981.0</v>
      </c>
    </row>
    <row r="1054">
      <c r="A1054" s="28">
        <v>45266.0</v>
      </c>
      <c r="B1054" s="29">
        <f t="shared" si="1"/>
        <v>49</v>
      </c>
      <c r="C1054" s="2" t="s">
        <v>98</v>
      </c>
    </row>
    <row r="1055">
      <c r="A1055" s="28">
        <v>45266.0</v>
      </c>
      <c r="B1055" s="29">
        <f t="shared" si="1"/>
        <v>49</v>
      </c>
      <c r="C1055" s="2" t="s">
        <v>99</v>
      </c>
    </row>
    <row r="1056">
      <c r="A1056" s="28">
        <v>45266.0</v>
      </c>
      <c r="B1056" s="29">
        <f t="shared" si="1"/>
        <v>49</v>
      </c>
      <c r="C1056" s="2" t="s">
        <v>100</v>
      </c>
    </row>
    <row r="1057">
      <c r="A1057" s="28">
        <v>45273.0</v>
      </c>
      <c r="B1057" s="29">
        <f t="shared" si="1"/>
        <v>50</v>
      </c>
      <c r="C1057" s="2" t="s">
        <v>101</v>
      </c>
      <c r="D1057" s="2">
        <v>8749.0</v>
      </c>
    </row>
    <row r="1058">
      <c r="A1058" s="28">
        <v>45273.0</v>
      </c>
      <c r="B1058" s="29">
        <f t="shared" si="1"/>
        <v>50</v>
      </c>
      <c r="C1058" s="2" t="s">
        <v>80</v>
      </c>
      <c r="D1058" s="2">
        <v>1343.0</v>
      </c>
    </row>
    <row r="1059">
      <c r="A1059" s="28">
        <v>45273.0</v>
      </c>
      <c r="B1059" s="29">
        <f t="shared" si="1"/>
        <v>50</v>
      </c>
      <c r="C1059" s="2" t="s">
        <v>81</v>
      </c>
    </row>
    <row r="1060">
      <c r="A1060" s="28">
        <v>45273.0</v>
      </c>
      <c r="B1060" s="29">
        <f t="shared" si="1"/>
        <v>50</v>
      </c>
      <c r="C1060" s="2" t="s">
        <v>82</v>
      </c>
    </row>
    <row r="1061">
      <c r="A1061" s="28">
        <v>45273.0</v>
      </c>
      <c r="B1061" s="29">
        <f t="shared" si="1"/>
        <v>50</v>
      </c>
      <c r="C1061" s="2" t="s">
        <v>83</v>
      </c>
      <c r="D1061" s="2">
        <v>1381.0</v>
      </c>
    </row>
    <row r="1062">
      <c r="A1062" s="28">
        <v>45273.0</v>
      </c>
      <c r="B1062" s="29">
        <f t="shared" si="1"/>
        <v>50</v>
      </c>
      <c r="C1062" s="2" t="s">
        <v>84</v>
      </c>
      <c r="D1062" s="2">
        <v>1806.0</v>
      </c>
    </row>
    <row r="1063">
      <c r="A1063" s="28">
        <v>45273.0</v>
      </c>
      <c r="B1063" s="29">
        <f t="shared" si="1"/>
        <v>50</v>
      </c>
      <c r="C1063" s="2" t="s">
        <v>85</v>
      </c>
      <c r="D1063" s="2">
        <v>113.0</v>
      </c>
    </row>
    <row r="1064">
      <c r="A1064" s="28">
        <v>45273.0</v>
      </c>
      <c r="B1064" s="29">
        <f t="shared" si="1"/>
        <v>50</v>
      </c>
      <c r="C1064" s="2" t="s">
        <v>86</v>
      </c>
    </row>
    <row r="1065">
      <c r="A1065" s="28">
        <v>45273.0</v>
      </c>
      <c r="B1065" s="29">
        <f t="shared" si="1"/>
        <v>50</v>
      </c>
      <c r="C1065" s="2" t="s">
        <v>87</v>
      </c>
    </row>
    <row r="1066">
      <c r="A1066" s="28">
        <v>45273.0</v>
      </c>
      <c r="B1066" s="29">
        <f t="shared" si="1"/>
        <v>50</v>
      </c>
      <c r="C1066" s="2" t="s">
        <v>88</v>
      </c>
      <c r="D1066" s="2">
        <v>630.0</v>
      </c>
    </row>
    <row r="1067">
      <c r="A1067" s="28">
        <v>45273.0</v>
      </c>
      <c r="B1067" s="29">
        <f t="shared" si="1"/>
        <v>50</v>
      </c>
      <c r="C1067" s="2" t="s">
        <v>89</v>
      </c>
      <c r="D1067" s="2">
        <v>1161.0</v>
      </c>
    </row>
    <row r="1068">
      <c r="A1068" s="28">
        <v>45273.0</v>
      </c>
      <c r="B1068" s="29">
        <f t="shared" si="1"/>
        <v>50</v>
      </c>
      <c r="C1068" s="2" t="s">
        <v>90</v>
      </c>
      <c r="D1068" s="2">
        <v>109.0</v>
      </c>
    </row>
    <row r="1069">
      <c r="A1069" s="28">
        <v>45273.0</v>
      </c>
      <c r="B1069" s="29">
        <f t="shared" si="1"/>
        <v>50</v>
      </c>
      <c r="C1069" s="2" t="s">
        <v>91</v>
      </c>
    </row>
    <row r="1070">
      <c r="A1070" s="28">
        <v>45273.0</v>
      </c>
      <c r="B1070" s="29">
        <f t="shared" si="1"/>
        <v>50</v>
      </c>
      <c r="C1070" s="2" t="s">
        <v>92</v>
      </c>
    </row>
    <row r="1071">
      <c r="A1071" s="28">
        <v>45273.0</v>
      </c>
      <c r="B1071" s="29">
        <f t="shared" si="1"/>
        <v>50</v>
      </c>
      <c r="C1071" s="2" t="s">
        <v>93</v>
      </c>
    </row>
    <row r="1072">
      <c r="A1072" s="28">
        <v>45273.0</v>
      </c>
      <c r="B1072" s="29">
        <f t="shared" si="1"/>
        <v>50</v>
      </c>
      <c r="C1072" s="2" t="s">
        <v>94</v>
      </c>
    </row>
    <row r="1073">
      <c r="A1073" s="28">
        <v>45273.0</v>
      </c>
      <c r="B1073" s="29">
        <f t="shared" si="1"/>
        <v>50</v>
      </c>
      <c r="C1073" s="2" t="s">
        <v>95</v>
      </c>
    </row>
    <row r="1074">
      <c r="A1074" s="28">
        <v>45273.0</v>
      </c>
      <c r="B1074" s="29">
        <f t="shared" si="1"/>
        <v>50</v>
      </c>
      <c r="C1074" s="2" t="s">
        <v>96</v>
      </c>
      <c r="D1074" s="2">
        <v>362.0</v>
      </c>
    </row>
    <row r="1075">
      <c r="A1075" s="28">
        <v>45273.0</v>
      </c>
      <c r="B1075" s="29">
        <f t="shared" si="1"/>
        <v>50</v>
      </c>
      <c r="C1075" s="2" t="s">
        <v>97</v>
      </c>
      <c r="D1075" s="2">
        <v>1844.0</v>
      </c>
    </row>
    <row r="1076">
      <c r="A1076" s="28">
        <v>45273.0</v>
      </c>
      <c r="B1076" s="29">
        <f t="shared" si="1"/>
        <v>50</v>
      </c>
      <c r="C1076" s="2" t="s">
        <v>98</v>
      </c>
    </row>
    <row r="1077">
      <c r="A1077" s="28">
        <v>45273.0</v>
      </c>
      <c r="B1077" s="29">
        <f t="shared" si="1"/>
        <v>50</v>
      </c>
      <c r="C1077" s="2" t="s">
        <v>99</v>
      </c>
    </row>
    <row r="1078">
      <c r="A1078" s="28">
        <v>45273.0</v>
      </c>
      <c r="B1078" s="29">
        <f t="shared" si="1"/>
        <v>50</v>
      </c>
      <c r="C1078" s="2" t="s">
        <v>100</v>
      </c>
    </row>
    <row r="1079">
      <c r="A1079" s="28">
        <v>45280.0</v>
      </c>
      <c r="B1079" s="29">
        <f t="shared" si="1"/>
        <v>51</v>
      </c>
      <c r="C1079" s="2" t="s">
        <v>101</v>
      </c>
      <c r="D1079" s="2">
        <v>16444.0</v>
      </c>
    </row>
    <row r="1080">
      <c r="A1080" s="28">
        <v>45280.0</v>
      </c>
      <c r="B1080" s="29">
        <f t="shared" si="1"/>
        <v>51</v>
      </c>
      <c r="C1080" s="2" t="s">
        <v>80</v>
      </c>
      <c r="D1080" s="2">
        <v>2367.0</v>
      </c>
    </row>
    <row r="1081">
      <c r="A1081" s="28">
        <v>45280.0</v>
      </c>
      <c r="B1081" s="29">
        <f t="shared" si="1"/>
        <v>51</v>
      </c>
      <c r="C1081" s="2" t="s">
        <v>81</v>
      </c>
    </row>
    <row r="1082">
      <c r="A1082" s="28">
        <v>45280.0</v>
      </c>
      <c r="B1082" s="29">
        <f t="shared" si="1"/>
        <v>51</v>
      </c>
      <c r="C1082" s="2" t="s">
        <v>82</v>
      </c>
    </row>
    <row r="1083">
      <c r="A1083" s="28">
        <v>45280.0</v>
      </c>
      <c r="B1083" s="29">
        <f t="shared" si="1"/>
        <v>51</v>
      </c>
      <c r="C1083" s="2" t="s">
        <v>83</v>
      </c>
      <c r="D1083" s="2">
        <v>1792.0</v>
      </c>
    </row>
    <row r="1084">
      <c r="A1084" s="28">
        <v>45280.0</v>
      </c>
      <c r="B1084" s="29">
        <f t="shared" si="1"/>
        <v>51</v>
      </c>
      <c r="C1084" s="2" t="s">
        <v>84</v>
      </c>
      <c r="D1084" s="2">
        <v>1787.0</v>
      </c>
    </row>
    <row r="1085">
      <c r="A1085" s="28">
        <v>45280.0</v>
      </c>
      <c r="B1085" s="29">
        <f t="shared" si="1"/>
        <v>51</v>
      </c>
      <c r="C1085" s="2" t="s">
        <v>85</v>
      </c>
      <c r="D1085" s="2">
        <v>184.0</v>
      </c>
    </row>
    <row r="1086">
      <c r="A1086" s="28">
        <v>45280.0</v>
      </c>
      <c r="B1086" s="29">
        <f t="shared" si="1"/>
        <v>51</v>
      </c>
      <c r="C1086" s="2" t="s">
        <v>86</v>
      </c>
    </row>
    <row r="1087">
      <c r="A1087" s="28">
        <v>45280.0</v>
      </c>
      <c r="B1087" s="29">
        <f t="shared" si="1"/>
        <v>51</v>
      </c>
      <c r="C1087" s="2" t="s">
        <v>87</v>
      </c>
    </row>
    <row r="1088">
      <c r="A1088" s="28">
        <v>45280.0</v>
      </c>
      <c r="B1088" s="29">
        <f t="shared" si="1"/>
        <v>51</v>
      </c>
      <c r="C1088" s="2" t="s">
        <v>88</v>
      </c>
      <c r="D1088" s="2">
        <v>1052.0</v>
      </c>
    </row>
    <row r="1089">
      <c r="A1089" s="28">
        <v>45280.0</v>
      </c>
      <c r="B1089" s="29">
        <f t="shared" si="1"/>
        <v>51</v>
      </c>
      <c r="C1089" s="2" t="s">
        <v>89</v>
      </c>
      <c r="D1089" s="2">
        <v>460.0</v>
      </c>
    </row>
    <row r="1090">
      <c r="A1090" s="28">
        <v>45280.0</v>
      </c>
      <c r="B1090" s="29">
        <f t="shared" si="1"/>
        <v>51</v>
      </c>
      <c r="C1090" s="2" t="s">
        <v>90</v>
      </c>
      <c r="D1090" s="2">
        <v>106.0</v>
      </c>
    </row>
    <row r="1091">
      <c r="A1091" s="28">
        <v>45280.0</v>
      </c>
      <c r="B1091" s="29">
        <f t="shared" si="1"/>
        <v>51</v>
      </c>
      <c r="C1091" s="2" t="s">
        <v>91</v>
      </c>
    </row>
    <row r="1092">
      <c r="A1092" s="28">
        <v>45280.0</v>
      </c>
      <c r="B1092" s="29">
        <f t="shared" si="1"/>
        <v>51</v>
      </c>
      <c r="C1092" s="2" t="s">
        <v>92</v>
      </c>
    </row>
    <row r="1093">
      <c r="A1093" s="28">
        <v>45280.0</v>
      </c>
      <c r="B1093" s="29">
        <f t="shared" si="1"/>
        <v>51</v>
      </c>
      <c r="C1093" s="2" t="s">
        <v>93</v>
      </c>
    </row>
    <row r="1094">
      <c r="A1094" s="28">
        <v>45280.0</v>
      </c>
      <c r="B1094" s="29">
        <f t="shared" si="1"/>
        <v>51</v>
      </c>
      <c r="C1094" s="2" t="s">
        <v>94</v>
      </c>
    </row>
    <row r="1095">
      <c r="A1095" s="28">
        <v>45280.0</v>
      </c>
      <c r="B1095" s="29">
        <f t="shared" si="1"/>
        <v>51</v>
      </c>
      <c r="C1095" s="2" t="s">
        <v>95</v>
      </c>
    </row>
    <row r="1096">
      <c r="A1096" s="28">
        <v>45280.0</v>
      </c>
      <c r="B1096" s="29">
        <f t="shared" si="1"/>
        <v>51</v>
      </c>
      <c r="C1096" s="2" t="s">
        <v>96</v>
      </c>
      <c r="D1096" s="2">
        <v>0.0</v>
      </c>
    </row>
    <row r="1097">
      <c r="A1097" s="28">
        <v>45280.0</v>
      </c>
      <c r="B1097" s="29">
        <f t="shared" si="1"/>
        <v>51</v>
      </c>
      <c r="C1097" s="2" t="s">
        <v>97</v>
      </c>
      <c r="D1097" s="2">
        <v>8696.0</v>
      </c>
    </row>
    <row r="1098">
      <c r="A1098" s="28">
        <v>45280.0</v>
      </c>
      <c r="B1098" s="29">
        <f t="shared" si="1"/>
        <v>51</v>
      </c>
      <c r="C1098" s="2" t="s">
        <v>98</v>
      </c>
    </row>
    <row r="1099">
      <c r="A1099" s="28">
        <v>45280.0</v>
      </c>
      <c r="B1099" s="29">
        <f t="shared" si="1"/>
        <v>51</v>
      </c>
      <c r="C1099" s="2" t="s">
        <v>99</v>
      </c>
    </row>
    <row r="1100">
      <c r="A1100" s="28">
        <v>45280.0</v>
      </c>
      <c r="B1100" s="29">
        <f t="shared" si="1"/>
        <v>51</v>
      </c>
      <c r="C1100" s="2" t="s">
        <v>100</v>
      </c>
    </row>
    <row r="1101">
      <c r="A1101" s="28">
        <v>45294.0</v>
      </c>
      <c r="B1101" s="29">
        <f t="shared" si="1"/>
        <v>1</v>
      </c>
      <c r="C1101" s="2" t="s">
        <v>101</v>
      </c>
      <c r="D1101" s="2">
        <v>5042.0</v>
      </c>
    </row>
    <row r="1102">
      <c r="A1102" s="28">
        <v>45294.0</v>
      </c>
      <c r="B1102" s="29">
        <f t="shared" si="1"/>
        <v>1</v>
      </c>
      <c r="C1102" s="2" t="s">
        <v>80</v>
      </c>
      <c r="D1102" s="2">
        <v>609.0</v>
      </c>
    </row>
    <row r="1103">
      <c r="A1103" s="28">
        <v>45294.0</v>
      </c>
      <c r="B1103" s="29">
        <f t="shared" si="1"/>
        <v>1</v>
      </c>
      <c r="C1103" s="2" t="s">
        <v>81</v>
      </c>
    </row>
    <row r="1104">
      <c r="A1104" s="28">
        <v>45294.0</v>
      </c>
      <c r="B1104" s="29">
        <f t="shared" si="1"/>
        <v>1</v>
      </c>
      <c r="C1104" s="2" t="s">
        <v>82</v>
      </c>
    </row>
    <row r="1105">
      <c r="A1105" s="28">
        <v>45294.0</v>
      </c>
      <c r="B1105" s="29">
        <f t="shared" si="1"/>
        <v>1</v>
      </c>
      <c r="C1105" s="2" t="s">
        <v>83</v>
      </c>
      <c r="D1105" s="2">
        <v>1480.0</v>
      </c>
    </row>
    <row r="1106">
      <c r="A1106" s="28">
        <v>45294.0</v>
      </c>
      <c r="B1106" s="29">
        <f t="shared" si="1"/>
        <v>1</v>
      </c>
      <c r="C1106" s="2" t="s">
        <v>84</v>
      </c>
      <c r="D1106" s="2">
        <v>1631.0</v>
      </c>
    </row>
    <row r="1107">
      <c r="A1107" s="28">
        <v>45294.0</v>
      </c>
      <c r="B1107" s="29">
        <f t="shared" si="1"/>
        <v>1</v>
      </c>
      <c r="C1107" s="2" t="s">
        <v>85</v>
      </c>
      <c r="D1107" s="2">
        <v>0.0</v>
      </c>
    </row>
    <row r="1108">
      <c r="A1108" s="28">
        <v>45294.0</v>
      </c>
      <c r="B1108" s="29">
        <f t="shared" si="1"/>
        <v>1</v>
      </c>
      <c r="C1108" s="2" t="s">
        <v>86</v>
      </c>
    </row>
    <row r="1109">
      <c r="A1109" s="28">
        <v>45294.0</v>
      </c>
      <c r="B1109" s="29">
        <f t="shared" si="1"/>
        <v>1</v>
      </c>
      <c r="C1109" s="2" t="s">
        <v>87</v>
      </c>
    </row>
    <row r="1110">
      <c r="A1110" s="28">
        <v>45294.0</v>
      </c>
      <c r="B1110" s="29">
        <f t="shared" si="1"/>
        <v>1</v>
      </c>
      <c r="C1110" s="2" t="s">
        <v>88</v>
      </c>
      <c r="D1110" s="2">
        <v>283.0</v>
      </c>
    </row>
    <row r="1111">
      <c r="A1111" s="28">
        <v>45294.0</v>
      </c>
      <c r="B1111" s="29">
        <f t="shared" si="1"/>
        <v>1</v>
      </c>
      <c r="C1111" s="2" t="s">
        <v>89</v>
      </c>
      <c r="D1111" s="2">
        <v>625.0</v>
      </c>
    </row>
    <row r="1112">
      <c r="A1112" s="28">
        <v>45294.0</v>
      </c>
      <c r="B1112" s="29">
        <f t="shared" si="1"/>
        <v>1</v>
      </c>
      <c r="C1112" s="2" t="s">
        <v>90</v>
      </c>
      <c r="D1112" s="2">
        <v>152.0</v>
      </c>
    </row>
    <row r="1113">
      <c r="A1113" s="28">
        <v>45294.0</v>
      </c>
      <c r="B1113" s="29">
        <f t="shared" si="1"/>
        <v>1</v>
      </c>
      <c r="C1113" s="2" t="s">
        <v>91</v>
      </c>
    </row>
    <row r="1114">
      <c r="A1114" s="28">
        <v>45294.0</v>
      </c>
      <c r="B1114" s="29">
        <f t="shared" si="1"/>
        <v>1</v>
      </c>
      <c r="C1114" s="2" t="s">
        <v>92</v>
      </c>
    </row>
    <row r="1115">
      <c r="A1115" s="28">
        <v>45294.0</v>
      </c>
      <c r="B1115" s="29">
        <f t="shared" si="1"/>
        <v>1</v>
      </c>
      <c r="C1115" s="2" t="s">
        <v>93</v>
      </c>
    </row>
    <row r="1116">
      <c r="A1116" s="28">
        <v>45294.0</v>
      </c>
      <c r="B1116" s="29">
        <f t="shared" si="1"/>
        <v>1</v>
      </c>
      <c r="C1116" s="2" t="s">
        <v>94</v>
      </c>
    </row>
    <row r="1117">
      <c r="A1117" s="28">
        <v>45294.0</v>
      </c>
      <c r="B1117" s="29">
        <f t="shared" si="1"/>
        <v>1</v>
      </c>
      <c r="C1117" s="2" t="s">
        <v>95</v>
      </c>
    </row>
    <row r="1118">
      <c r="A1118" s="28">
        <v>45294.0</v>
      </c>
      <c r="B1118" s="29">
        <f t="shared" si="1"/>
        <v>1</v>
      </c>
      <c r="C1118" s="2" t="s">
        <v>96</v>
      </c>
      <c r="D1118" s="2">
        <v>262.0</v>
      </c>
    </row>
    <row r="1119">
      <c r="A1119" s="28">
        <v>45294.0</v>
      </c>
      <c r="B1119" s="29">
        <f t="shared" si="1"/>
        <v>1</v>
      </c>
      <c r="C1119" s="2" t="s">
        <v>97</v>
      </c>
      <c r="D1119" s="2">
        <v>0.0</v>
      </c>
    </row>
    <row r="1120">
      <c r="A1120" s="28">
        <v>45294.0</v>
      </c>
      <c r="B1120" s="29">
        <f t="shared" si="1"/>
        <v>1</v>
      </c>
      <c r="C1120" s="2" t="s">
        <v>98</v>
      </c>
    </row>
    <row r="1121">
      <c r="A1121" s="28">
        <v>45294.0</v>
      </c>
      <c r="B1121" s="29">
        <f t="shared" si="1"/>
        <v>1</v>
      </c>
      <c r="C1121" s="2" t="s">
        <v>99</v>
      </c>
    </row>
    <row r="1122">
      <c r="A1122" s="28">
        <v>45294.0</v>
      </c>
      <c r="B1122" s="29">
        <f t="shared" si="1"/>
        <v>1</v>
      </c>
      <c r="C1122" s="2" t="s">
        <v>100</v>
      </c>
    </row>
    <row r="1123">
      <c r="A1123" s="28">
        <v>45301.0</v>
      </c>
      <c r="B1123" s="29">
        <f t="shared" si="1"/>
        <v>2</v>
      </c>
      <c r="C1123" s="2" t="s">
        <v>101</v>
      </c>
      <c r="D1123" s="2">
        <v>7090.0</v>
      </c>
    </row>
    <row r="1124">
      <c r="A1124" s="28">
        <v>45301.0</v>
      </c>
      <c r="B1124" s="29">
        <f t="shared" si="1"/>
        <v>2</v>
      </c>
      <c r="C1124" s="2" t="s">
        <v>80</v>
      </c>
      <c r="D1124" s="2">
        <v>2000.0</v>
      </c>
    </row>
    <row r="1125">
      <c r="A1125" s="28">
        <v>45301.0</v>
      </c>
      <c r="B1125" s="29">
        <f t="shared" si="1"/>
        <v>2</v>
      </c>
      <c r="C1125" s="2" t="s">
        <v>81</v>
      </c>
    </row>
    <row r="1126">
      <c r="A1126" s="28">
        <v>45301.0</v>
      </c>
      <c r="B1126" s="29">
        <f t="shared" si="1"/>
        <v>2</v>
      </c>
      <c r="C1126" s="2" t="s">
        <v>82</v>
      </c>
    </row>
    <row r="1127">
      <c r="A1127" s="28">
        <v>45301.0</v>
      </c>
      <c r="B1127" s="29">
        <f t="shared" si="1"/>
        <v>2</v>
      </c>
      <c r="C1127" s="2" t="s">
        <v>83</v>
      </c>
      <c r="D1127" s="2">
        <v>2160.0</v>
      </c>
    </row>
    <row r="1128">
      <c r="A1128" s="28">
        <v>45301.0</v>
      </c>
      <c r="B1128" s="29">
        <f t="shared" si="1"/>
        <v>2</v>
      </c>
      <c r="C1128" s="2" t="s">
        <v>84</v>
      </c>
      <c r="D1128" s="2">
        <v>1162.0</v>
      </c>
    </row>
    <row r="1129">
      <c r="A1129" s="28">
        <v>45301.0</v>
      </c>
      <c r="B1129" s="29">
        <f t="shared" si="1"/>
        <v>2</v>
      </c>
      <c r="C1129" s="2" t="s">
        <v>85</v>
      </c>
      <c r="D1129" s="2">
        <v>102.0</v>
      </c>
    </row>
    <row r="1130">
      <c r="A1130" s="28">
        <v>45301.0</v>
      </c>
      <c r="B1130" s="29">
        <f t="shared" si="1"/>
        <v>2</v>
      </c>
      <c r="C1130" s="2" t="s">
        <v>86</v>
      </c>
    </row>
    <row r="1131">
      <c r="A1131" s="28">
        <v>45301.0</v>
      </c>
      <c r="B1131" s="29">
        <f t="shared" si="1"/>
        <v>2</v>
      </c>
      <c r="C1131" s="2" t="s">
        <v>87</v>
      </c>
    </row>
    <row r="1132">
      <c r="A1132" s="28">
        <v>45301.0</v>
      </c>
      <c r="B1132" s="29">
        <f t="shared" si="1"/>
        <v>2</v>
      </c>
      <c r="C1132" s="2" t="s">
        <v>88</v>
      </c>
      <c r="D1132" s="2">
        <v>771.0</v>
      </c>
    </row>
    <row r="1133">
      <c r="A1133" s="28">
        <v>45301.0</v>
      </c>
      <c r="B1133" s="29">
        <f t="shared" si="1"/>
        <v>2</v>
      </c>
      <c r="C1133" s="2" t="s">
        <v>89</v>
      </c>
      <c r="D1133" s="2">
        <v>225.0</v>
      </c>
    </row>
    <row r="1134">
      <c r="A1134" s="28">
        <v>45301.0</v>
      </c>
      <c r="B1134" s="29">
        <f t="shared" si="1"/>
        <v>2</v>
      </c>
      <c r="C1134" s="2" t="s">
        <v>90</v>
      </c>
      <c r="D1134" s="2">
        <v>185.0</v>
      </c>
    </row>
    <row r="1135">
      <c r="A1135" s="28">
        <v>45301.0</v>
      </c>
      <c r="B1135" s="29">
        <f t="shared" si="1"/>
        <v>2</v>
      </c>
      <c r="C1135" s="2" t="s">
        <v>91</v>
      </c>
    </row>
    <row r="1136">
      <c r="A1136" s="28">
        <v>45301.0</v>
      </c>
      <c r="B1136" s="29">
        <f t="shared" si="1"/>
        <v>2</v>
      </c>
      <c r="C1136" s="2" t="s">
        <v>92</v>
      </c>
    </row>
    <row r="1137">
      <c r="A1137" s="28">
        <v>45301.0</v>
      </c>
      <c r="B1137" s="29">
        <f t="shared" si="1"/>
        <v>2</v>
      </c>
      <c r="C1137" s="2" t="s">
        <v>93</v>
      </c>
    </row>
    <row r="1138">
      <c r="A1138" s="28">
        <v>45301.0</v>
      </c>
      <c r="B1138" s="29">
        <f t="shared" si="1"/>
        <v>2</v>
      </c>
      <c r="C1138" s="2" t="s">
        <v>94</v>
      </c>
    </row>
    <row r="1139">
      <c r="A1139" s="28">
        <v>45301.0</v>
      </c>
      <c r="B1139" s="29">
        <f t="shared" si="1"/>
        <v>2</v>
      </c>
      <c r="C1139" s="2" t="s">
        <v>95</v>
      </c>
    </row>
    <row r="1140">
      <c r="A1140" s="28">
        <v>45301.0</v>
      </c>
      <c r="B1140" s="29">
        <f t="shared" si="1"/>
        <v>2</v>
      </c>
      <c r="C1140" s="2" t="s">
        <v>96</v>
      </c>
      <c r="D1140" s="2">
        <v>0.0</v>
      </c>
    </row>
    <row r="1141">
      <c r="A1141" s="28">
        <v>45301.0</v>
      </c>
      <c r="B1141" s="29">
        <f t="shared" si="1"/>
        <v>2</v>
      </c>
      <c r="C1141" s="2" t="s">
        <v>97</v>
      </c>
      <c r="D1141" s="2">
        <v>485.0</v>
      </c>
    </row>
    <row r="1142">
      <c r="A1142" s="28">
        <v>45301.0</v>
      </c>
      <c r="B1142" s="29">
        <f t="shared" si="1"/>
        <v>2</v>
      </c>
      <c r="C1142" s="2" t="s">
        <v>98</v>
      </c>
    </row>
    <row r="1143">
      <c r="A1143" s="28">
        <v>45301.0</v>
      </c>
      <c r="B1143" s="29">
        <f t="shared" si="1"/>
        <v>2</v>
      </c>
      <c r="C1143" s="2" t="s">
        <v>99</v>
      </c>
    </row>
    <row r="1144">
      <c r="A1144" s="28">
        <v>45301.0</v>
      </c>
      <c r="B1144" s="29">
        <f t="shared" si="1"/>
        <v>2</v>
      </c>
      <c r="C1144" s="2" t="s">
        <v>100</v>
      </c>
    </row>
    <row r="1145">
      <c r="A1145" s="28">
        <v>45308.0</v>
      </c>
      <c r="B1145" s="29">
        <f t="shared" si="1"/>
        <v>3</v>
      </c>
      <c r="C1145" s="2" t="s">
        <v>101</v>
      </c>
      <c r="D1145" s="2">
        <v>19130.0</v>
      </c>
    </row>
    <row r="1146">
      <c r="A1146" s="28">
        <v>45308.0</v>
      </c>
      <c r="B1146" s="29">
        <f t="shared" si="1"/>
        <v>3</v>
      </c>
      <c r="C1146" s="2" t="s">
        <v>80</v>
      </c>
      <c r="D1146" s="2">
        <v>905.0</v>
      </c>
    </row>
    <row r="1147">
      <c r="A1147" s="28">
        <v>45308.0</v>
      </c>
      <c r="B1147" s="29">
        <f t="shared" si="1"/>
        <v>3</v>
      </c>
      <c r="C1147" s="2" t="s">
        <v>81</v>
      </c>
    </row>
    <row r="1148">
      <c r="A1148" s="28">
        <v>45308.0</v>
      </c>
      <c r="B1148" s="29">
        <f t="shared" si="1"/>
        <v>3</v>
      </c>
      <c r="C1148" s="2" t="s">
        <v>82</v>
      </c>
    </row>
    <row r="1149">
      <c r="A1149" s="28">
        <v>45308.0</v>
      </c>
      <c r="B1149" s="29">
        <f t="shared" si="1"/>
        <v>3</v>
      </c>
      <c r="C1149" s="2" t="s">
        <v>83</v>
      </c>
      <c r="D1149" s="2">
        <v>1570.0</v>
      </c>
    </row>
    <row r="1150">
      <c r="A1150" s="28">
        <v>45308.0</v>
      </c>
      <c r="B1150" s="29">
        <f t="shared" si="1"/>
        <v>3</v>
      </c>
      <c r="C1150" s="2" t="s">
        <v>84</v>
      </c>
      <c r="D1150" s="2">
        <v>1297.0</v>
      </c>
    </row>
    <row r="1151">
      <c r="A1151" s="28">
        <v>45308.0</v>
      </c>
      <c r="B1151" s="29">
        <f t="shared" si="1"/>
        <v>3</v>
      </c>
      <c r="C1151" s="2" t="s">
        <v>85</v>
      </c>
      <c r="D1151" s="2">
        <v>320.0</v>
      </c>
    </row>
    <row r="1152">
      <c r="A1152" s="28">
        <v>45308.0</v>
      </c>
      <c r="B1152" s="29">
        <f t="shared" si="1"/>
        <v>3</v>
      </c>
      <c r="C1152" s="2" t="s">
        <v>86</v>
      </c>
    </row>
    <row r="1153">
      <c r="A1153" s="28">
        <v>45308.0</v>
      </c>
      <c r="B1153" s="29">
        <f t="shared" si="1"/>
        <v>3</v>
      </c>
      <c r="C1153" s="2" t="s">
        <v>87</v>
      </c>
    </row>
    <row r="1154">
      <c r="A1154" s="28">
        <v>45308.0</v>
      </c>
      <c r="B1154" s="29">
        <f t="shared" si="1"/>
        <v>3</v>
      </c>
      <c r="C1154" s="2" t="s">
        <v>88</v>
      </c>
      <c r="D1154" s="2">
        <v>1013.0</v>
      </c>
    </row>
    <row r="1155">
      <c r="A1155" s="28">
        <v>45308.0</v>
      </c>
      <c r="B1155" s="29">
        <f t="shared" si="1"/>
        <v>3</v>
      </c>
      <c r="C1155" s="2" t="s">
        <v>89</v>
      </c>
      <c r="D1155" s="2">
        <v>1208.0</v>
      </c>
    </row>
    <row r="1156">
      <c r="A1156" s="28">
        <v>45308.0</v>
      </c>
      <c r="B1156" s="29">
        <f t="shared" si="1"/>
        <v>3</v>
      </c>
      <c r="C1156" s="2" t="s">
        <v>90</v>
      </c>
      <c r="D1156" s="2">
        <v>85.0</v>
      </c>
    </row>
    <row r="1157">
      <c r="A1157" s="28">
        <v>45308.0</v>
      </c>
      <c r="B1157" s="29">
        <f t="shared" si="1"/>
        <v>3</v>
      </c>
      <c r="C1157" s="2" t="s">
        <v>91</v>
      </c>
    </row>
    <row r="1158">
      <c r="A1158" s="28">
        <v>45308.0</v>
      </c>
      <c r="B1158" s="29">
        <f t="shared" si="1"/>
        <v>3</v>
      </c>
      <c r="C1158" s="2" t="s">
        <v>92</v>
      </c>
    </row>
    <row r="1159">
      <c r="A1159" s="28">
        <v>45308.0</v>
      </c>
      <c r="B1159" s="29">
        <f t="shared" si="1"/>
        <v>3</v>
      </c>
      <c r="C1159" s="2" t="s">
        <v>93</v>
      </c>
    </row>
    <row r="1160">
      <c r="A1160" s="28">
        <v>45308.0</v>
      </c>
      <c r="B1160" s="29">
        <f t="shared" si="1"/>
        <v>3</v>
      </c>
      <c r="C1160" s="2" t="s">
        <v>94</v>
      </c>
    </row>
    <row r="1161">
      <c r="A1161" s="28">
        <v>45308.0</v>
      </c>
      <c r="B1161" s="29">
        <f t="shared" si="1"/>
        <v>3</v>
      </c>
      <c r="C1161" s="2" t="s">
        <v>95</v>
      </c>
    </row>
    <row r="1162">
      <c r="A1162" s="28">
        <v>45308.0</v>
      </c>
      <c r="B1162" s="29">
        <f t="shared" si="1"/>
        <v>3</v>
      </c>
      <c r="C1162" s="2" t="s">
        <v>96</v>
      </c>
      <c r="D1162" s="2">
        <v>480.0</v>
      </c>
    </row>
    <row r="1163">
      <c r="A1163" s="28">
        <v>45308.0</v>
      </c>
      <c r="B1163" s="29">
        <f t="shared" si="1"/>
        <v>3</v>
      </c>
      <c r="C1163" s="2" t="s">
        <v>97</v>
      </c>
      <c r="D1163" s="2">
        <v>12252.0</v>
      </c>
    </row>
    <row r="1164">
      <c r="A1164" s="28">
        <v>45308.0</v>
      </c>
      <c r="B1164" s="29">
        <f t="shared" si="1"/>
        <v>3</v>
      </c>
      <c r="C1164" s="2" t="s">
        <v>98</v>
      </c>
    </row>
    <row r="1165">
      <c r="A1165" s="28">
        <v>45308.0</v>
      </c>
      <c r="B1165" s="29">
        <f t="shared" si="1"/>
        <v>3</v>
      </c>
      <c r="C1165" s="2" t="s">
        <v>99</v>
      </c>
    </row>
    <row r="1166">
      <c r="A1166" s="28">
        <v>45308.0</v>
      </c>
      <c r="B1166" s="29">
        <f t="shared" si="1"/>
        <v>3</v>
      </c>
      <c r="C1166" s="2" t="s">
        <v>100</v>
      </c>
    </row>
    <row r="1167">
      <c r="A1167" s="28">
        <v>45315.0</v>
      </c>
      <c r="B1167" s="29">
        <f t="shared" si="1"/>
        <v>4</v>
      </c>
      <c r="C1167" s="2" t="s">
        <v>101</v>
      </c>
      <c r="D1167" s="2">
        <v>8454.0</v>
      </c>
    </row>
    <row r="1168">
      <c r="A1168" s="28">
        <v>45315.0</v>
      </c>
      <c r="B1168" s="29">
        <f t="shared" si="1"/>
        <v>4</v>
      </c>
      <c r="C1168" s="2" t="s">
        <v>80</v>
      </c>
      <c r="D1168" s="2">
        <v>1788.0</v>
      </c>
    </row>
    <row r="1169">
      <c r="A1169" s="28">
        <v>45315.0</v>
      </c>
      <c r="B1169" s="29">
        <f t="shared" si="1"/>
        <v>4</v>
      </c>
      <c r="C1169" s="2" t="s">
        <v>81</v>
      </c>
    </row>
    <row r="1170">
      <c r="A1170" s="28">
        <v>45315.0</v>
      </c>
      <c r="B1170" s="29">
        <f t="shared" si="1"/>
        <v>4</v>
      </c>
      <c r="C1170" s="2" t="s">
        <v>82</v>
      </c>
    </row>
    <row r="1171">
      <c r="A1171" s="28">
        <v>45315.0</v>
      </c>
      <c r="B1171" s="29">
        <f t="shared" si="1"/>
        <v>4</v>
      </c>
      <c r="C1171" s="2" t="s">
        <v>83</v>
      </c>
      <c r="D1171" s="2">
        <v>1885.0</v>
      </c>
    </row>
    <row r="1172">
      <c r="A1172" s="28">
        <v>45315.0</v>
      </c>
      <c r="B1172" s="29">
        <f t="shared" si="1"/>
        <v>4</v>
      </c>
      <c r="C1172" s="2" t="s">
        <v>84</v>
      </c>
      <c r="D1172" s="2">
        <v>1278.0</v>
      </c>
    </row>
    <row r="1173">
      <c r="A1173" s="28">
        <v>45315.0</v>
      </c>
      <c r="B1173" s="29">
        <f t="shared" si="1"/>
        <v>4</v>
      </c>
      <c r="C1173" s="2" t="s">
        <v>85</v>
      </c>
      <c r="D1173" s="2">
        <v>82.0</v>
      </c>
    </row>
    <row r="1174">
      <c r="A1174" s="28">
        <v>45315.0</v>
      </c>
      <c r="B1174" s="29">
        <f t="shared" si="1"/>
        <v>4</v>
      </c>
      <c r="C1174" s="2" t="s">
        <v>86</v>
      </c>
    </row>
    <row r="1175">
      <c r="A1175" s="28">
        <v>45315.0</v>
      </c>
      <c r="B1175" s="29">
        <f t="shared" si="1"/>
        <v>4</v>
      </c>
      <c r="C1175" s="2" t="s">
        <v>87</v>
      </c>
    </row>
    <row r="1176">
      <c r="A1176" s="28">
        <v>45315.0</v>
      </c>
      <c r="B1176" s="29">
        <f t="shared" si="1"/>
        <v>4</v>
      </c>
      <c r="C1176" s="2" t="s">
        <v>88</v>
      </c>
      <c r="D1176" s="2">
        <v>700.0</v>
      </c>
    </row>
    <row r="1177">
      <c r="A1177" s="28">
        <v>45315.0</v>
      </c>
      <c r="B1177" s="29">
        <f t="shared" si="1"/>
        <v>4</v>
      </c>
      <c r="C1177" s="2" t="s">
        <v>89</v>
      </c>
      <c r="D1177" s="2">
        <v>823.0</v>
      </c>
    </row>
    <row r="1178">
      <c r="A1178" s="28">
        <v>45315.0</v>
      </c>
      <c r="B1178" s="29">
        <f t="shared" si="1"/>
        <v>4</v>
      </c>
      <c r="C1178" s="2" t="s">
        <v>90</v>
      </c>
      <c r="D1178" s="2">
        <v>180.0</v>
      </c>
    </row>
    <row r="1179">
      <c r="A1179" s="28">
        <v>45315.0</v>
      </c>
      <c r="B1179" s="29">
        <f t="shared" si="1"/>
        <v>4</v>
      </c>
      <c r="C1179" s="2" t="s">
        <v>91</v>
      </c>
    </row>
    <row r="1180">
      <c r="A1180" s="28">
        <v>45315.0</v>
      </c>
      <c r="B1180" s="29">
        <f t="shared" si="1"/>
        <v>4</v>
      </c>
      <c r="C1180" s="2" t="s">
        <v>92</v>
      </c>
    </row>
    <row r="1181">
      <c r="A1181" s="28">
        <v>45315.0</v>
      </c>
      <c r="B1181" s="29">
        <f t="shared" si="1"/>
        <v>4</v>
      </c>
      <c r="C1181" s="2" t="s">
        <v>93</v>
      </c>
    </row>
    <row r="1182">
      <c r="A1182" s="28">
        <v>45315.0</v>
      </c>
      <c r="B1182" s="29">
        <f t="shared" si="1"/>
        <v>4</v>
      </c>
      <c r="C1182" s="2" t="s">
        <v>94</v>
      </c>
    </row>
    <row r="1183">
      <c r="A1183" s="28">
        <v>45315.0</v>
      </c>
      <c r="B1183" s="29">
        <f t="shared" si="1"/>
        <v>4</v>
      </c>
      <c r="C1183" s="2" t="s">
        <v>95</v>
      </c>
    </row>
    <row r="1184">
      <c r="A1184" s="28">
        <v>45315.0</v>
      </c>
      <c r="B1184" s="29">
        <f t="shared" si="1"/>
        <v>4</v>
      </c>
      <c r="C1184" s="2" t="s">
        <v>96</v>
      </c>
      <c r="D1184" s="2">
        <v>0.0</v>
      </c>
    </row>
    <row r="1185">
      <c r="A1185" s="28">
        <v>45315.0</v>
      </c>
      <c r="B1185" s="29">
        <f t="shared" si="1"/>
        <v>4</v>
      </c>
      <c r="C1185" s="2" t="s">
        <v>97</v>
      </c>
      <c r="D1185" s="2">
        <v>1718.0</v>
      </c>
    </row>
    <row r="1186">
      <c r="A1186" s="28">
        <v>45315.0</v>
      </c>
      <c r="B1186" s="29">
        <f t="shared" si="1"/>
        <v>4</v>
      </c>
      <c r="C1186" s="2" t="s">
        <v>98</v>
      </c>
    </row>
    <row r="1187">
      <c r="A1187" s="28">
        <v>45315.0</v>
      </c>
      <c r="B1187" s="29">
        <f t="shared" si="1"/>
        <v>4</v>
      </c>
      <c r="C1187" s="2" t="s">
        <v>99</v>
      </c>
    </row>
    <row r="1188">
      <c r="A1188" s="28">
        <v>45315.0</v>
      </c>
      <c r="B1188" s="29">
        <f t="shared" si="1"/>
        <v>4</v>
      </c>
      <c r="C1188" s="2" t="s">
        <v>100</v>
      </c>
    </row>
    <row r="1189">
      <c r="A1189" s="28">
        <v>45322.0</v>
      </c>
      <c r="B1189" s="29">
        <f t="shared" si="1"/>
        <v>5</v>
      </c>
      <c r="C1189" s="2" t="s">
        <v>101</v>
      </c>
      <c r="D1189" s="2">
        <v>9864.0</v>
      </c>
    </row>
    <row r="1190">
      <c r="A1190" s="28">
        <v>45322.0</v>
      </c>
      <c r="B1190" s="29">
        <f t="shared" si="1"/>
        <v>5</v>
      </c>
      <c r="C1190" s="2" t="s">
        <v>80</v>
      </c>
      <c r="D1190" s="2">
        <v>1859.0</v>
      </c>
    </row>
    <row r="1191">
      <c r="A1191" s="28">
        <v>45322.0</v>
      </c>
      <c r="B1191" s="29">
        <f t="shared" si="1"/>
        <v>5</v>
      </c>
      <c r="C1191" s="2" t="s">
        <v>81</v>
      </c>
    </row>
    <row r="1192">
      <c r="A1192" s="28">
        <v>45322.0</v>
      </c>
      <c r="B1192" s="29">
        <f t="shared" si="1"/>
        <v>5</v>
      </c>
      <c r="C1192" s="2" t="s">
        <v>82</v>
      </c>
    </row>
    <row r="1193">
      <c r="A1193" s="28">
        <v>45322.0</v>
      </c>
      <c r="B1193" s="29">
        <f t="shared" si="1"/>
        <v>5</v>
      </c>
      <c r="C1193" s="2" t="s">
        <v>83</v>
      </c>
      <c r="D1193" s="2">
        <v>1437.0</v>
      </c>
    </row>
    <row r="1194">
      <c r="A1194" s="28">
        <v>45322.0</v>
      </c>
      <c r="B1194" s="29">
        <f t="shared" si="1"/>
        <v>5</v>
      </c>
      <c r="C1194" s="2" t="s">
        <v>84</v>
      </c>
      <c r="D1194" s="2">
        <v>1296.0</v>
      </c>
    </row>
    <row r="1195">
      <c r="A1195" s="28">
        <v>45322.0</v>
      </c>
      <c r="B1195" s="29">
        <f t="shared" si="1"/>
        <v>5</v>
      </c>
      <c r="C1195" s="2" t="s">
        <v>85</v>
      </c>
      <c r="D1195" s="2">
        <v>128.0</v>
      </c>
    </row>
    <row r="1196">
      <c r="A1196" s="28">
        <v>45322.0</v>
      </c>
      <c r="B1196" s="29">
        <f t="shared" si="1"/>
        <v>5</v>
      </c>
      <c r="C1196" s="2" t="s">
        <v>86</v>
      </c>
    </row>
    <row r="1197">
      <c r="A1197" s="28">
        <v>45322.0</v>
      </c>
      <c r="B1197" s="29">
        <f t="shared" si="1"/>
        <v>5</v>
      </c>
      <c r="C1197" s="2" t="s">
        <v>87</v>
      </c>
    </row>
    <row r="1198">
      <c r="A1198" s="28">
        <v>45322.0</v>
      </c>
      <c r="B1198" s="29">
        <f t="shared" si="1"/>
        <v>5</v>
      </c>
      <c r="C1198" s="2" t="s">
        <v>88</v>
      </c>
      <c r="D1198" s="2">
        <v>935.0</v>
      </c>
    </row>
    <row r="1199">
      <c r="A1199" s="28">
        <v>45322.0</v>
      </c>
      <c r="B1199" s="29">
        <f t="shared" si="1"/>
        <v>5</v>
      </c>
      <c r="C1199" s="2" t="s">
        <v>89</v>
      </c>
      <c r="D1199" s="2">
        <v>723.0</v>
      </c>
    </row>
    <row r="1200">
      <c r="A1200" s="28">
        <v>45322.0</v>
      </c>
      <c r="B1200" s="29">
        <f t="shared" si="1"/>
        <v>5</v>
      </c>
      <c r="C1200" s="2" t="s">
        <v>90</v>
      </c>
      <c r="D1200" s="2">
        <v>0.0</v>
      </c>
    </row>
    <row r="1201">
      <c r="A1201" s="28">
        <v>45322.0</v>
      </c>
      <c r="B1201" s="29">
        <f t="shared" si="1"/>
        <v>5</v>
      </c>
      <c r="C1201" s="2" t="s">
        <v>91</v>
      </c>
    </row>
    <row r="1202">
      <c r="A1202" s="28">
        <v>45322.0</v>
      </c>
      <c r="B1202" s="29">
        <f t="shared" si="1"/>
        <v>5</v>
      </c>
      <c r="C1202" s="2" t="s">
        <v>92</v>
      </c>
    </row>
    <row r="1203">
      <c r="A1203" s="28">
        <v>45322.0</v>
      </c>
      <c r="B1203" s="29">
        <f t="shared" si="1"/>
        <v>5</v>
      </c>
      <c r="C1203" s="2" t="s">
        <v>93</v>
      </c>
    </row>
    <row r="1204">
      <c r="A1204" s="28">
        <v>45322.0</v>
      </c>
      <c r="B1204" s="29">
        <f t="shared" si="1"/>
        <v>5</v>
      </c>
      <c r="C1204" s="2" t="s">
        <v>94</v>
      </c>
    </row>
    <row r="1205">
      <c r="A1205" s="28">
        <v>45322.0</v>
      </c>
      <c r="B1205" s="29">
        <f t="shared" si="1"/>
        <v>5</v>
      </c>
      <c r="C1205" s="2" t="s">
        <v>95</v>
      </c>
    </row>
    <row r="1206">
      <c r="A1206" s="28">
        <v>45322.0</v>
      </c>
      <c r="B1206" s="29">
        <f t="shared" si="1"/>
        <v>5</v>
      </c>
      <c r="C1206" s="2" t="s">
        <v>96</v>
      </c>
      <c r="D1206" s="2">
        <v>232.0</v>
      </c>
    </row>
    <row r="1207">
      <c r="A1207" s="28">
        <v>45322.0</v>
      </c>
      <c r="B1207" s="29">
        <f t="shared" si="1"/>
        <v>5</v>
      </c>
      <c r="C1207" s="2" t="s">
        <v>97</v>
      </c>
      <c r="D1207" s="2">
        <v>3254.0</v>
      </c>
    </row>
    <row r="1208">
      <c r="A1208" s="28">
        <v>45322.0</v>
      </c>
      <c r="B1208" s="29">
        <f t="shared" si="1"/>
        <v>5</v>
      </c>
      <c r="C1208" s="2" t="s">
        <v>98</v>
      </c>
    </row>
    <row r="1209">
      <c r="A1209" s="28">
        <v>45322.0</v>
      </c>
      <c r="B1209" s="29">
        <f t="shared" si="1"/>
        <v>5</v>
      </c>
      <c r="C1209" s="2" t="s">
        <v>99</v>
      </c>
    </row>
    <row r="1210">
      <c r="A1210" s="28">
        <v>45322.0</v>
      </c>
      <c r="B1210" s="29">
        <f t="shared" si="1"/>
        <v>5</v>
      </c>
      <c r="C1210" s="2" t="s">
        <v>100</v>
      </c>
    </row>
    <row r="1211">
      <c r="A1211" s="28">
        <v>45329.0</v>
      </c>
      <c r="B1211" s="29">
        <f t="shared" si="1"/>
        <v>6</v>
      </c>
      <c r="C1211" s="2" t="s">
        <v>101</v>
      </c>
      <c r="D1211" s="2">
        <v>7000.0</v>
      </c>
    </row>
    <row r="1212">
      <c r="A1212" s="28">
        <v>45329.0</v>
      </c>
      <c r="B1212" s="29">
        <f t="shared" si="1"/>
        <v>6</v>
      </c>
      <c r="C1212" s="2" t="s">
        <v>80</v>
      </c>
      <c r="D1212" s="2">
        <v>1526.0</v>
      </c>
    </row>
    <row r="1213">
      <c r="A1213" s="28">
        <v>45329.0</v>
      </c>
      <c r="B1213" s="29">
        <f t="shared" si="1"/>
        <v>6</v>
      </c>
      <c r="C1213" s="2" t="s">
        <v>81</v>
      </c>
    </row>
    <row r="1214">
      <c r="A1214" s="28">
        <v>45329.0</v>
      </c>
      <c r="B1214" s="29">
        <f t="shared" si="1"/>
        <v>6</v>
      </c>
      <c r="C1214" s="2" t="s">
        <v>82</v>
      </c>
    </row>
    <row r="1215">
      <c r="A1215" s="28">
        <v>45329.0</v>
      </c>
      <c r="B1215" s="29">
        <f t="shared" si="1"/>
        <v>6</v>
      </c>
      <c r="C1215" s="2" t="s">
        <v>83</v>
      </c>
      <c r="D1215" s="2">
        <v>1465.0</v>
      </c>
    </row>
    <row r="1216">
      <c r="A1216" s="28">
        <v>45329.0</v>
      </c>
      <c r="B1216" s="29">
        <f t="shared" si="1"/>
        <v>6</v>
      </c>
      <c r="C1216" s="2" t="s">
        <v>84</v>
      </c>
      <c r="D1216" s="2">
        <v>1048.0</v>
      </c>
    </row>
    <row r="1217">
      <c r="A1217" s="28">
        <v>45329.0</v>
      </c>
      <c r="B1217" s="29">
        <f t="shared" si="1"/>
        <v>6</v>
      </c>
      <c r="C1217" s="2" t="s">
        <v>85</v>
      </c>
      <c r="D1217" s="2">
        <v>72.0</v>
      </c>
    </row>
    <row r="1218">
      <c r="A1218" s="28">
        <v>45329.0</v>
      </c>
      <c r="B1218" s="29">
        <f t="shared" si="1"/>
        <v>6</v>
      </c>
      <c r="C1218" s="2" t="s">
        <v>86</v>
      </c>
    </row>
    <row r="1219">
      <c r="A1219" s="28">
        <v>45329.0</v>
      </c>
      <c r="B1219" s="29">
        <f t="shared" si="1"/>
        <v>6</v>
      </c>
      <c r="C1219" s="2" t="s">
        <v>87</v>
      </c>
    </row>
    <row r="1220">
      <c r="A1220" s="28">
        <v>45329.0</v>
      </c>
      <c r="B1220" s="29">
        <f t="shared" si="1"/>
        <v>6</v>
      </c>
      <c r="C1220" s="2" t="s">
        <v>88</v>
      </c>
      <c r="D1220" s="2">
        <v>605.0</v>
      </c>
    </row>
    <row r="1221">
      <c r="A1221" s="28">
        <v>45329.0</v>
      </c>
      <c r="B1221" s="29">
        <f t="shared" si="1"/>
        <v>6</v>
      </c>
      <c r="C1221" s="2" t="s">
        <v>89</v>
      </c>
      <c r="D1221" s="2">
        <v>214.0</v>
      </c>
    </row>
    <row r="1222">
      <c r="A1222" s="28">
        <v>45329.0</v>
      </c>
      <c r="B1222" s="29">
        <f t="shared" si="1"/>
        <v>6</v>
      </c>
      <c r="C1222" s="2" t="s">
        <v>90</v>
      </c>
      <c r="D1222" s="2">
        <v>110.0</v>
      </c>
    </row>
    <row r="1223">
      <c r="A1223" s="28">
        <v>45329.0</v>
      </c>
      <c r="B1223" s="29">
        <f t="shared" si="1"/>
        <v>6</v>
      </c>
      <c r="C1223" s="2" t="s">
        <v>91</v>
      </c>
    </row>
    <row r="1224">
      <c r="A1224" s="28">
        <v>45329.0</v>
      </c>
      <c r="B1224" s="29">
        <f t="shared" si="1"/>
        <v>6</v>
      </c>
      <c r="C1224" s="2" t="s">
        <v>92</v>
      </c>
    </row>
    <row r="1225">
      <c r="A1225" s="28">
        <v>45329.0</v>
      </c>
      <c r="B1225" s="29">
        <f t="shared" si="1"/>
        <v>6</v>
      </c>
      <c r="C1225" s="2" t="s">
        <v>93</v>
      </c>
    </row>
    <row r="1226">
      <c r="A1226" s="28">
        <v>45329.0</v>
      </c>
      <c r="B1226" s="29">
        <f t="shared" si="1"/>
        <v>6</v>
      </c>
      <c r="C1226" s="2" t="s">
        <v>94</v>
      </c>
    </row>
    <row r="1227">
      <c r="A1227" s="28">
        <v>45329.0</v>
      </c>
      <c r="B1227" s="29">
        <f t="shared" si="1"/>
        <v>6</v>
      </c>
      <c r="C1227" s="2" t="s">
        <v>95</v>
      </c>
    </row>
    <row r="1228">
      <c r="A1228" s="28">
        <v>45329.0</v>
      </c>
      <c r="B1228" s="29">
        <f t="shared" si="1"/>
        <v>6</v>
      </c>
      <c r="C1228" s="2" t="s">
        <v>96</v>
      </c>
      <c r="D1228" s="2">
        <v>0.0</v>
      </c>
    </row>
    <row r="1229">
      <c r="A1229" s="28">
        <v>45329.0</v>
      </c>
      <c r="B1229" s="29">
        <f t="shared" si="1"/>
        <v>6</v>
      </c>
      <c r="C1229" s="2" t="s">
        <v>97</v>
      </c>
      <c r="D1229" s="2">
        <v>1960.0</v>
      </c>
    </row>
    <row r="1230">
      <c r="A1230" s="28">
        <v>45329.0</v>
      </c>
      <c r="B1230" s="29">
        <f t="shared" si="1"/>
        <v>6</v>
      </c>
      <c r="C1230" s="2" t="s">
        <v>98</v>
      </c>
    </row>
    <row r="1231">
      <c r="A1231" s="28">
        <v>45329.0</v>
      </c>
      <c r="B1231" s="29">
        <f t="shared" si="1"/>
        <v>6</v>
      </c>
      <c r="C1231" s="2" t="s">
        <v>99</v>
      </c>
    </row>
    <row r="1232">
      <c r="A1232" s="28">
        <v>45329.0</v>
      </c>
      <c r="B1232" s="29">
        <f t="shared" si="1"/>
        <v>6</v>
      </c>
      <c r="C1232" s="2" t="s">
        <v>100</v>
      </c>
    </row>
    <row r="1233">
      <c r="A1233" s="28">
        <v>45336.0</v>
      </c>
      <c r="B1233" s="29">
        <f t="shared" si="1"/>
        <v>7</v>
      </c>
      <c r="C1233" s="2" t="s">
        <v>101</v>
      </c>
      <c r="D1233" s="2">
        <v>10476.0</v>
      </c>
    </row>
    <row r="1234">
      <c r="A1234" s="28">
        <v>45336.0</v>
      </c>
      <c r="B1234" s="29">
        <f t="shared" si="1"/>
        <v>7</v>
      </c>
      <c r="C1234" s="2" t="s">
        <v>80</v>
      </c>
      <c r="D1234" s="2">
        <v>3087.0</v>
      </c>
    </row>
    <row r="1235">
      <c r="A1235" s="28">
        <v>45336.0</v>
      </c>
      <c r="B1235" s="29">
        <f t="shared" si="1"/>
        <v>7</v>
      </c>
      <c r="C1235" s="2" t="s">
        <v>81</v>
      </c>
    </row>
    <row r="1236">
      <c r="A1236" s="28">
        <v>45336.0</v>
      </c>
      <c r="B1236" s="29">
        <f t="shared" si="1"/>
        <v>7</v>
      </c>
      <c r="C1236" s="2" t="s">
        <v>82</v>
      </c>
    </row>
    <row r="1237">
      <c r="A1237" s="28">
        <v>45336.0</v>
      </c>
      <c r="B1237" s="29">
        <f t="shared" si="1"/>
        <v>7</v>
      </c>
      <c r="C1237" s="2" t="s">
        <v>83</v>
      </c>
      <c r="D1237" s="2">
        <v>1594.0</v>
      </c>
    </row>
    <row r="1238">
      <c r="A1238" s="28">
        <v>45336.0</v>
      </c>
      <c r="B1238" s="29">
        <f t="shared" si="1"/>
        <v>7</v>
      </c>
      <c r="C1238" s="2" t="s">
        <v>84</v>
      </c>
      <c r="D1238" s="2">
        <v>821.0</v>
      </c>
    </row>
    <row r="1239">
      <c r="A1239" s="28">
        <v>45336.0</v>
      </c>
      <c r="B1239" s="29">
        <f t="shared" si="1"/>
        <v>7</v>
      </c>
      <c r="C1239" s="2" t="s">
        <v>85</v>
      </c>
      <c r="D1239" s="2">
        <v>0.0</v>
      </c>
    </row>
    <row r="1240">
      <c r="A1240" s="28">
        <v>45336.0</v>
      </c>
      <c r="B1240" s="29">
        <f t="shared" si="1"/>
        <v>7</v>
      </c>
      <c r="C1240" s="2" t="s">
        <v>86</v>
      </c>
    </row>
    <row r="1241">
      <c r="A1241" s="28">
        <v>45336.0</v>
      </c>
      <c r="B1241" s="29">
        <f t="shared" si="1"/>
        <v>7</v>
      </c>
      <c r="C1241" s="2" t="s">
        <v>87</v>
      </c>
    </row>
    <row r="1242">
      <c r="A1242" s="28">
        <v>45336.0</v>
      </c>
      <c r="B1242" s="29">
        <f t="shared" si="1"/>
        <v>7</v>
      </c>
      <c r="C1242" s="2" t="s">
        <v>88</v>
      </c>
      <c r="D1242" s="2">
        <v>508.0</v>
      </c>
    </row>
    <row r="1243">
      <c r="A1243" s="28">
        <v>45336.0</v>
      </c>
      <c r="B1243" s="29">
        <f t="shared" si="1"/>
        <v>7</v>
      </c>
      <c r="C1243" s="2" t="s">
        <v>89</v>
      </c>
      <c r="D1243" s="2">
        <v>930.0</v>
      </c>
    </row>
    <row r="1244">
      <c r="A1244" s="28">
        <v>45336.0</v>
      </c>
      <c r="B1244" s="29">
        <f t="shared" si="1"/>
        <v>7</v>
      </c>
      <c r="C1244" s="2" t="s">
        <v>90</v>
      </c>
      <c r="D1244" s="2">
        <v>108.0</v>
      </c>
    </row>
    <row r="1245">
      <c r="A1245" s="28">
        <v>45336.0</v>
      </c>
      <c r="B1245" s="29">
        <f t="shared" si="1"/>
        <v>7</v>
      </c>
      <c r="C1245" s="2" t="s">
        <v>91</v>
      </c>
    </row>
    <row r="1246">
      <c r="A1246" s="28">
        <v>45336.0</v>
      </c>
      <c r="B1246" s="29">
        <f t="shared" si="1"/>
        <v>7</v>
      </c>
      <c r="C1246" s="2" t="s">
        <v>92</v>
      </c>
    </row>
    <row r="1247">
      <c r="A1247" s="28">
        <v>45336.0</v>
      </c>
      <c r="B1247" s="29">
        <f t="shared" si="1"/>
        <v>7</v>
      </c>
      <c r="C1247" s="2" t="s">
        <v>93</v>
      </c>
    </row>
    <row r="1248">
      <c r="A1248" s="28">
        <v>45336.0</v>
      </c>
      <c r="B1248" s="29">
        <f t="shared" si="1"/>
        <v>7</v>
      </c>
      <c r="C1248" s="2" t="s">
        <v>94</v>
      </c>
    </row>
    <row r="1249">
      <c r="A1249" s="28">
        <v>45336.0</v>
      </c>
      <c r="B1249" s="29">
        <f t="shared" si="1"/>
        <v>7</v>
      </c>
      <c r="C1249" s="2" t="s">
        <v>95</v>
      </c>
    </row>
    <row r="1250">
      <c r="A1250" s="28">
        <v>45336.0</v>
      </c>
      <c r="B1250" s="29">
        <f t="shared" si="1"/>
        <v>7</v>
      </c>
      <c r="C1250" s="2" t="s">
        <v>96</v>
      </c>
      <c r="D1250" s="2">
        <v>287.0</v>
      </c>
    </row>
    <row r="1251">
      <c r="A1251" s="28">
        <v>45336.0</v>
      </c>
      <c r="B1251" s="29">
        <f t="shared" si="1"/>
        <v>7</v>
      </c>
      <c r="C1251" s="2" t="s">
        <v>97</v>
      </c>
      <c r="D1251" s="2">
        <v>3141.0</v>
      </c>
    </row>
    <row r="1252">
      <c r="A1252" s="28">
        <v>45336.0</v>
      </c>
      <c r="B1252" s="29">
        <f t="shared" si="1"/>
        <v>7</v>
      </c>
      <c r="C1252" s="2" t="s">
        <v>98</v>
      </c>
    </row>
    <row r="1253">
      <c r="A1253" s="28">
        <v>45336.0</v>
      </c>
      <c r="B1253" s="29">
        <f t="shared" si="1"/>
        <v>7</v>
      </c>
      <c r="C1253" s="2" t="s">
        <v>99</v>
      </c>
    </row>
    <row r="1254">
      <c r="A1254" s="28">
        <v>45336.0</v>
      </c>
      <c r="B1254" s="29">
        <f t="shared" si="1"/>
        <v>7</v>
      </c>
      <c r="C1254" s="2" t="s">
        <v>100</v>
      </c>
    </row>
    <row r="1255">
      <c r="A1255" s="28">
        <v>45343.0</v>
      </c>
      <c r="B1255" s="29">
        <f t="shared" si="1"/>
        <v>8</v>
      </c>
      <c r="C1255" s="2" t="s">
        <v>101</v>
      </c>
      <c r="D1255" s="2">
        <v>16353.0</v>
      </c>
    </row>
    <row r="1256">
      <c r="A1256" s="28">
        <v>45343.0</v>
      </c>
      <c r="B1256" s="29">
        <f t="shared" si="1"/>
        <v>8</v>
      </c>
      <c r="C1256" s="2" t="s">
        <v>80</v>
      </c>
      <c r="D1256" s="2">
        <v>2225.0</v>
      </c>
    </row>
    <row r="1257">
      <c r="A1257" s="28">
        <v>45343.0</v>
      </c>
      <c r="B1257" s="29">
        <f t="shared" si="1"/>
        <v>8</v>
      </c>
      <c r="C1257" s="2" t="s">
        <v>81</v>
      </c>
    </row>
    <row r="1258">
      <c r="A1258" s="28">
        <v>45343.0</v>
      </c>
      <c r="B1258" s="29">
        <f t="shared" si="1"/>
        <v>8</v>
      </c>
      <c r="C1258" s="2" t="s">
        <v>82</v>
      </c>
    </row>
    <row r="1259">
      <c r="A1259" s="28">
        <v>45343.0</v>
      </c>
      <c r="B1259" s="29">
        <f t="shared" si="1"/>
        <v>8</v>
      </c>
      <c r="C1259" s="2" t="s">
        <v>83</v>
      </c>
      <c r="D1259" s="2">
        <v>2628.0</v>
      </c>
    </row>
    <row r="1260">
      <c r="A1260" s="28">
        <v>45343.0</v>
      </c>
      <c r="B1260" s="29">
        <f t="shared" si="1"/>
        <v>8</v>
      </c>
      <c r="C1260" s="2" t="s">
        <v>84</v>
      </c>
      <c r="D1260" s="2">
        <v>1789.0</v>
      </c>
    </row>
    <row r="1261">
      <c r="A1261" s="28">
        <v>45343.0</v>
      </c>
      <c r="B1261" s="29">
        <f t="shared" si="1"/>
        <v>8</v>
      </c>
      <c r="C1261" s="2" t="s">
        <v>85</v>
      </c>
      <c r="D1261" s="2">
        <v>92.0</v>
      </c>
    </row>
    <row r="1262">
      <c r="A1262" s="28">
        <v>45343.0</v>
      </c>
      <c r="B1262" s="29">
        <f t="shared" si="1"/>
        <v>8</v>
      </c>
      <c r="C1262" s="2" t="s">
        <v>86</v>
      </c>
    </row>
    <row r="1263">
      <c r="A1263" s="28">
        <v>45343.0</v>
      </c>
      <c r="B1263" s="29">
        <f t="shared" si="1"/>
        <v>8</v>
      </c>
      <c r="C1263" s="2" t="s">
        <v>87</v>
      </c>
    </row>
    <row r="1264">
      <c r="A1264" s="28">
        <v>45343.0</v>
      </c>
      <c r="B1264" s="29">
        <f t="shared" si="1"/>
        <v>8</v>
      </c>
      <c r="C1264" s="2" t="s">
        <v>88</v>
      </c>
      <c r="D1264" s="2">
        <v>822.0</v>
      </c>
    </row>
    <row r="1265">
      <c r="A1265" s="28">
        <v>45343.0</v>
      </c>
      <c r="B1265" s="29">
        <f t="shared" si="1"/>
        <v>8</v>
      </c>
      <c r="C1265" s="2" t="s">
        <v>89</v>
      </c>
      <c r="D1265" s="2">
        <v>1351.0</v>
      </c>
    </row>
    <row r="1266">
      <c r="A1266" s="28">
        <v>45343.0</v>
      </c>
      <c r="B1266" s="29">
        <f t="shared" si="1"/>
        <v>8</v>
      </c>
      <c r="C1266" s="2" t="s">
        <v>90</v>
      </c>
      <c r="D1266" s="2">
        <v>396.0</v>
      </c>
    </row>
    <row r="1267">
      <c r="A1267" s="28">
        <v>45343.0</v>
      </c>
      <c r="B1267" s="29">
        <f t="shared" si="1"/>
        <v>8</v>
      </c>
      <c r="C1267" s="2" t="s">
        <v>91</v>
      </c>
    </row>
    <row r="1268">
      <c r="A1268" s="28">
        <v>45343.0</v>
      </c>
      <c r="B1268" s="29">
        <f t="shared" si="1"/>
        <v>8</v>
      </c>
      <c r="C1268" s="2" t="s">
        <v>92</v>
      </c>
    </row>
    <row r="1269">
      <c r="A1269" s="28">
        <v>45343.0</v>
      </c>
      <c r="B1269" s="29">
        <f t="shared" si="1"/>
        <v>8</v>
      </c>
      <c r="C1269" s="2" t="s">
        <v>93</v>
      </c>
    </row>
    <row r="1270">
      <c r="A1270" s="28">
        <v>45343.0</v>
      </c>
      <c r="B1270" s="29">
        <f t="shared" si="1"/>
        <v>8</v>
      </c>
      <c r="C1270" s="2" t="s">
        <v>94</v>
      </c>
    </row>
    <row r="1271">
      <c r="A1271" s="28">
        <v>45343.0</v>
      </c>
      <c r="B1271" s="29">
        <f t="shared" si="1"/>
        <v>8</v>
      </c>
      <c r="C1271" s="2" t="s">
        <v>95</v>
      </c>
    </row>
    <row r="1272">
      <c r="A1272" s="28">
        <v>45343.0</v>
      </c>
      <c r="B1272" s="29">
        <f t="shared" si="1"/>
        <v>8</v>
      </c>
      <c r="C1272" s="2" t="s">
        <v>96</v>
      </c>
      <c r="D1272" s="2">
        <v>0.0</v>
      </c>
    </row>
    <row r="1273">
      <c r="A1273" s="28">
        <v>45343.0</v>
      </c>
      <c r="B1273" s="29">
        <f t="shared" si="1"/>
        <v>8</v>
      </c>
      <c r="C1273" s="2" t="s">
        <v>97</v>
      </c>
      <c r="D1273" s="2">
        <v>7050.0</v>
      </c>
    </row>
    <row r="1274">
      <c r="A1274" s="28">
        <v>45343.0</v>
      </c>
      <c r="B1274" s="29">
        <f t="shared" si="1"/>
        <v>8</v>
      </c>
      <c r="C1274" s="2" t="s">
        <v>98</v>
      </c>
    </row>
    <row r="1275">
      <c r="A1275" s="28">
        <v>45343.0</v>
      </c>
      <c r="B1275" s="29">
        <f t="shared" si="1"/>
        <v>8</v>
      </c>
      <c r="C1275" s="2" t="s">
        <v>99</v>
      </c>
    </row>
    <row r="1276">
      <c r="A1276" s="28">
        <v>45343.0</v>
      </c>
      <c r="B1276" s="29">
        <f t="shared" si="1"/>
        <v>8</v>
      </c>
      <c r="C1276" s="2" t="s">
        <v>100</v>
      </c>
    </row>
    <row r="1277">
      <c r="A1277" s="28">
        <v>45350.0</v>
      </c>
      <c r="B1277" s="29">
        <f t="shared" si="1"/>
        <v>9</v>
      </c>
      <c r="C1277" s="2" t="s">
        <v>101</v>
      </c>
      <c r="D1277" s="2">
        <v>6300.0</v>
      </c>
    </row>
    <row r="1278">
      <c r="A1278" s="28">
        <v>45350.0</v>
      </c>
      <c r="B1278" s="29">
        <f t="shared" si="1"/>
        <v>9</v>
      </c>
      <c r="C1278" s="2" t="s">
        <v>80</v>
      </c>
      <c r="D1278" s="2">
        <v>938.0</v>
      </c>
    </row>
    <row r="1279">
      <c r="A1279" s="28">
        <v>45350.0</v>
      </c>
      <c r="B1279" s="29">
        <f t="shared" si="1"/>
        <v>9</v>
      </c>
      <c r="C1279" s="2" t="s">
        <v>81</v>
      </c>
    </row>
    <row r="1280">
      <c r="A1280" s="28">
        <v>45350.0</v>
      </c>
      <c r="B1280" s="29">
        <f t="shared" si="1"/>
        <v>9</v>
      </c>
      <c r="C1280" s="2" t="s">
        <v>82</v>
      </c>
    </row>
    <row r="1281">
      <c r="A1281" s="28">
        <v>45350.0</v>
      </c>
      <c r="B1281" s="29">
        <f t="shared" si="1"/>
        <v>9</v>
      </c>
      <c r="C1281" s="2" t="s">
        <v>83</v>
      </c>
      <c r="D1281" s="2">
        <v>1708.0</v>
      </c>
    </row>
    <row r="1282">
      <c r="A1282" s="28">
        <v>45350.0</v>
      </c>
      <c r="B1282" s="29">
        <f t="shared" si="1"/>
        <v>9</v>
      </c>
      <c r="C1282" s="2" t="s">
        <v>84</v>
      </c>
      <c r="D1282" s="2">
        <v>946.0</v>
      </c>
    </row>
    <row r="1283">
      <c r="A1283" s="28">
        <v>45350.0</v>
      </c>
      <c r="B1283" s="29">
        <f t="shared" si="1"/>
        <v>9</v>
      </c>
      <c r="C1283" s="2" t="s">
        <v>85</v>
      </c>
      <c r="D1283" s="2">
        <v>81.0</v>
      </c>
    </row>
    <row r="1284">
      <c r="A1284" s="28">
        <v>45350.0</v>
      </c>
      <c r="B1284" s="29">
        <f t="shared" si="1"/>
        <v>9</v>
      </c>
      <c r="C1284" s="2" t="s">
        <v>86</v>
      </c>
    </row>
    <row r="1285">
      <c r="A1285" s="28">
        <v>45350.0</v>
      </c>
      <c r="B1285" s="29">
        <f t="shared" si="1"/>
        <v>9</v>
      </c>
      <c r="C1285" s="2" t="s">
        <v>87</v>
      </c>
    </row>
    <row r="1286">
      <c r="A1286" s="28">
        <v>45350.0</v>
      </c>
      <c r="B1286" s="29">
        <f t="shared" si="1"/>
        <v>9</v>
      </c>
      <c r="C1286" s="2" t="s">
        <v>88</v>
      </c>
      <c r="D1286" s="2">
        <v>451.0</v>
      </c>
    </row>
    <row r="1287">
      <c r="A1287" s="28">
        <v>45350.0</v>
      </c>
      <c r="B1287" s="29">
        <f t="shared" si="1"/>
        <v>9</v>
      </c>
      <c r="C1287" s="2" t="s">
        <v>89</v>
      </c>
      <c r="D1287" s="2">
        <v>749.0</v>
      </c>
    </row>
    <row r="1288">
      <c r="A1288" s="28">
        <v>45350.0</v>
      </c>
      <c r="B1288" s="29">
        <f t="shared" si="1"/>
        <v>9</v>
      </c>
      <c r="C1288" s="2" t="s">
        <v>90</v>
      </c>
      <c r="D1288" s="2">
        <v>74.0</v>
      </c>
    </row>
    <row r="1289">
      <c r="A1289" s="28">
        <v>45350.0</v>
      </c>
      <c r="B1289" s="29">
        <f t="shared" si="1"/>
        <v>9</v>
      </c>
      <c r="C1289" s="2" t="s">
        <v>91</v>
      </c>
    </row>
    <row r="1290">
      <c r="A1290" s="28">
        <v>45350.0</v>
      </c>
      <c r="B1290" s="29">
        <f t="shared" si="1"/>
        <v>9</v>
      </c>
      <c r="C1290" s="2" t="s">
        <v>92</v>
      </c>
    </row>
    <row r="1291">
      <c r="A1291" s="28">
        <v>45350.0</v>
      </c>
      <c r="B1291" s="29">
        <f t="shared" si="1"/>
        <v>9</v>
      </c>
      <c r="C1291" s="2" t="s">
        <v>93</v>
      </c>
    </row>
    <row r="1292">
      <c r="A1292" s="28">
        <v>45350.0</v>
      </c>
      <c r="B1292" s="29">
        <f t="shared" si="1"/>
        <v>9</v>
      </c>
      <c r="C1292" s="2" t="s">
        <v>94</v>
      </c>
    </row>
    <row r="1293">
      <c r="A1293" s="28">
        <v>45350.0</v>
      </c>
      <c r="B1293" s="29">
        <f t="shared" si="1"/>
        <v>9</v>
      </c>
      <c r="C1293" s="2" t="s">
        <v>95</v>
      </c>
    </row>
    <row r="1294">
      <c r="A1294" s="28">
        <v>45350.0</v>
      </c>
      <c r="B1294" s="29">
        <f t="shared" si="1"/>
        <v>9</v>
      </c>
      <c r="C1294" s="2" t="s">
        <v>96</v>
      </c>
      <c r="D1294" s="2">
        <v>353.0</v>
      </c>
    </row>
    <row r="1295">
      <c r="A1295" s="28">
        <v>45350.0</v>
      </c>
      <c r="B1295" s="29">
        <f t="shared" si="1"/>
        <v>9</v>
      </c>
      <c r="C1295" s="2" t="s">
        <v>97</v>
      </c>
      <c r="D1295" s="2">
        <v>1000.0</v>
      </c>
    </row>
    <row r="1296">
      <c r="A1296" s="28">
        <v>45350.0</v>
      </c>
      <c r="B1296" s="29">
        <f t="shared" si="1"/>
        <v>9</v>
      </c>
      <c r="C1296" s="2" t="s">
        <v>98</v>
      </c>
    </row>
    <row r="1297">
      <c r="A1297" s="28">
        <v>45350.0</v>
      </c>
      <c r="B1297" s="29">
        <f t="shared" si="1"/>
        <v>9</v>
      </c>
      <c r="C1297" s="2" t="s">
        <v>99</v>
      </c>
    </row>
    <row r="1298">
      <c r="A1298" s="28">
        <v>45350.0</v>
      </c>
      <c r="B1298" s="29">
        <f t="shared" si="1"/>
        <v>9</v>
      </c>
      <c r="C1298" s="2" t="s">
        <v>100</v>
      </c>
    </row>
    <row r="1299">
      <c r="A1299" s="28">
        <v>45357.0</v>
      </c>
      <c r="B1299" s="29">
        <f t="shared" si="1"/>
        <v>10</v>
      </c>
      <c r="C1299" s="2" t="s">
        <v>101</v>
      </c>
      <c r="D1299" s="2">
        <v>9931.0</v>
      </c>
    </row>
    <row r="1300">
      <c r="A1300" s="28">
        <v>45357.0</v>
      </c>
      <c r="B1300" s="29">
        <f t="shared" si="1"/>
        <v>10</v>
      </c>
      <c r="C1300" s="2" t="s">
        <v>80</v>
      </c>
      <c r="D1300" s="2">
        <v>1324.0</v>
      </c>
    </row>
    <row r="1301">
      <c r="A1301" s="28">
        <v>45357.0</v>
      </c>
      <c r="B1301" s="29">
        <f t="shared" si="1"/>
        <v>10</v>
      </c>
      <c r="C1301" s="2" t="s">
        <v>81</v>
      </c>
    </row>
    <row r="1302">
      <c r="A1302" s="28">
        <v>45357.0</v>
      </c>
      <c r="B1302" s="29">
        <f t="shared" si="1"/>
        <v>10</v>
      </c>
      <c r="C1302" s="2" t="s">
        <v>82</v>
      </c>
    </row>
    <row r="1303">
      <c r="A1303" s="28">
        <v>45357.0</v>
      </c>
      <c r="B1303" s="29">
        <f t="shared" si="1"/>
        <v>10</v>
      </c>
      <c r="C1303" s="2" t="s">
        <v>83</v>
      </c>
      <c r="D1303" s="2">
        <v>1351.0</v>
      </c>
    </row>
    <row r="1304">
      <c r="A1304" s="28">
        <v>45357.0</v>
      </c>
      <c r="B1304" s="29">
        <f t="shared" si="1"/>
        <v>10</v>
      </c>
      <c r="C1304" s="2" t="s">
        <v>84</v>
      </c>
      <c r="D1304" s="2">
        <v>1160.0</v>
      </c>
    </row>
    <row r="1305">
      <c r="A1305" s="28">
        <v>45357.0</v>
      </c>
      <c r="B1305" s="29">
        <f t="shared" si="1"/>
        <v>10</v>
      </c>
      <c r="C1305" s="2" t="s">
        <v>85</v>
      </c>
      <c r="D1305" s="2">
        <v>102.0</v>
      </c>
    </row>
    <row r="1306">
      <c r="A1306" s="28">
        <v>45357.0</v>
      </c>
      <c r="B1306" s="29">
        <f t="shared" si="1"/>
        <v>10</v>
      </c>
      <c r="C1306" s="2" t="s">
        <v>86</v>
      </c>
    </row>
    <row r="1307">
      <c r="A1307" s="28">
        <v>45357.0</v>
      </c>
      <c r="B1307" s="29">
        <f t="shared" si="1"/>
        <v>10</v>
      </c>
      <c r="C1307" s="2" t="s">
        <v>87</v>
      </c>
    </row>
    <row r="1308">
      <c r="A1308" s="28">
        <v>45357.0</v>
      </c>
      <c r="B1308" s="29">
        <f t="shared" si="1"/>
        <v>10</v>
      </c>
      <c r="C1308" s="2" t="s">
        <v>88</v>
      </c>
      <c r="D1308" s="2">
        <v>367.0</v>
      </c>
    </row>
    <row r="1309">
      <c r="A1309" s="28">
        <v>45357.0</v>
      </c>
      <c r="B1309" s="29">
        <f t="shared" si="1"/>
        <v>10</v>
      </c>
      <c r="C1309" s="2" t="s">
        <v>89</v>
      </c>
      <c r="D1309" s="2">
        <v>745.0</v>
      </c>
    </row>
    <row r="1310">
      <c r="A1310" s="28">
        <v>45357.0</v>
      </c>
      <c r="B1310" s="29">
        <f t="shared" si="1"/>
        <v>10</v>
      </c>
      <c r="C1310" s="2" t="s">
        <v>90</v>
      </c>
      <c r="D1310" s="2">
        <v>74.0</v>
      </c>
    </row>
    <row r="1311">
      <c r="A1311" s="28">
        <v>45357.0</v>
      </c>
      <c r="B1311" s="29">
        <f t="shared" si="1"/>
        <v>10</v>
      </c>
      <c r="C1311" s="2" t="s">
        <v>91</v>
      </c>
    </row>
    <row r="1312">
      <c r="A1312" s="28">
        <v>45357.0</v>
      </c>
      <c r="B1312" s="29">
        <f t="shared" si="1"/>
        <v>10</v>
      </c>
      <c r="C1312" s="2" t="s">
        <v>92</v>
      </c>
    </row>
    <row r="1313">
      <c r="A1313" s="28">
        <v>45357.0</v>
      </c>
      <c r="B1313" s="29">
        <f t="shared" si="1"/>
        <v>10</v>
      </c>
      <c r="C1313" s="2" t="s">
        <v>93</v>
      </c>
    </row>
    <row r="1314">
      <c r="A1314" s="28">
        <v>45357.0</v>
      </c>
      <c r="B1314" s="29">
        <f t="shared" si="1"/>
        <v>10</v>
      </c>
      <c r="C1314" s="2" t="s">
        <v>94</v>
      </c>
    </row>
    <row r="1315">
      <c r="A1315" s="28">
        <v>45357.0</v>
      </c>
      <c r="B1315" s="29">
        <f t="shared" si="1"/>
        <v>10</v>
      </c>
      <c r="C1315" s="2" t="s">
        <v>95</v>
      </c>
    </row>
    <row r="1316">
      <c r="A1316" s="28">
        <v>45357.0</v>
      </c>
      <c r="B1316" s="29">
        <f t="shared" si="1"/>
        <v>10</v>
      </c>
      <c r="C1316" s="2" t="s">
        <v>96</v>
      </c>
      <c r="D1316" s="2">
        <v>264.0</v>
      </c>
    </row>
    <row r="1317">
      <c r="A1317" s="28">
        <v>45357.0</v>
      </c>
      <c r="B1317" s="29">
        <f t="shared" si="1"/>
        <v>10</v>
      </c>
      <c r="C1317" s="2" t="s">
        <v>97</v>
      </c>
      <c r="D1317" s="2">
        <v>4544.0</v>
      </c>
    </row>
    <row r="1318">
      <c r="A1318" s="28">
        <v>45357.0</v>
      </c>
      <c r="B1318" s="29">
        <f t="shared" si="1"/>
        <v>10</v>
      </c>
      <c r="C1318" s="2" t="s">
        <v>98</v>
      </c>
    </row>
    <row r="1319">
      <c r="A1319" s="28">
        <v>45357.0</v>
      </c>
      <c r="B1319" s="29">
        <f t="shared" si="1"/>
        <v>10</v>
      </c>
      <c r="C1319" s="2" t="s">
        <v>99</v>
      </c>
    </row>
    <row r="1320">
      <c r="A1320" s="28">
        <v>45357.0</v>
      </c>
      <c r="B1320" s="29">
        <f t="shared" si="1"/>
        <v>10</v>
      </c>
      <c r="C1320" s="2" t="s">
        <v>100</v>
      </c>
    </row>
    <row r="1321">
      <c r="A1321" s="28">
        <v>45364.0</v>
      </c>
      <c r="B1321" s="29">
        <f t="shared" si="1"/>
        <v>11</v>
      </c>
      <c r="C1321" s="2" t="s">
        <v>101</v>
      </c>
      <c r="D1321" s="2">
        <v>8000.0</v>
      </c>
    </row>
    <row r="1322">
      <c r="A1322" s="28">
        <v>45364.0</v>
      </c>
      <c r="B1322" s="29">
        <f t="shared" si="1"/>
        <v>11</v>
      </c>
      <c r="C1322" s="2" t="s">
        <v>80</v>
      </c>
      <c r="D1322" s="2">
        <v>1254.0</v>
      </c>
    </row>
    <row r="1323">
      <c r="A1323" s="28">
        <v>45364.0</v>
      </c>
      <c r="B1323" s="29">
        <f t="shared" si="1"/>
        <v>11</v>
      </c>
      <c r="C1323" s="2" t="s">
        <v>81</v>
      </c>
    </row>
    <row r="1324">
      <c r="A1324" s="28">
        <v>45364.0</v>
      </c>
      <c r="B1324" s="29">
        <f t="shared" si="1"/>
        <v>11</v>
      </c>
      <c r="C1324" s="2" t="s">
        <v>82</v>
      </c>
    </row>
    <row r="1325">
      <c r="A1325" s="28">
        <v>45364.0</v>
      </c>
      <c r="B1325" s="29">
        <f t="shared" si="1"/>
        <v>11</v>
      </c>
      <c r="C1325" s="2" t="s">
        <v>83</v>
      </c>
      <c r="D1325" s="2">
        <v>1878.0</v>
      </c>
    </row>
    <row r="1326">
      <c r="A1326" s="28">
        <v>45364.0</v>
      </c>
      <c r="B1326" s="29">
        <f t="shared" si="1"/>
        <v>11</v>
      </c>
      <c r="C1326" s="2" t="s">
        <v>84</v>
      </c>
      <c r="D1326" s="2">
        <v>1849.0</v>
      </c>
    </row>
    <row r="1327">
      <c r="A1327" s="28">
        <v>45364.0</v>
      </c>
      <c r="B1327" s="29">
        <f t="shared" si="1"/>
        <v>11</v>
      </c>
      <c r="C1327" s="2" t="s">
        <v>85</v>
      </c>
      <c r="D1327" s="2">
        <v>106.0</v>
      </c>
    </row>
    <row r="1328">
      <c r="A1328" s="28">
        <v>45364.0</v>
      </c>
      <c r="B1328" s="29">
        <f t="shared" si="1"/>
        <v>11</v>
      </c>
      <c r="C1328" s="2" t="s">
        <v>86</v>
      </c>
    </row>
    <row r="1329">
      <c r="A1329" s="28">
        <v>45364.0</v>
      </c>
      <c r="B1329" s="29">
        <f t="shared" si="1"/>
        <v>11</v>
      </c>
      <c r="C1329" s="2" t="s">
        <v>87</v>
      </c>
    </row>
    <row r="1330">
      <c r="A1330" s="28">
        <v>45364.0</v>
      </c>
      <c r="B1330" s="29">
        <f t="shared" si="1"/>
        <v>11</v>
      </c>
      <c r="C1330" s="2" t="s">
        <v>88</v>
      </c>
      <c r="D1330" s="2">
        <v>788.0</v>
      </c>
    </row>
    <row r="1331">
      <c r="A1331" s="28">
        <v>45364.0</v>
      </c>
      <c r="B1331" s="29">
        <f t="shared" si="1"/>
        <v>11</v>
      </c>
      <c r="C1331" s="2" t="s">
        <v>89</v>
      </c>
      <c r="D1331" s="2">
        <v>277.0</v>
      </c>
    </row>
    <row r="1332">
      <c r="A1332" s="28">
        <v>45364.0</v>
      </c>
      <c r="B1332" s="29">
        <f t="shared" si="1"/>
        <v>11</v>
      </c>
      <c r="C1332" s="2" t="s">
        <v>90</v>
      </c>
      <c r="D1332" s="2">
        <v>114.0</v>
      </c>
    </row>
    <row r="1333">
      <c r="A1333" s="28">
        <v>45364.0</v>
      </c>
      <c r="B1333" s="29">
        <f t="shared" si="1"/>
        <v>11</v>
      </c>
      <c r="C1333" s="2" t="s">
        <v>91</v>
      </c>
    </row>
    <row r="1334">
      <c r="A1334" s="28">
        <v>45364.0</v>
      </c>
      <c r="B1334" s="29">
        <f t="shared" si="1"/>
        <v>11</v>
      </c>
      <c r="C1334" s="2" t="s">
        <v>92</v>
      </c>
    </row>
    <row r="1335">
      <c r="A1335" s="28">
        <v>45364.0</v>
      </c>
      <c r="B1335" s="29">
        <f t="shared" si="1"/>
        <v>11</v>
      </c>
      <c r="C1335" s="2" t="s">
        <v>93</v>
      </c>
    </row>
    <row r="1336">
      <c r="A1336" s="28">
        <v>45364.0</v>
      </c>
      <c r="B1336" s="29">
        <f t="shared" si="1"/>
        <v>11</v>
      </c>
      <c r="C1336" s="2" t="s">
        <v>94</v>
      </c>
    </row>
    <row r="1337">
      <c r="A1337" s="28">
        <v>45364.0</v>
      </c>
      <c r="B1337" s="29">
        <f t="shared" si="1"/>
        <v>11</v>
      </c>
      <c r="C1337" s="2" t="s">
        <v>95</v>
      </c>
    </row>
    <row r="1338">
      <c r="A1338" s="28">
        <v>45364.0</v>
      </c>
      <c r="B1338" s="29">
        <f t="shared" si="1"/>
        <v>11</v>
      </c>
      <c r="C1338" s="2" t="s">
        <v>96</v>
      </c>
      <c r="D1338" s="2">
        <v>0.0</v>
      </c>
    </row>
    <row r="1339">
      <c r="A1339" s="28">
        <v>45364.0</v>
      </c>
      <c r="B1339" s="29">
        <f t="shared" si="1"/>
        <v>11</v>
      </c>
      <c r="C1339" s="2" t="s">
        <v>97</v>
      </c>
      <c r="D1339" s="2">
        <v>1734.0</v>
      </c>
    </row>
    <row r="1340">
      <c r="A1340" s="28">
        <v>45364.0</v>
      </c>
      <c r="B1340" s="29">
        <f t="shared" si="1"/>
        <v>11</v>
      </c>
      <c r="C1340" s="2" t="s">
        <v>98</v>
      </c>
    </row>
    <row r="1341">
      <c r="A1341" s="28">
        <v>45364.0</v>
      </c>
      <c r="B1341" s="29">
        <f t="shared" si="1"/>
        <v>11</v>
      </c>
      <c r="C1341" s="2" t="s">
        <v>99</v>
      </c>
    </row>
    <row r="1342">
      <c r="A1342" s="28">
        <v>45364.0</v>
      </c>
      <c r="B1342" s="29">
        <f t="shared" si="1"/>
        <v>11</v>
      </c>
      <c r="C1342" s="2" t="s">
        <v>100</v>
      </c>
    </row>
    <row r="1343">
      <c r="A1343" s="28">
        <v>45371.0</v>
      </c>
      <c r="B1343" s="29">
        <f t="shared" si="1"/>
        <v>12</v>
      </c>
      <c r="C1343" s="2" t="s">
        <v>101</v>
      </c>
      <c r="D1343" s="2">
        <v>11315.0</v>
      </c>
    </row>
    <row r="1344">
      <c r="A1344" s="28">
        <v>45371.0</v>
      </c>
      <c r="B1344" s="29">
        <f t="shared" si="1"/>
        <v>12</v>
      </c>
      <c r="C1344" s="2" t="s">
        <v>80</v>
      </c>
      <c r="D1344" s="2">
        <v>795.0</v>
      </c>
    </row>
    <row r="1345">
      <c r="A1345" s="28">
        <v>45371.0</v>
      </c>
      <c r="B1345" s="29">
        <f t="shared" si="1"/>
        <v>12</v>
      </c>
      <c r="C1345" s="2" t="s">
        <v>81</v>
      </c>
    </row>
    <row r="1346">
      <c r="A1346" s="28">
        <v>45371.0</v>
      </c>
      <c r="B1346" s="29">
        <f t="shared" si="1"/>
        <v>12</v>
      </c>
      <c r="C1346" s="2" t="s">
        <v>82</v>
      </c>
    </row>
    <row r="1347">
      <c r="A1347" s="28">
        <v>45371.0</v>
      </c>
      <c r="B1347" s="29">
        <f t="shared" si="1"/>
        <v>12</v>
      </c>
      <c r="C1347" s="2" t="s">
        <v>83</v>
      </c>
      <c r="D1347" s="2">
        <v>1672.0</v>
      </c>
    </row>
    <row r="1348">
      <c r="A1348" s="28">
        <v>45371.0</v>
      </c>
      <c r="B1348" s="29">
        <f t="shared" si="1"/>
        <v>12</v>
      </c>
      <c r="C1348" s="2" t="s">
        <v>84</v>
      </c>
      <c r="D1348" s="2">
        <v>1845.0</v>
      </c>
    </row>
    <row r="1349">
      <c r="A1349" s="28">
        <v>45371.0</v>
      </c>
      <c r="B1349" s="29">
        <f t="shared" si="1"/>
        <v>12</v>
      </c>
      <c r="C1349" s="2" t="s">
        <v>85</v>
      </c>
      <c r="D1349" s="2">
        <v>82.0</v>
      </c>
    </row>
    <row r="1350">
      <c r="A1350" s="28">
        <v>45371.0</v>
      </c>
      <c r="B1350" s="29">
        <f t="shared" si="1"/>
        <v>12</v>
      </c>
      <c r="C1350" s="2" t="s">
        <v>86</v>
      </c>
    </row>
    <row r="1351">
      <c r="A1351" s="28">
        <v>45371.0</v>
      </c>
      <c r="B1351" s="29">
        <f t="shared" si="1"/>
        <v>12</v>
      </c>
      <c r="C1351" s="2" t="s">
        <v>87</v>
      </c>
    </row>
    <row r="1352">
      <c r="A1352" s="28">
        <v>45371.0</v>
      </c>
      <c r="B1352" s="29">
        <f t="shared" si="1"/>
        <v>12</v>
      </c>
      <c r="C1352" s="2" t="s">
        <v>88</v>
      </c>
      <c r="D1352" s="2">
        <v>736.0</v>
      </c>
    </row>
    <row r="1353">
      <c r="A1353" s="28">
        <v>45371.0</v>
      </c>
      <c r="B1353" s="29">
        <f t="shared" si="1"/>
        <v>12</v>
      </c>
      <c r="C1353" s="2" t="s">
        <v>89</v>
      </c>
      <c r="D1353" s="2">
        <v>941.0</v>
      </c>
    </row>
    <row r="1354">
      <c r="A1354" s="28">
        <v>45371.0</v>
      </c>
      <c r="B1354" s="29">
        <f t="shared" si="1"/>
        <v>12</v>
      </c>
      <c r="C1354" s="2" t="s">
        <v>90</v>
      </c>
      <c r="D1354" s="2">
        <v>0.0</v>
      </c>
    </row>
    <row r="1355">
      <c r="A1355" s="28">
        <v>45371.0</v>
      </c>
      <c r="B1355" s="29">
        <f t="shared" si="1"/>
        <v>12</v>
      </c>
      <c r="C1355" s="2" t="s">
        <v>91</v>
      </c>
    </row>
    <row r="1356">
      <c r="A1356" s="28">
        <v>45371.0</v>
      </c>
      <c r="B1356" s="29">
        <f t="shared" si="1"/>
        <v>12</v>
      </c>
      <c r="C1356" s="2" t="s">
        <v>92</v>
      </c>
    </row>
    <row r="1357">
      <c r="A1357" s="28">
        <v>45371.0</v>
      </c>
      <c r="B1357" s="29">
        <f t="shared" si="1"/>
        <v>12</v>
      </c>
      <c r="C1357" s="2" t="s">
        <v>93</v>
      </c>
    </row>
    <row r="1358">
      <c r="A1358" s="28">
        <v>45371.0</v>
      </c>
      <c r="B1358" s="29">
        <f t="shared" si="1"/>
        <v>12</v>
      </c>
      <c r="C1358" s="2" t="s">
        <v>94</v>
      </c>
    </row>
    <row r="1359">
      <c r="A1359" s="28">
        <v>45371.0</v>
      </c>
      <c r="B1359" s="29">
        <f t="shared" si="1"/>
        <v>12</v>
      </c>
      <c r="C1359" s="2" t="s">
        <v>95</v>
      </c>
    </row>
    <row r="1360">
      <c r="A1360" s="28">
        <v>45371.0</v>
      </c>
      <c r="B1360" s="29">
        <f t="shared" si="1"/>
        <v>12</v>
      </c>
      <c r="C1360" s="2" t="s">
        <v>96</v>
      </c>
      <c r="D1360" s="2">
        <v>473.0</v>
      </c>
    </row>
    <row r="1361">
      <c r="A1361" s="28">
        <v>45371.0</v>
      </c>
      <c r="B1361" s="29">
        <f t="shared" si="1"/>
        <v>12</v>
      </c>
      <c r="C1361" s="2" t="s">
        <v>97</v>
      </c>
      <c r="D1361" s="2">
        <v>4771.0</v>
      </c>
    </row>
    <row r="1362">
      <c r="A1362" s="28">
        <v>45371.0</v>
      </c>
      <c r="B1362" s="29">
        <f t="shared" si="1"/>
        <v>12</v>
      </c>
      <c r="C1362" s="2" t="s">
        <v>98</v>
      </c>
    </row>
    <row r="1363">
      <c r="A1363" s="28">
        <v>45371.0</v>
      </c>
      <c r="B1363" s="29">
        <f t="shared" si="1"/>
        <v>12</v>
      </c>
      <c r="C1363" s="2" t="s">
        <v>99</v>
      </c>
    </row>
    <row r="1364">
      <c r="A1364" s="28">
        <v>45371.0</v>
      </c>
      <c r="B1364" s="29">
        <f t="shared" si="1"/>
        <v>12</v>
      </c>
      <c r="C1364" s="2" t="s">
        <v>100</v>
      </c>
    </row>
    <row r="1365">
      <c r="A1365" s="28">
        <v>45385.0</v>
      </c>
      <c r="B1365" s="29">
        <f t="shared" si="1"/>
        <v>14</v>
      </c>
      <c r="C1365" s="2" t="s">
        <v>101</v>
      </c>
      <c r="D1365" s="2">
        <v>5407.0</v>
      </c>
    </row>
    <row r="1366">
      <c r="A1366" s="28">
        <v>45385.0</v>
      </c>
      <c r="B1366" s="29">
        <f t="shared" si="1"/>
        <v>14</v>
      </c>
      <c r="C1366" s="2" t="s">
        <v>80</v>
      </c>
      <c r="D1366" s="2">
        <v>757.0</v>
      </c>
    </row>
    <row r="1367">
      <c r="A1367" s="28">
        <v>45385.0</v>
      </c>
      <c r="B1367" s="29">
        <f t="shared" si="1"/>
        <v>14</v>
      </c>
      <c r="C1367" s="2" t="s">
        <v>81</v>
      </c>
    </row>
    <row r="1368">
      <c r="A1368" s="28">
        <v>45385.0</v>
      </c>
      <c r="B1368" s="29">
        <f t="shared" si="1"/>
        <v>14</v>
      </c>
      <c r="C1368" s="2" t="s">
        <v>82</v>
      </c>
    </row>
    <row r="1369">
      <c r="A1369" s="28">
        <v>45385.0</v>
      </c>
      <c r="B1369" s="29">
        <f t="shared" si="1"/>
        <v>14</v>
      </c>
      <c r="C1369" s="2" t="s">
        <v>83</v>
      </c>
      <c r="D1369" s="2">
        <v>2160.0</v>
      </c>
    </row>
    <row r="1370">
      <c r="A1370" s="28">
        <v>45385.0</v>
      </c>
      <c r="B1370" s="29">
        <f t="shared" si="1"/>
        <v>14</v>
      </c>
      <c r="C1370" s="2" t="s">
        <v>84</v>
      </c>
      <c r="D1370" s="2">
        <v>1629.0</v>
      </c>
    </row>
    <row r="1371">
      <c r="A1371" s="28">
        <v>45385.0</v>
      </c>
      <c r="B1371" s="29">
        <f t="shared" si="1"/>
        <v>14</v>
      </c>
      <c r="C1371" s="2" t="s">
        <v>85</v>
      </c>
      <c r="D1371" s="2">
        <v>0.0</v>
      </c>
    </row>
    <row r="1372">
      <c r="A1372" s="28">
        <v>45385.0</v>
      </c>
      <c r="B1372" s="29">
        <f t="shared" si="1"/>
        <v>14</v>
      </c>
      <c r="C1372" s="2" t="s">
        <v>86</v>
      </c>
    </row>
    <row r="1373">
      <c r="A1373" s="28">
        <v>45385.0</v>
      </c>
      <c r="B1373" s="29">
        <f t="shared" si="1"/>
        <v>14</v>
      </c>
      <c r="C1373" s="2" t="s">
        <v>87</v>
      </c>
    </row>
    <row r="1374">
      <c r="A1374" s="28">
        <v>45385.0</v>
      </c>
      <c r="B1374" s="29">
        <f t="shared" si="1"/>
        <v>14</v>
      </c>
      <c r="C1374" s="2" t="s">
        <v>88</v>
      </c>
      <c r="D1374" s="2">
        <v>179.0</v>
      </c>
    </row>
    <row r="1375">
      <c r="A1375" s="28">
        <v>45385.0</v>
      </c>
      <c r="B1375" s="29">
        <f t="shared" si="1"/>
        <v>14</v>
      </c>
      <c r="C1375" s="2" t="s">
        <v>89</v>
      </c>
      <c r="D1375" s="2">
        <v>482.0</v>
      </c>
    </row>
    <row r="1376">
      <c r="A1376" s="28">
        <v>45385.0</v>
      </c>
      <c r="B1376" s="29">
        <f t="shared" si="1"/>
        <v>14</v>
      </c>
      <c r="C1376" s="2" t="s">
        <v>90</v>
      </c>
      <c r="D1376" s="2">
        <v>0.0</v>
      </c>
    </row>
    <row r="1377">
      <c r="A1377" s="28">
        <v>45385.0</v>
      </c>
      <c r="B1377" s="29">
        <f t="shared" si="1"/>
        <v>14</v>
      </c>
      <c r="C1377" s="2" t="s">
        <v>91</v>
      </c>
    </row>
    <row r="1378">
      <c r="A1378" s="28">
        <v>45385.0</v>
      </c>
      <c r="B1378" s="29">
        <f t="shared" si="1"/>
        <v>14</v>
      </c>
      <c r="C1378" s="2" t="s">
        <v>92</v>
      </c>
    </row>
    <row r="1379">
      <c r="A1379" s="28">
        <v>45385.0</v>
      </c>
      <c r="B1379" s="29">
        <f t="shared" si="1"/>
        <v>14</v>
      </c>
      <c r="C1379" s="2" t="s">
        <v>93</v>
      </c>
    </row>
    <row r="1380">
      <c r="A1380" s="28">
        <v>45385.0</v>
      </c>
      <c r="B1380" s="29">
        <f t="shared" si="1"/>
        <v>14</v>
      </c>
      <c r="C1380" s="2" t="s">
        <v>94</v>
      </c>
    </row>
    <row r="1381">
      <c r="A1381" s="28">
        <v>45385.0</v>
      </c>
      <c r="B1381" s="29">
        <f t="shared" si="1"/>
        <v>14</v>
      </c>
      <c r="C1381" s="2" t="s">
        <v>95</v>
      </c>
    </row>
    <row r="1382">
      <c r="A1382" s="28">
        <v>45385.0</v>
      </c>
      <c r="B1382" s="29">
        <f t="shared" si="1"/>
        <v>14</v>
      </c>
      <c r="C1382" s="2" t="s">
        <v>96</v>
      </c>
      <c r="D1382" s="2">
        <v>0.0</v>
      </c>
    </row>
    <row r="1383">
      <c r="A1383" s="28">
        <v>45385.0</v>
      </c>
      <c r="B1383" s="29">
        <f t="shared" si="1"/>
        <v>14</v>
      </c>
      <c r="C1383" s="2" t="s">
        <v>97</v>
      </c>
      <c r="D1383" s="2">
        <v>200.0</v>
      </c>
    </row>
    <row r="1384">
      <c r="A1384" s="28">
        <v>45385.0</v>
      </c>
      <c r="B1384" s="29">
        <f t="shared" si="1"/>
        <v>14</v>
      </c>
      <c r="C1384" s="2" t="s">
        <v>98</v>
      </c>
    </row>
    <row r="1385">
      <c r="A1385" s="28">
        <v>45385.0</v>
      </c>
      <c r="B1385" s="29">
        <f t="shared" si="1"/>
        <v>14</v>
      </c>
      <c r="C1385" s="2" t="s">
        <v>99</v>
      </c>
    </row>
    <row r="1386">
      <c r="A1386" s="28">
        <v>45385.0</v>
      </c>
      <c r="B1386" s="29">
        <f t="shared" si="1"/>
        <v>14</v>
      </c>
      <c r="C1386" s="2" t="s">
        <v>100</v>
      </c>
    </row>
    <row r="1387">
      <c r="A1387" s="28">
        <v>45392.0</v>
      </c>
      <c r="B1387" s="29">
        <f t="shared" si="1"/>
        <v>15</v>
      </c>
      <c r="C1387" s="2" t="s">
        <v>101</v>
      </c>
      <c r="D1387" s="2">
        <v>10859.0</v>
      </c>
    </row>
    <row r="1388">
      <c r="A1388" s="28">
        <v>45392.0</v>
      </c>
      <c r="B1388" s="29">
        <f t="shared" si="1"/>
        <v>15</v>
      </c>
      <c r="C1388" s="2" t="s">
        <v>80</v>
      </c>
      <c r="D1388" s="2">
        <v>954.0</v>
      </c>
    </row>
    <row r="1389">
      <c r="A1389" s="28">
        <v>45392.0</v>
      </c>
      <c r="B1389" s="29">
        <f t="shared" si="1"/>
        <v>15</v>
      </c>
      <c r="C1389" s="2" t="s">
        <v>81</v>
      </c>
    </row>
    <row r="1390">
      <c r="A1390" s="28">
        <v>45392.0</v>
      </c>
      <c r="B1390" s="29">
        <f t="shared" si="1"/>
        <v>15</v>
      </c>
      <c r="C1390" s="2" t="s">
        <v>82</v>
      </c>
    </row>
    <row r="1391">
      <c r="A1391" s="28">
        <v>45392.0</v>
      </c>
      <c r="B1391" s="29">
        <f t="shared" si="1"/>
        <v>15</v>
      </c>
      <c r="C1391" s="2" t="s">
        <v>83</v>
      </c>
      <c r="D1391" s="2">
        <v>1588.0</v>
      </c>
    </row>
    <row r="1392">
      <c r="A1392" s="28">
        <v>45392.0</v>
      </c>
      <c r="B1392" s="29">
        <f t="shared" si="1"/>
        <v>15</v>
      </c>
      <c r="C1392" s="2" t="s">
        <v>84</v>
      </c>
      <c r="D1392" s="2">
        <v>0.0</v>
      </c>
    </row>
    <row r="1393">
      <c r="A1393" s="28">
        <v>45392.0</v>
      </c>
      <c r="B1393" s="29">
        <f t="shared" si="1"/>
        <v>15</v>
      </c>
      <c r="C1393" s="2" t="s">
        <v>85</v>
      </c>
      <c r="D1393" s="2">
        <v>102.0</v>
      </c>
    </row>
    <row r="1394">
      <c r="A1394" s="28">
        <v>45392.0</v>
      </c>
      <c r="B1394" s="29">
        <f t="shared" si="1"/>
        <v>15</v>
      </c>
      <c r="C1394" s="2" t="s">
        <v>86</v>
      </c>
    </row>
    <row r="1395">
      <c r="A1395" s="28">
        <v>45392.0</v>
      </c>
      <c r="B1395" s="29">
        <f t="shared" si="1"/>
        <v>15</v>
      </c>
      <c r="C1395" s="2" t="s">
        <v>87</v>
      </c>
    </row>
    <row r="1396">
      <c r="A1396" s="28">
        <v>45392.0</v>
      </c>
      <c r="B1396" s="29">
        <f t="shared" si="1"/>
        <v>15</v>
      </c>
      <c r="C1396" s="2" t="s">
        <v>88</v>
      </c>
      <c r="D1396" s="2">
        <v>1038.0</v>
      </c>
    </row>
    <row r="1397">
      <c r="A1397" s="28">
        <v>45392.0</v>
      </c>
      <c r="B1397" s="29">
        <f t="shared" si="1"/>
        <v>15</v>
      </c>
      <c r="C1397" s="2" t="s">
        <v>89</v>
      </c>
      <c r="D1397" s="2">
        <v>2640.0</v>
      </c>
    </row>
    <row r="1398">
      <c r="A1398" s="28">
        <v>45392.0</v>
      </c>
      <c r="B1398" s="29">
        <f t="shared" si="1"/>
        <v>15</v>
      </c>
      <c r="C1398" s="2" t="s">
        <v>90</v>
      </c>
      <c r="D1398" s="2">
        <v>0.0</v>
      </c>
    </row>
    <row r="1399">
      <c r="A1399" s="28">
        <v>45392.0</v>
      </c>
      <c r="B1399" s="29">
        <f t="shared" si="1"/>
        <v>15</v>
      </c>
      <c r="C1399" s="2" t="s">
        <v>91</v>
      </c>
    </row>
    <row r="1400">
      <c r="A1400" s="28">
        <v>45392.0</v>
      </c>
      <c r="B1400" s="29">
        <f t="shared" si="1"/>
        <v>15</v>
      </c>
      <c r="C1400" s="2" t="s">
        <v>92</v>
      </c>
    </row>
    <row r="1401">
      <c r="A1401" s="28">
        <v>45392.0</v>
      </c>
      <c r="B1401" s="29">
        <f t="shared" si="1"/>
        <v>15</v>
      </c>
      <c r="C1401" s="2" t="s">
        <v>93</v>
      </c>
    </row>
    <row r="1402">
      <c r="A1402" s="28">
        <v>45392.0</v>
      </c>
      <c r="B1402" s="29">
        <f t="shared" si="1"/>
        <v>15</v>
      </c>
      <c r="C1402" s="2" t="s">
        <v>94</v>
      </c>
    </row>
    <row r="1403">
      <c r="A1403" s="28">
        <v>45392.0</v>
      </c>
      <c r="B1403" s="29">
        <f t="shared" si="1"/>
        <v>15</v>
      </c>
      <c r="C1403" s="2" t="s">
        <v>95</v>
      </c>
    </row>
    <row r="1404">
      <c r="A1404" s="28">
        <v>45392.0</v>
      </c>
      <c r="B1404" s="29">
        <f t="shared" si="1"/>
        <v>15</v>
      </c>
      <c r="C1404" s="2" t="s">
        <v>96</v>
      </c>
      <c r="D1404" s="2">
        <v>250.0</v>
      </c>
    </row>
    <row r="1405">
      <c r="A1405" s="28">
        <v>45392.0</v>
      </c>
      <c r="B1405" s="29">
        <f t="shared" si="1"/>
        <v>15</v>
      </c>
      <c r="C1405" s="2" t="s">
        <v>97</v>
      </c>
      <c r="D1405" s="2">
        <v>4287.0</v>
      </c>
    </row>
    <row r="1406">
      <c r="A1406" s="28">
        <v>45392.0</v>
      </c>
      <c r="B1406" s="29">
        <f t="shared" si="1"/>
        <v>15</v>
      </c>
      <c r="C1406" s="2" t="s">
        <v>98</v>
      </c>
    </row>
    <row r="1407">
      <c r="A1407" s="28">
        <v>45392.0</v>
      </c>
      <c r="B1407" s="29">
        <f t="shared" si="1"/>
        <v>15</v>
      </c>
      <c r="C1407" s="2" t="s">
        <v>99</v>
      </c>
    </row>
    <row r="1408">
      <c r="A1408" s="28">
        <v>45392.0</v>
      </c>
      <c r="B1408" s="29">
        <f t="shared" si="1"/>
        <v>15</v>
      </c>
      <c r="C1408" s="2" t="s">
        <v>100</v>
      </c>
    </row>
    <row r="1409">
      <c r="A1409" s="28">
        <v>45399.0</v>
      </c>
      <c r="B1409" s="29">
        <f t="shared" si="1"/>
        <v>16</v>
      </c>
      <c r="C1409" s="2" t="s">
        <v>101</v>
      </c>
      <c r="D1409" s="2">
        <v>10276.0</v>
      </c>
    </row>
    <row r="1410">
      <c r="A1410" s="28">
        <v>45399.0</v>
      </c>
      <c r="B1410" s="29">
        <f t="shared" si="1"/>
        <v>16</v>
      </c>
      <c r="C1410" s="2" t="s">
        <v>80</v>
      </c>
      <c r="D1410" s="2">
        <v>1229.0</v>
      </c>
    </row>
    <row r="1411">
      <c r="A1411" s="28">
        <v>45399.0</v>
      </c>
      <c r="B1411" s="29">
        <f t="shared" si="1"/>
        <v>16</v>
      </c>
      <c r="C1411" s="2" t="s">
        <v>81</v>
      </c>
    </row>
    <row r="1412">
      <c r="A1412" s="28">
        <v>45399.0</v>
      </c>
      <c r="B1412" s="29">
        <f t="shared" si="1"/>
        <v>16</v>
      </c>
      <c r="C1412" s="2" t="s">
        <v>82</v>
      </c>
    </row>
    <row r="1413">
      <c r="A1413" s="28">
        <v>45399.0</v>
      </c>
      <c r="B1413" s="29">
        <f t="shared" si="1"/>
        <v>16</v>
      </c>
      <c r="C1413" s="2" t="s">
        <v>83</v>
      </c>
      <c r="D1413" s="2">
        <v>2750.0</v>
      </c>
    </row>
    <row r="1414">
      <c r="A1414" s="28">
        <v>45399.0</v>
      </c>
      <c r="B1414" s="29">
        <f t="shared" si="1"/>
        <v>16</v>
      </c>
      <c r="C1414" s="2" t="s">
        <v>84</v>
      </c>
      <c r="D1414" s="2">
        <v>968.0</v>
      </c>
    </row>
    <row r="1415">
      <c r="A1415" s="28">
        <v>45399.0</v>
      </c>
      <c r="B1415" s="29">
        <f t="shared" si="1"/>
        <v>16</v>
      </c>
      <c r="C1415" s="2" t="s">
        <v>85</v>
      </c>
      <c r="D1415" s="2">
        <v>0.0</v>
      </c>
    </row>
    <row r="1416">
      <c r="A1416" s="28">
        <v>45399.0</v>
      </c>
      <c r="B1416" s="29">
        <f t="shared" si="1"/>
        <v>16</v>
      </c>
      <c r="C1416" s="2" t="s">
        <v>86</v>
      </c>
    </row>
    <row r="1417">
      <c r="A1417" s="28">
        <v>45399.0</v>
      </c>
      <c r="B1417" s="29">
        <f t="shared" si="1"/>
        <v>16</v>
      </c>
      <c r="C1417" s="2" t="s">
        <v>87</v>
      </c>
    </row>
    <row r="1418">
      <c r="A1418" s="28">
        <v>45399.0</v>
      </c>
      <c r="B1418" s="29">
        <f t="shared" si="1"/>
        <v>16</v>
      </c>
      <c r="C1418" s="2" t="s">
        <v>88</v>
      </c>
      <c r="D1418" s="2">
        <v>609.0</v>
      </c>
    </row>
    <row r="1419">
      <c r="A1419" s="28">
        <v>45399.0</v>
      </c>
      <c r="B1419" s="29">
        <f t="shared" si="1"/>
        <v>16</v>
      </c>
      <c r="C1419" s="2" t="s">
        <v>89</v>
      </c>
      <c r="D1419" s="2">
        <v>2668.0</v>
      </c>
    </row>
    <row r="1420">
      <c r="A1420" s="28">
        <v>45399.0</v>
      </c>
      <c r="B1420" s="29">
        <f t="shared" si="1"/>
        <v>16</v>
      </c>
      <c r="C1420" s="2" t="s">
        <v>90</v>
      </c>
      <c r="D1420" s="2">
        <v>0.0</v>
      </c>
    </row>
    <row r="1421">
      <c r="A1421" s="28">
        <v>45399.0</v>
      </c>
      <c r="B1421" s="29">
        <f t="shared" si="1"/>
        <v>16</v>
      </c>
      <c r="C1421" s="2" t="s">
        <v>91</v>
      </c>
    </row>
    <row r="1422">
      <c r="A1422" s="28">
        <v>45399.0</v>
      </c>
      <c r="B1422" s="29">
        <f t="shared" si="1"/>
        <v>16</v>
      </c>
      <c r="C1422" s="2" t="s">
        <v>92</v>
      </c>
    </row>
    <row r="1423">
      <c r="A1423" s="28">
        <v>45399.0</v>
      </c>
      <c r="B1423" s="29">
        <f t="shared" si="1"/>
        <v>16</v>
      </c>
      <c r="C1423" s="2" t="s">
        <v>93</v>
      </c>
    </row>
    <row r="1424">
      <c r="A1424" s="28">
        <v>45399.0</v>
      </c>
      <c r="B1424" s="29">
        <f t="shared" si="1"/>
        <v>16</v>
      </c>
      <c r="C1424" s="2" t="s">
        <v>94</v>
      </c>
    </row>
    <row r="1425">
      <c r="A1425" s="28">
        <v>45399.0</v>
      </c>
      <c r="B1425" s="29">
        <f t="shared" si="1"/>
        <v>16</v>
      </c>
      <c r="C1425" s="2" t="s">
        <v>95</v>
      </c>
    </row>
    <row r="1426">
      <c r="A1426" s="28">
        <v>45399.0</v>
      </c>
      <c r="B1426" s="29">
        <f t="shared" si="1"/>
        <v>16</v>
      </c>
      <c r="C1426" s="2" t="s">
        <v>96</v>
      </c>
      <c r="D1426" s="2">
        <v>0.0</v>
      </c>
    </row>
    <row r="1427">
      <c r="A1427" s="28">
        <v>45399.0</v>
      </c>
      <c r="B1427" s="29">
        <f t="shared" si="1"/>
        <v>16</v>
      </c>
      <c r="C1427" s="2" t="s">
        <v>97</v>
      </c>
      <c r="D1427" s="2">
        <v>2052.0</v>
      </c>
    </row>
    <row r="1428">
      <c r="A1428" s="28">
        <v>45399.0</v>
      </c>
      <c r="B1428" s="29">
        <f t="shared" si="1"/>
        <v>16</v>
      </c>
      <c r="C1428" s="2" t="s">
        <v>98</v>
      </c>
    </row>
    <row r="1429">
      <c r="A1429" s="28">
        <v>45399.0</v>
      </c>
      <c r="B1429" s="29">
        <f t="shared" si="1"/>
        <v>16</v>
      </c>
      <c r="C1429" s="2" t="s">
        <v>99</v>
      </c>
    </row>
    <row r="1430">
      <c r="A1430" s="28">
        <v>45399.0</v>
      </c>
      <c r="B1430" s="29">
        <f t="shared" si="1"/>
        <v>16</v>
      </c>
      <c r="C1430" s="2" t="s">
        <v>100</v>
      </c>
    </row>
    <row r="1431">
      <c r="A1431" s="28">
        <v>45413.0</v>
      </c>
      <c r="B1431" s="29">
        <f t="shared" si="1"/>
        <v>18</v>
      </c>
      <c r="C1431" s="2" t="s">
        <v>101</v>
      </c>
      <c r="D1431" s="2">
        <v>10026.0</v>
      </c>
    </row>
    <row r="1432">
      <c r="A1432" s="28">
        <v>45413.0</v>
      </c>
      <c r="B1432" s="29">
        <f t="shared" si="1"/>
        <v>18</v>
      </c>
      <c r="C1432" s="2" t="s">
        <v>80</v>
      </c>
      <c r="D1432" s="2">
        <v>1057.0</v>
      </c>
    </row>
    <row r="1433">
      <c r="A1433" s="28">
        <v>45413.0</v>
      </c>
      <c r="B1433" s="29">
        <f t="shared" si="1"/>
        <v>18</v>
      </c>
      <c r="C1433" s="2" t="s">
        <v>81</v>
      </c>
    </row>
    <row r="1434">
      <c r="A1434" s="28">
        <v>45413.0</v>
      </c>
      <c r="B1434" s="29">
        <f t="shared" si="1"/>
        <v>18</v>
      </c>
      <c r="C1434" s="2" t="s">
        <v>82</v>
      </c>
    </row>
    <row r="1435">
      <c r="A1435" s="28">
        <v>45413.0</v>
      </c>
      <c r="B1435" s="29">
        <f t="shared" si="1"/>
        <v>18</v>
      </c>
      <c r="C1435" s="2" t="s">
        <v>83</v>
      </c>
      <c r="D1435" s="2">
        <v>2174.0</v>
      </c>
    </row>
    <row r="1436">
      <c r="A1436" s="28">
        <v>45413.0</v>
      </c>
      <c r="B1436" s="29">
        <f t="shared" si="1"/>
        <v>18</v>
      </c>
      <c r="C1436" s="2" t="s">
        <v>84</v>
      </c>
      <c r="D1436" s="2">
        <v>1777.0</v>
      </c>
    </row>
    <row r="1437">
      <c r="A1437" s="28">
        <v>45413.0</v>
      </c>
      <c r="B1437" s="29">
        <f t="shared" si="1"/>
        <v>18</v>
      </c>
      <c r="C1437" s="2" t="s">
        <v>85</v>
      </c>
      <c r="D1437" s="2">
        <v>112.0</v>
      </c>
    </row>
    <row r="1438">
      <c r="A1438" s="28">
        <v>45413.0</v>
      </c>
      <c r="B1438" s="29">
        <f t="shared" si="1"/>
        <v>18</v>
      </c>
      <c r="C1438" s="2" t="s">
        <v>86</v>
      </c>
    </row>
    <row r="1439">
      <c r="A1439" s="28">
        <v>45413.0</v>
      </c>
      <c r="B1439" s="29">
        <f t="shared" si="1"/>
        <v>18</v>
      </c>
      <c r="C1439" s="2" t="s">
        <v>87</v>
      </c>
    </row>
    <row r="1440">
      <c r="A1440" s="28">
        <v>45413.0</v>
      </c>
      <c r="B1440" s="29">
        <f t="shared" si="1"/>
        <v>18</v>
      </c>
      <c r="C1440" s="2" t="s">
        <v>88</v>
      </c>
      <c r="D1440" s="2">
        <v>1282.0</v>
      </c>
    </row>
    <row r="1441">
      <c r="A1441" s="28">
        <v>45413.0</v>
      </c>
      <c r="B1441" s="29">
        <f t="shared" si="1"/>
        <v>18</v>
      </c>
      <c r="C1441" s="2" t="s">
        <v>89</v>
      </c>
      <c r="D1441" s="2">
        <v>968.0</v>
      </c>
    </row>
    <row r="1442">
      <c r="A1442" s="28">
        <v>45413.0</v>
      </c>
      <c r="B1442" s="29">
        <f t="shared" si="1"/>
        <v>18</v>
      </c>
      <c r="C1442" s="2" t="s">
        <v>90</v>
      </c>
      <c r="D1442" s="2">
        <v>0.0</v>
      </c>
    </row>
    <row r="1443">
      <c r="A1443" s="28">
        <v>45413.0</v>
      </c>
      <c r="B1443" s="29">
        <f t="shared" si="1"/>
        <v>18</v>
      </c>
      <c r="C1443" s="2" t="s">
        <v>91</v>
      </c>
    </row>
    <row r="1444">
      <c r="A1444" s="28">
        <v>45413.0</v>
      </c>
      <c r="B1444" s="29">
        <f t="shared" si="1"/>
        <v>18</v>
      </c>
      <c r="C1444" s="2" t="s">
        <v>92</v>
      </c>
    </row>
    <row r="1445">
      <c r="A1445" s="28">
        <v>45413.0</v>
      </c>
      <c r="B1445" s="29">
        <f t="shared" si="1"/>
        <v>18</v>
      </c>
      <c r="C1445" s="2" t="s">
        <v>93</v>
      </c>
    </row>
    <row r="1446">
      <c r="A1446" s="28">
        <v>45413.0</v>
      </c>
      <c r="B1446" s="29">
        <f t="shared" si="1"/>
        <v>18</v>
      </c>
      <c r="C1446" s="2" t="s">
        <v>94</v>
      </c>
    </row>
    <row r="1447">
      <c r="A1447" s="28">
        <v>45413.0</v>
      </c>
      <c r="B1447" s="29">
        <f t="shared" si="1"/>
        <v>18</v>
      </c>
      <c r="C1447" s="2" t="s">
        <v>95</v>
      </c>
    </row>
    <row r="1448">
      <c r="A1448" s="28">
        <v>45413.0</v>
      </c>
      <c r="B1448" s="29">
        <f t="shared" si="1"/>
        <v>18</v>
      </c>
      <c r="C1448" s="2" t="s">
        <v>96</v>
      </c>
      <c r="D1448" s="2">
        <v>274.0</v>
      </c>
    </row>
    <row r="1449">
      <c r="A1449" s="28">
        <v>45413.0</v>
      </c>
      <c r="B1449" s="29">
        <f t="shared" si="1"/>
        <v>18</v>
      </c>
      <c r="C1449" s="2" t="s">
        <v>97</v>
      </c>
      <c r="D1449" s="2">
        <v>2382.0</v>
      </c>
    </row>
    <row r="1450">
      <c r="A1450" s="28">
        <v>45413.0</v>
      </c>
      <c r="B1450" s="29">
        <f t="shared" si="1"/>
        <v>18</v>
      </c>
      <c r="C1450" s="2" t="s">
        <v>98</v>
      </c>
    </row>
    <row r="1451">
      <c r="A1451" s="28">
        <v>45413.0</v>
      </c>
      <c r="B1451" s="29">
        <f t="shared" si="1"/>
        <v>18</v>
      </c>
      <c r="C1451" s="2" t="s">
        <v>99</v>
      </c>
    </row>
    <row r="1452">
      <c r="A1452" s="28">
        <v>45413.0</v>
      </c>
      <c r="B1452" s="29">
        <f t="shared" si="1"/>
        <v>18</v>
      </c>
      <c r="C1452" s="2" t="s">
        <v>100</v>
      </c>
    </row>
    <row r="1453">
      <c r="A1453" s="28">
        <v>45420.0</v>
      </c>
      <c r="B1453" s="29">
        <f t="shared" si="1"/>
        <v>19</v>
      </c>
      <c r="C1453" s="2" t="s">
        <v>101</v>
      </c>
      <c r="D1453" s="2">
        <v>7815.0</v>
      </c>
    </row>
    <row r="1454">
      <c r="A1454" s="28">
        <v>45420.0</v>
      </c>
      <c r="B1454" s="29">
        <f t="shared" si="1"/>
        <v>19</v>
      </c>
      <c r="C1454" s="2" t="s">
        <v>80</v>
      </c>
      <c r="D1454" s="2">
        <v>1405.0</v>
      </c>
    </row>
    <row r="1455">
      <c r="A1455" s="28">
        <v>45420.0</v>
      </c>
      <c r="B1455" s="29">
        <f t="shared" si="1"/>
        <v>19</v>
      </c>
      <c r="C1455" s="2" t="s">
        <v>81</v>
      </c>
    </row>
    <row r="1456">
      <c r="A1456" s="28">
        <v>45420.0</v>
      </c>
      <c r="B1456" s="29">
        <f t="shared" si="1"/>
        <v>19</v>
      </c>
      <c r="C1456" s="2" t="s">
        <v>82</v>
      </c>
    </row>
    <row r="1457">
      <c r="A1457" s="28">
        <v>45420.0</v>
      </c>
      <c r="B1457" s="29">
        <f t="shared" si="1"/>
        <v>19</v>
      </c>
      <c r="C1457" s="2" t="s">
        <v>83</v>
      </c>
      <c r="D1457" s="2">
        <v>1944.0</v>
      </c>
    </row>
    <row r="1458">
      <c r="A1458" s="28">
        <v>45420.0</v>
      </c>
      <c r="B1458" s="29">
        <f t="shared" si="1"/>
        <v>19</v>
      </c>
      <c r="C1458" s="2" t="s">
        <v>84</v>
      </c>
      <c r="D1458" s="2">
        <v>916.0</v>
      </c>
    </row>
    <row r="1459">
      <c r="A1459" s="28">
        <v>45420.0</v>
      </c>
      <c r="B1459" s="29">
        <f t="shared" si="1"/>
        <v>19</v>
      </c>
      <c r="C1459" s="2" t="s">
        <v>85</v>
      </c>
      <c r="D1459" s="2">
        <v>72.0</v>
      </c>
    </row>
    <row r="1460">
      <c r="A1460" s="28">
        <v>45420.0</v>
      </c>
      <c r="B1460" s="29">
        <f t="shared" si="1"/>
        <v>19</v>
      </c>
      <c r="C1460" s="2" t="s">
        <v>86</v>
      </c>
    </row>
    <row r="1461">
      <c r="A1461" s="28">
        <v>45420.0</v>
      </c>
      <c r="B1461" s="29">
        <f t="shared" si="1"/>
        <v>19</v>
      </c>
      <c r="C1461" s="2" t="s">
        <v>87</v>
      </c>
    </row>
    <row r="1462">
      <c r="A1462" s="28">
        <v>45420.0</v>
      </c>
      <c r="B1462" s="29">
        <f t="shared" si="1"/>
        <v>19</v>
      </c>
      <c r="C1462" s="2" t="s">
        <v>88</v>
      </c>
      <c r="D1462" s="2">
        <v>1168.0</v>
      </c>
    </row>
    <row r="1463">
      <c r="A1463" s="28">
        <v>45420.0</v>
      </c>
      <c r="B1463" s="29">
        <f t="shared" si="1"/>
        <v>19</v>
      </c>
      <c r="C1463" s="2" t="s">
        <v>89</v>
      </c>
      <c r="D1463" s="2">
        <v>507.0</v>
      </c>
    </row>
    <row r="1464">
      <c r="A1464" s="28">
        <v>45420.0</v>
      </c>
      <c r="B1464" s="29">
        <f t="shared" si="1"/>
        <v>19</v>
      </c>
      <c r="C1464" s="2" t="s">
        <v>90</v>
      </c>
      <c r="D1464" s="2">
        <v>0.0</v>
      </c>
    </row>
    <row r="1465">
      <c r="A1465" s="28">
        <v>45420.0</v>
      </c>
      <c r="B1465" s="29">
        <f t="shared" si="1"/>
        <v>19</v>
      </c>
      <c r="C1465" s="2" t="s">
        <v>91</v>
      </c>
    </row>
    <row r="1466">
      <c r="A1466" s="28">
        <v>45420.0</v>
      </c>
      <c r="B1466" s="29">
        <f t="shared" si="1"/>
        <v>19</v>
      </c>
      <c r="C1466" s="2" t="s">
        <v>92</v>
      </c>
    </row>
    <row r="1467">
      <c r="A1467" s="28">
        <v>45420.0</v>
      </c>
      <c r="B1467" s="29">
        <f t="shared" si="1"/>
        <v>19</v>
      </c>
      <c r="C1467" s="2" t="s">
        <v>93</v>
      </c>
    </row>
    <row r="1468">
      <c r="A1468" s="28">
        <v>45420.0</v>
      </c>
      <c r="B1468" s="29">
        <f t="shared" si="1"/>
        <v>19</v>
      </c>
      <c r="C1468" s="2" t="s">
        <v>94</v>
      </c>
    </row>
    <row r="1469">
      <c r="A1469" s="28">
        <v>45420.0</v>
      </c>
      <c r="B1469" s="29">
        <f t="shared" si="1"/>
        <v>19</v>
      </c>
      <c r="C1469" s="2" t="s">
        <v>95</v>
      </c>
    </row>
    <row r="1470">
      <c r="A1470" s="28">
        <v>45420.0</v>
      </c>
      <c r="B1470" s="29">
        <f t="shared" si="1"/>
        <v>19</v>
      </c>
      <c r="C1470" s="2" t="s">
        <v>96</v>
      </c>
      <c r="D1470" s="2">
        <v>244.0</v>
      </c>
    </row>
    <row r="1471">
      <c r="A1471" s="28">
        <v>45420.0</v>
      </c>
      <c r="B1471" s="29">
        <f t="shared" si="1"/>
        <v>19</v>
      </c>
      <c r="C1471" s="2" t="s">
        <v>97</v>
      </c>
      <c r="D1471" s="2">
        <v>1559.0</v>
      </c>
    </row>
    <row r="1472">
      <c r="A1472" s="28">
        <v>45420.0</v>
      </c>
      <c r="B1472" s="29">
        <f t="shared" si="1"/>
        <v>19</v>
      </c>
      <c r="C1472" s="2" t="s">
        <v>98</v>
      </c>
    </row>
    <row r="1473">
      <c r="A1473" s="28">
        <v>45420.0</v>
      </c>
      <c r="B1473" s="29">
        <f t="shared" si="1"/>
        <v>19</v>
      </c>
      <c r="C1473" s="2" t="s">
        <v>99</v>
      </c>
    </row>
    <row r="1474">
      <c r="A1474" s="28">
        <v>45420.0</v>
      </c>
      <c r="B1474" s="29">
        <f t="shared" si="1"/>
        <v>19</v>
      </c>
      <c r="C1474" s="2" t="s">
        <v>100</v>
      </c>
    </row>
    <row r="1475">
      <c r="A1475" s="28">
        <v>45427.0</v>
      </c>
      <c r="B1475" s="29">
        <f t="shared" si="1"/>
        <v>20</v>
      </c>
      <c r="C1475" s="2" t="s">
        <v>101</v>
      </c>
      <c r="D1475" s="2">
        <v>9254.0</v>
      </c>
    </row>
    <row r="1476">
      <c r="A1476" s="28">
        <v>45427.0</v>
      </c>
      <c r="B1476" s="29">
        <f t="shared" si="1"/>
        <v>20</v>
      </c>
      <c r="C1476" s="2" t="s">
        <v>80</v>
      </c>
      <c r="D1476" s="2">
        <v>1355.0</v>
      </c>
    </row>
    <row r="1477">
      <c r="A1477" s="28">
        <v>45427.0</v>
      </c>
      <c r="B1477" s="29">
        <f t="shared" si="1"/>
        <v>20</v>
      </c>
      <c r="C1477" s="2" t="s">
        <v>81</v>
      </c>
    </row>
    <row r="1478">
      <c r="A1478" s="28">
        <v>45427.0</v>
      </c>
      <c r="B1478" s="29">
        <f t="shared" si="1"/>
        <v>20</v>
      </c>
      <c r="C1478" s="2" t="s">
        <v>82</v>
      </c>
    </row>
    <row r="1479">
      <c r="A1479" s="28">
        <v>45427.0</v>
      </c>
      <c r="B1479" s="29">
        <f t="shared" si="1"/>
        <v>20</v>
      </c>
      <c r="C1479" s="2" t="s">
        <v>83</v>
      </c>
      <c r="D1479" s="2">
        <v>2477.0</v>
      </c>
    </row>
    <row r="1480">
      <c r="A1480" s="28">
        <v>45427.0</v>
      </c>
      <c r="B1480" s="29">
        <f t="shared" si="1"/>
        <v>20</v>
      </c>
      <c r="C1480" s="2" t="s">
        <v>84</v>
      </c>
      <c r="D1480" s="2">
        <v>1259.0</v>
      </c>
    </row>
    <row r="1481">
      <c r="A1481" s="28">
        <v>45427.0</v>
      </c>
      <c r="B1481" s="29">
        <f t="shared" si="1"/>
        <v>20</v>
      </c>
      <c r="C1481" s="2" t="s">
        <v>85</v>
      </c>
      <c r="D1481" s="2">
        <v>92.0</v>
      </c>
    </row>
    <row r="1482">
      <c r="A1482" s="28">
        <v>45427.0</v>
      </c>
      <c r="B1482" s="29">
        <f t="shared" si="1"/>
        <v>20</v>
      </c>
      <c r="C1482" s="2" t="s">
        <v>86</v>
      </c>
    </row>
    <row r="1483">
      <c r="A1483" s="28">
        <v>45427.0</v>
      </c>
      <c r="B1483" s="29">
        <f t="shared" si="1"/>
        <v>20</v>
      </c>
      <c r="C1483" s="2" t="s">
        <v>87</v>
      </c>
    </row>
    <row r="1484">
      <c r="A1484" s="28">
        <v>45427.0</v>
      </c>
      <c r="B1484" s="29">
        <f t="shared" si="1"/>
        <v>20</v>
      </c>
      <c r="C1484" s="2" t="s">
        <v>88</v>
      </c>
      <c r="D1484" s="2">
        <v>581.0</v>
      </c>
    </row>
    <row r="1485">
      <c r="A1485" s="28">
        <v>45427.0</v>
      </c>
      <c r="B1485" s="29">
        <f t="shared" si="1"/>
        <v>20</v>
      </c>
      <c r="C1485" s="2" t="s">
        <v>89</v>
      </c>
      <c r="D1485" s="2">
        <v>673.0</v>
      </c>
    </row>
    <row r="1486">
      <c r="A1486" s="28">
        <v>45427.0</v>
      </c>
      <c r="B1486" s="29">
        <f t="shared" si="1"/>
        <v>20</v>
      </c>
      <c r="C1486" s="2" t="s">
        <v>90</v>
      </c>
      <c r="D1486" s="2">
        <v>0.0</v>
      </c>
    </row>
    <row r="1487">
      <c r="A1487" s="28">
        <v>45427.0</v>
      </c>
      <c r="B1487" s="29">
        <f t="shared" si="1"/>
        <v>20</v>
      </c>
      <c r="C1487" s="2" t="s">
        <v>91</v>
      </c>
    </row>
    <row r="1488">
      <c r="A1488" s="28">
        <v>45427.0</v>
      </c>
      <c r="B1488" s="29">
        <f t="shared" si="1"/>
        <v>20</v>
      </c>
      <c r="C1488" s="2" t="s">
        <v>92</v>
      </c>
    </row>
    <row r="1489">
      <c r="A1489" s="28">
        <v>45427.0</v>
      </c>
      <c r="B1489" s="29">
        <f t="shared" si="1"/>
        <v>20</v>
      </c>
      <c r="C1489" s="2" t="s">
        <v>93</v>
      </c>
    </row>
    <row r="1490">
      <c r="A1490" s="28">
        <v>45427.0</v>
      </c>
      <c r="B1490" s="29">
        <f t="shared" si="1"/>
        <v>20</v>
      </c>
      <c r="C1490" s="2" t="s">
        <v>94</v>
      </c>
    </row>
    <row r="1491">
      <c r="A1491" s="28">
        <v>45427.0</v>
      </c>
      <c r="B1491" s="29">
        <f t="shared" si="1"/>
        <v>20</v>
      </c>
      <c r="C1491" s="2" t="s">
        <v>95</v>
      </c>
    </row>
    <row r="1492">
      <c r="A1492" s="28">
        <v>45427.0</v>
      </c>
      <c r="B1492" s="29">
        <f t="shared" si="1"/>
        <v>20</v>
      </c>
      <c r="C1492" s="2" t="s">
        <v>96</v>
      </c>
      <c r="D1492" s="2">
        <v>484.0</v>
      </c>
    </row>
    <row r="1493">
      <c r="A1493" s="28">
        <v>45427.0</v>
      </c>
      <c r="B1493" s="29">
        <f t="shared" si="1"/>
        <v>20</v>
      </c>
      <c r="C1493" s="2" t="s">
        <v>97</v>
      </c>
      <c r="D1493" s="2">
        <v>2333.0</v>
      </c>
    </row>
    <row r="1494">
      <c r="A1494" s="28">
        <v>45427.0</v>
      </c>
      <c r="B1494" s="29">
        <f t="shared" si="1"/>
        <v>20</v>
      </c>
      <c r="C1494" s="2" t="s">
        <v>98</v>
      </c>
    </row>
    <row r="1495">
      <c r="A1495" s="28">
        <v>45427.0</v>
      </c>
      <c r="B1495" s="29">
        <f t="shared" si="1"/>
        <v>20</v>
      </c>
      <c r="C1495" s="2" t="s">
        <v>99</v>
      </c>
    </row>
    <row r="1496">
      <c r="A1496" s="28">
        <v>45427.0</v>
      </c>
      <c r="B1496" s="29">
        <f t="shared" si="1"/>
        <v>20</v>
      </c>
      <c r="C1496" s="2" t="s">
        <v>100</v>
      </c>
    </row>
    <row r="1497">
      <c r="A1497" s="28">
        <v>45434.0</v>
      </c>
      <c r="B1497" s="29">
        <f t="shared" si="1"/>
        <v>21</v>
      </c>
      <c r="C1497" s="2" t="s">
        <v>101</v>
      </c>
      <c r="D1497" s="2">
        <v>5628.0</v>
      </c>
    </row>
    <row r="1498">
      <c r="A1498" s="28">
        <v>45434.0</v>
      </c>
      <c r="B1498" s="29">
        <f t="shared" si="1"/>
        <v>21</v>
      </c>
      <c r="C1498" s="2" t="s">
        <v>80</v>
      </c>
      <c r="D1498" s="2">
        <v>848.0</v>
      </c>
    </row>
    <row r="1499">
      <c r="A1499" s="28">
        <v>45434.0</v>
      </c>
      <c r="B1499" s="29">
        <f t="shared" si="1"/>
        <v>21</v>
      </c>
      <c r="C1499" s="2" t="s">
        <v>81</v>
      </c>
    </row>
    <row r="1500">
      <c r="A1500" s="28">
        <v>45434.0</v>
      </c>
      <c r="B1500" s="29">
        <f t="shared" si="1"/>
        <v>21</v>
      </c>
      <c r="C1500" s="2" t="s">
        <v>82</v>
      </c>
    </row>
    <row r="1501">
      <c r="A1501" s="28">
        <v>45434.0</v>
      </c>
      <c r="B1501" s="29">
        <f t="shared" si="1"/>
        <v>21</v>
      </c>
      <c r="C1501" s="2" t="s">
        <v>83</v>
      </c>
      <c r="D1501" s="2">
        <v>2341.0</v>
      </c>
    </row>
    <row r="1502">
      <c r="A1502" s="28">
        <v>45434.0</v>
      </c>
      <c r="B1502" s="29">
        <f t="shared" si="1"/>
        <v>21</v>
      </c>
      <c r="C1502" s="2" t="s">
        <v>84</v>
      </c>
      <c r="D1502" s="2">
        <v>582.0</v>
      </c>
    </row>
    <row r="1503">
      <c r="A1503" s="28">
        <v>45434.0</v>
      </c>
      <c r="B1503" s="29">
        <f t="shared" si="1"/>
        <v>21</v>
      </c>
      <c r="C1503" s="2" t="s">
        <v>85</v>
      </c>
      <c r="D1503" s="2">
        <v>0.0</v>
      </c>
    </row>
    <row r="1504">
      <c r="A1504" s="28">
        <v>45434.0</v>
      </c>
      <c r="B1504" s="29">
        <f t="shared" si="1"/>
        <v>21</v>
      </c>
      <c r="C1504" s="2" t="s">
        <v>86</v>
      </c>
    </row>
    <row r="1505">
      <c r="A1505" s="28">
        <v>45434.0</v>
      </c>
      <c r="B1505" s="29">
        <f t="shared" si="1"/>
        <v>21</v>
      </c>
      <c r="C1505" s="2" t="s">
        <v>87</v>
      </c>
    </row>
    <row r="1506">
      <c r="A1506" s="28">
        <v>45434.0</v>
      </c>
      <c r="B1506" s="29">
        <f t="shared" si="1"/>
        <v>21</v>
      </c>
      <c r="C1506" s="2" t="s">
        <v>88</v>
      </c>
      <c r="D1506" s="2">
        <v>644.0</v>
      </c>
    </row>
    <row r="1507">
      <c r="A1507" s="28">
        <v>45434.0</v>
      </c>
      <c r="B1507" s="29">
        <f t="shared" si="1"/>
        <v>21</v>
      </c>
      <c r="C1507" s="2" t="s">
        <v>89</v>
      </c>
      <c r="D1507" s="2">
        <v>533.0</v>
      </c>
    </row>
    <row r="1508">
      <c r="A1508" s="28">
        <v>45434.0</v>
      </c>
      <c r="B1508" s="29">
        <f t="shared" si="1"/>
        <v>21</v>
      </c>
      <c r="C1508" s="2" t="s">
        <v>90</v>
      </c>
      <c r="D1508" s="2">
        <v>0.0</v>
      </c>
    </row>
    <row r="1509">
      <c r="A1509" s="28">
        <v>45434.0</v>
      </c>
      <c r="B1509" s="29">
        <f t="shared" si="1"/>
        <v>21</v>
      </c>
      <c r="C1509" s="2" t="s">
        <v>91</v>
      </c>
    </row>
    <row r="1510">
      <c r="A1510" s="28">
        <v>45434.0</v>
      </c>
      <c r="B1510" s="29">
        <f t="shared" si="1"/>
        <v>21</v>
      </c>
      <c r="C1510" s="2" t="s">
        <v>92</v>
      </c>
    </row>
    <row r="1511">
      <c r="A1511" s="28">
        <v>45434.0</v>
      </c>
      <c r="B1511" s="29">
        <f t="shared" si="1"/>
        <v>21</v>
      </c>
      <c r="C1511" s="2" t="s">
        <v>93</v>
      </c>
    </row>
    <row r="1512">
      <c r="A1512" s="28">
        <v>45434.0</v>
      </c>
      <c r="B1512" s="29">
        <f t="shared" si="1"/>
        <v>21</v>
      </c>
      <c r="C1512" s="2" t="s">
        <v>94</v>
      </c>
    </row>
    <row r="1513">
      <c r="A1513" s="28">
        <v>45434.0</v>
      </c>
      <c r="B1513" s="29">
        <f t="shared" si="1"/>
        <v>21</v>
      </c>
      <c r="C1513" s="2" t="s">
        <v>95</v>
      </c>
    </row>
    <row r="1514">
      <c r="A1514" s="28">
        <v>45434.0</v>
      </c>
      <c r="B1514" s="29">
        <f t="shared" si="1"/>
        <v>21</v>
      </c>
      <c r="C1514" s="2" t="s">
        <v>96</v>
      </c>
      <c r="D1514" s="2">
        <v>278.0</v>
      </c>
    </row>
    <row r="1515">
      <c r="A1515" s="28">
        <v>45434.0</v>
      </c>
      <c r="B1515" s="29">
        <f t="shared" si="1"/>
        <v>21</v>
      </c>
      <c r="C1515" s="2" t="s">
        <v>97</v>
      </c>
      <c r="D1515" s="2">
        <v>402.0</v>
      </c>
    </row>
    <row r="1516">
      <c r="A1516" s="28">
        <v>45434.0</v>
      </c>
      <c r="B1516" s="29">
        <f t="shared" si="1"/>
        <v>21</v>
      </c>
      <c r="C1516" s="2" t="s">
        <v>98</v>
      </c>
    </row>
    <row r="1517">
      <c r="A1517" s="28">
        <v>45434.0</v>
      </c>
      <c r="B1517" s="29">
        <f t="shared" si="1"/>
        <v>21</v>
      </c>
      <c r="C1517" s="2" t="s">
        <v>99</v>
      </c>
    </row>
    <row r="1518">
      <c r="A1518" s="28">
        <v>45434.0</v>
      </c>
      <c r="B1518" s="29">
        <f t="shared" si="1"/>
        <v>21</v>
      </c>
      <c r="C1518" s="2" t="s">
        <v>100</v>
      </c>
    </row>
    <row r="1519">
      <c r="A1519" s="28">
        <v>45440.0</v>
      </c>
      <c r="B1519" s="29">
        <f t="shared" si="1"/>
        <v>22</v>
      </c>
      <c r="C1519" s="2" t="s">
        <v>101</v>
      </c>
      <c r="D1519" s="2">
        <v>5571.0</v>
      </c>
    </row>
    <row r="1520">
      <c r="A1520" s="28">
        <v>45440.0</v>
      </c>
      <c r="B1520" s="29">
        <f t="shared" si="1"/>
        <v>22</v>
      </c>
      <c r="C1520" s="2" t="s">
        <v>80</v>
      </c>
      <c r="D1520" s="2">
        <v>584.0</v>
      </c>
    </row>
    <row r="1521">
      <c r="A1521" s="28">
        <v>45440.0</v>
      </c>
      <c r="B1521" s="29">
        <f t="shared" si="1"/>
        <v>22</v>
      </c>
      <c r="C1521" s="2" t="s">
        <v>81</v>
      </c>
    </row>
    <row r="1522">
      <c r="A1522" s="28">
        <v>45440.0</v>
      </c>
      <c r="B1522" s="29">
        <f t="shared" si="1"/>
        <v>22</v>
      </c>
      <c r="C1522" s="2" t="s">
        <v>82</v>
      </c>
    </row>
    <row r="1523">
      <c r="A1523" s="28">
        <v>45440.0</v>
      </c>
      <c r="B1523" s="29">
        <f t="shared" si="1"/>
        <v>22</v>
      </c>
      <c r="C1523" s="2" t="s">
        <v>83</v>
      </c>
      <c r="D1523" s="2">
        <v>1740.0</v>
      </c>
    </row>
    <row r="1524">
      <c r="A1524" s="28">
        <v>45440.0</v>
      </c>
      <c r="B1524" s="29">
        <f t="shared" si="1"/>
        <v>22</v>
      </c>
      <c r="C1524" s="2" t="s">
        <v>84</v>
      </c>
      <c r="D1524" s="2">
        <v>852.0</v>
      </c>
    </row>
    <row r="1525">
      <c r="A1525" s="28">
        <v>45440.0</v>
      </c>
      <c r="B1525" s="29">
        <f t="shared" si="1"/>
        <v>22</v>
      </c>
      <c r="C1525" s="2" t="s">
        <v>85</v>
      </c>
      <c r="D1525" s="2">
        <v>0.0</v>
      </c>
    </row>
    <row r="1526">
      <c r="A1526" s="28">
        <v>45440.0</v>
      </c>
      <c r="B1526" s="29">
        <f t="shared" si="1"/>
        <v>22</v>
      </c>
      <c r="C1526" s="2" t="s">
        <v>86</v>
      </c>
    </row>
    <row r="1527">
      <c r="A1527" s="28">
        <v>45440.0</v>
      </c>
      <c r="B1527" s="29">
        <f t="shared" si="1"/>
        <v>22</v>
      </c>
      <c r="C1527" s="2" t="s">
        <v>87</v>
      </c>
    </row>
    <row r="1528">
      <c r="A1528" s="28">
        <v>45440.0</v>
      </c>
      <c r="B1528" s="29">
        <f t="shared" si="1"/>
        <v>22</v>
      </c>
      <c r="C1528" s="2" t="s">
        <v>88</v>
      </c>
      <c r="D1528" s="2">
        <v>828.0</v>
      </c>
    </row>
    <row r="1529">
      <c r="A1529" s="28">
        <v>45440.0</v>
      </c>
      <c r="B1529" s="29">
        <f t="shared" si="1"/>
        <v>22</v>
      </c>
      <c r="C1529" s="2" t="s">
        <v>89</v>
      </c>
      <c r="D1529" s="2">
        <v>511.0</v>
      </c>
    </row>
    <row r="1530">
      <c r="A1530" s="28">
        <v>45440.0</v>
      </c>
      <c r="B1530" s="29">
        <f t="shared" si="1"/>
        <v>22</v>
      </c>
      <c r="C1530" s="2" t="s">
        <v>90</v>
      </c>
      <c r="D1530" s="2">
        <v>0.0</v>
      </c>
    </row>
    <row r="1531">
      <c r="A1531" s="28">
        <v>45440.0</v>
      </c>
      <c r="B1531" s="29">
        <f t="shared" si="1"/>
        <v>22</v>
      </c>
      <c r="C1531" s="2" t="s">
        <v>91</v>
      </c>
    </row>
    <row r="1532">
      <c r="A1532" s="28">
        <v>45440.0</v>
      </c>
      <c r="B1532" s="29">
        <f t="shared" si="1"/>
        <v>22</v>
      </c>
      <c r="C1532" s="2" t="s">
        <v>92</v>
      </c>
    </row>
    <row r="1533">
      <c r="A1533" s="28">
        <v>45440.0</v>
      </c>
      <c r="B1533" s="29">
        <f t="shared" si="1"/>
        <v>22</v>
      </c>
      <c r="C1533" s="2" t="s">
        <v>93</v>
      </c>
    </row>
    <row r="1534">
      <c r="A1534" s="28">
        <v>45440.0</v>
      </c>
      <c r="B1534" s="29">
        <f t="shared" si="1"/>
        <v>22</v>
      </c>
      <c r="C1534" s="2" t="s">
        <v>94</v>
      </c>
    </row>
    <row r="1535">
      <c r="A1535" s="28">
        <v>45440.0</v>
      </c>
      <c r="B1535" s="29">
        <f t="shared" si="1"/>
        <v>22</v>
      </c>
      <c r="C1535" s="2" t="s">
        <v>95</v>
      </c>
    </row>
    <row r="1536">
      <c r="A1536" s="28">
        <v>45440.0</v>
      </c>
      <c r="B1536" s="29">
        <f t="shared" si="1"/>
        <v>22</v>
      </c>
      <c r="C1536" s="2" t="s">
        <v>96</v>
      </c>
      <c r="D1536" s="2">
        <v>250.0</v>
      </c>
    </row>
    <row r="1537">
      <c r="A1537" s="28">
        <v>45440.0</v>
      </c>
      <c r="B1537" s="29">
        <f t="shared" si="1"/>
        <v>22</v>
      </c>
      <c r="C1537" s="2" t="s">
        <v>97</v>
      </c>
      <c r="D1537" s="2">
        <v>806.0</v>
      </c>
    </row>
    <row r="1538">
      <c r="A1538" s="28">
        <v>45440.0</v>
      </c>
      <c r="B1538" s="29">
        <f t="shared" si="1"/>
        <v>22</v>
      </c>
      <c r="C1538" s="2" t="s">
        <v>98</v>
      </c>
    </row>
    <row r="1539">
      <c r="A1539" s="28">
        <v>45440.0</v>
      </c>
      <c r="B1539" s="29">
        <f t="shared" si="1"/>
        <v>22</v>
      </c>
      <c r="C1539" s="2" t="s">
        <v>99</v>
      </c>
    </row>
    <row r="1540">
      <c r="A1540" s="28">
        <v>45440.0</v>
      </c>
      <c r="B1540" s="29">
        <f t="shared" si="1"/>
        <v>22</v>
      </c>
      <c r="C1540" s="2" t="s">
        <v>100</v>
      </c>
    </row>
    <row r="1541">
      <c r="A1541" s="28">
        <v>45448.0</v>
      </c>
      <c r="B1541" s="29">
        <f t="shared" si="1"/>
        <v>23</v>
      </c>
      <c r="C1541" s="2" t="s">
        <v>101</v>
      </c>
      <c r="D1541" s="2">
        <v>6979.0</v>
      </c>
    </row>
    <row r="1542">
      <c r="A1542" s="28">
        <v>45448.0</v>
      </c>
      <c r="B1542" s="29">
        <f t="shared" si="1"/>
        <v>23</v>
      </c>
      <c r="C1542" s="2" t="s">
        <v>80</v>
      </c>
      <c r="D1542" s="2">
        <v>1569.0</v>
      </c>
    </row>
    <row r="1543">
      <c r="A1543" s="28">
        <v>45448.0</v>
      </c>
      <c r="B1543" s="29">
        <f t="shared" si="1"/>
        <v>23</v>
      </c>
      <c r="C1543" s="2" t="s">
        <v>81</v>
      </c>
    </row>
    <row r="1544">
      <c r="A1544" s="28">
        <v>45448.0</v>
      </c>
      <c r="B1544" s="29">
        <f t="shared" si="1"/>
        <v>23</v>
      </c>
      <c r="C1544" s="2" t="s">
        <v>82</v>
      </c>
    </row>
    <row r="1545">
      <c r="A1545" s="28">
        <v>45448.0</v>
      </c>
      <c r="B1545" s="29">
        <f t="shared" si="1"/>
        <v>23</v>
      </c>
      <c r="C1545" s="2" t="s">
        <v>83</v>
      </c>
      <c r="D1545" s="2">
        <v>1552.0</v>
      </c>
    </row>
    <row r="1546">
      <c r="A1546" s="28">
        <v>45448.0</v>
      </c>
      <c r="B1546" s="29">
        <f t="shared" si="1"/>
        <v>23</v>
      </c>
      <c r="C1546" s="2" t="s">
        <v>84</v>
      </c>
      <c r="D1546" s="2">
        <v>1436.0</v>
      </c>
    </row>
    <row r="1547">
      <c r="A1547" s="28">
        <v>45448.0</v>
      </c>
      <c r="B1547" s="29">
        <f t="shared" si="1"/>
        <v>23</v>
      </c>
      <c r="C1547" s="2" t="s">
        <v>85</v>
      </c>
      <c r="D1547" s="2">
        <v>159.0</v>
      </c>
    </row>
    <row r="1548">
      <c r="A1548" s="28">
        <v>45448.0</v>
      </c>
      <c r="B1548" s="29">
        <f t="shared" si="1"/>
        <v>23</v>
      </c>
      <c r="C1548" s="2" t="s">
        <v>86</v>
      </c>
    </row>
    <row r="1549">
      <c r="A1549" s="28">
        <v>45448.0</v>
      </c>
      <c r="B1549" s="29">
        <f t="shared" si="1"/>
        <v>23</v>
      </c>
      <c r="C1549" s="2" t="s">
        <v>87</v>
      </c>
    </row>
    <row r="1550">
      <c r="A1550" s="28">
        <v>45448.0</v>
      </c>
      <c r="B1550" s="29">
        <f t="shared" si="1"/>
        <v>23</v>
      </c>
      <c r="C1550" s="2" t="s">
        <v>88</v>
      </c>
      <c r="D1550" s="2">
        <v>721.0</v>
      </c>
    </row>
    <row r="1551">
      <c r="A1551" s="28">
        <v>45448.0</v>
      </c>
      <c r="B1551" s="29">
        <f t="shared" si="1"/>
        <v>23</v>
      </c>
      <c r="C1551" s="2" t="s">
        <v>89</v>
      </c>
      <c r="D1551" s="2">
        <v>707.0</v>
      </c>
    </row>
    <row r="1552">
      <c r="A1552" s="28">
        <v>45448.0</v>
      </c>
      <c r="B1552" s="29">
        <f t="shared" si="1"/>
        <v>23</v>
      </c>
      <c r="C1552" s="2" t="s">
        <v>90</v>
      </c>
      <c r="D1552" s="2">
        <v>0.0</v>
      </c>
    </row>
    <row r="1553">
      <c r="A1553" s="28">
        <v>45448.0</v>
      </c>
      <c r="B1553" s="29">
        <f t="shared" si="1"/>
        <v>23</v>
      </c>
      <c r="C1553" s="2" t="s">
        <v>91</v>
      </c>
    </row>
    <row r="1554">
      <c r="A1554" s="28">
        <v>45448.0</v>
      </c>
      <c r="B1554" s="29">
        <f t="shared" si="1"/>
        <v>23</v>
      </c>
      <c r="C1554" s="2" t="s">
        <v>92</v>
      </c>
    </row>
    <row r="1555">
      <c r="A1555" s="28">
        <v>45448.0</v>
      </c>
      <c r="B1555" s="29">
        <f t="shared" si="1"/>
        <v>23</v>
      </c>
      <c r="C1555" s="2" t="s">
        <v>93</v>
      </c>
    </row>
    <row r="1556">
      <c r="A1556" s="28">
        <v>45448.0</v>
      </c>
      <c r="B1556" s="29">
        <f t="shared" si="1"/>
        <v>23</v>
      </c>
      <c r="C1556" s="2" t="s">
        <v>94</v>
      </c>
    </row>
    <row r="1557">
      <c r="A1557" s="28">
        <v>45448.0</v>
      </c>
      <c r="B1557" s="29">
        <f t="shared" si="1"/>
        <v>23</v>
      </c>
      <c r="C1557" s="2" t="s">
        <v>95</v>
      </c>
    </row>
    <row r="1558">
      <c r="A1558" s="28">
        <v>45448.0</v>
      </c>
      <c r="B1558" s="29">
        <f t="shared" si="1"/>
        <v>23</v>
      </c>
      <c r="C1558" s="2" t="s">
        <v>96</v>
      </c>
      <c r="D1558" s="2">
        <v>735.0</v>
      </c>
    </row>
    <row r="1559">
      <c r="A1559" s="28">
        <v>45448.0</v>
      </c>
      <c r="B1559" s="29">
        <f t="shared" si="1"/>
        <v>23</v>
      </c>
      <c r="C1559" s="2" t="s">
        <v>97</v>
      </c>
      <c r="D1559" s="2">
        <v>100.0</v>
      </c>
    </row>
    <row r="1560">
      <c r="A1560" s="28">
        <v>45448.0</v>
      </c>
      <c r="B1560" s="29">
        <f t="shared" si="1"/>
        <v>23</v>
      </c>
      <c r="C1560" s="2" t="s">
        <v>98</v>
      </c>
    </row>
    <row r="1561">
      <c r="A1561" s="28">
        <v>45448.0</v>
      </c>
      <c r="B1561" s="29">
        <f t="shared" si="1"/>
        <v>23</v>
      </c>
      <c r="C1561" s="2" t="s">
        <v>99</v>
      </c>
    </row>
    <row r="1562">
      <c r="A1562" s="28">
        <v>45448.0</v>
      </c>
      <c r="B1562" s="29">
        <f t="shared" si="1"/>
        <v>23</v>
      </c>
      <c r="C1562" s="2" t="s">
        <v>100</v>
      </c>
    </row>
    <row r="1563">
      <c r="A1563" s="28">
        <v>45455.0</v>
      </c>
      <c r="B1563" s="29">
        <f t="shared" si="1"/>
        <v>24</v>
      </c>
      <c r="C1563" s="2" t="s">
        <v>101</v>
      </c>
      <c r="D1563" s="2">
        <v>10580.0</v>
      </c>
    </row>
    <row r="1564">
      <c r="A1564" s="28">
        <v>45455.0</v>
      </c>
      <c r="B1564" s="29">
        <f t="shared" si="1"/>
        <v>24</v>
      </c>
      <c r="C1564" s="2" t="s">
        <v>80</v>
      </c>
      <c r="D1564" s="2">
        <v>2135.0</v>
      </c>
    </row>
    <row r="1565">
      <c r="A1565" s="28">
        <v>45455.0</v>
      </c>
      <c r="B1565" s="29">
        <f t="shared" si="1"/>
        <v>24</v>
      </c>
      <c r="C1565" s="2" t="s">
        <v>81</v>
      </c>
    </row>
    <row r="1566">
      <c r="A1566" s="28">
        <v>45455.0</v>
      </c>
      <c r="B1566" s="29">
        <f t="shared" si="1"/>
        <v>24</v>
      </c>
      <c r="C1566" s="2" t="s">
        <v>82</v>
      </c>
    </row>
    <row r="1567">
      <c r="A1567" s="28">
        <v>45455.0</v>
      </c>
      <c r="B1567" s="29">
        <f t="shared" si="1"/>
        <v>24</v>
      </c>
      <c r="C1567" s="2" t="s">
        <v>83</v>
      </c>
      <c r="D1567" s="2">
        <v>2400.0</v>
      </c>
    </row>
    <row r="1568">
      <c r="A1568" s="28">
        <v>45455.0</v>
      </c>
      <c r="B1568" s="29">
        <f t="shared" si="1"/>
        <v>24</v>
      </c>
      <c r="C1568" s="2" t="s">
        <v>84</v>
      </c>
      <c r="D1568" s="2">
        <v>2323.0</v>
      </c>
    </row>
    <row r="1569">
      <c r="A1569" s="28">
        <v>45455.0</v>
      </c>
      <c r="B1569" s="29">
        <f t="shared" si="1"/>
        <v>24</v>
      </c>
      <c r="C1569" s="2" t="s">
        <v>85</v>
      </c>
      <c r="D1569" s="2">
        <v>72.0</v>
      </c>
    </row>
    <row r="1570">
      <c r="A1570" s="28">
        <v>45455.0</v>
      </c>
      <c r="B1570" s="29">
        <f t="shared" si="1"/>
        <v>24</v>
      </c>
      <c r="C1570" s="2" t="s">
        <v>86</v>
      </c>
    </row>
    <row r="1571">
      <c r="A1571" s="28">
        <v>45455.0</v>
      </c>
      <c r="B1571" s="29">
        <f t="shared" si="1"/>
        <v>24</v>
      </c>
      <c r="C1571" s="2" t="s">
        <v>87</v>
      </c>
    </row>
    <row r="1572">
      <c r="A1572" s="28">
        <v>45455.0</v>
      </c>
      <c r="B1572" s="29">
        <f t="shared" si="1"/>
        <v>24</v>
      </c>
      <c r="C1572" s="2" t="s">
        <v>88</v>
      </c>
      <c r="D1572" s="2">
        <v>690.0</v>
      </c>
    </row>
    <row r="1573">
      <c r="A1573" s="28">
        <v>45455.0</v>
      </c>
      <c r="B1573" s="29">
        <f t="shared" si="1"/>
        <v>24</v>
      </c>
      <c r="C1573" s="2" t="s">
        <v>89</v>
      </c>
      <c r="D1573" s="2">
        <v>751.0</v>
      </c>
    </row>
    <row r="1574">
      <c r="A1574" s="28">
        <v>45455.0</v>
      </c>
      <c r="B1574" s="29">
        <f t="shared" si="1"/>
        <v>24</v>
      </c>
      <c r="C1574" s="2" t="s">
        <v>90</v>
      </c>
      <c r="D1574" s="2">
        <v>0.0</v>
      </c>
    </row>
    <row r="1575">
      <c r="A1575" s="28">
        <v>45455.0</v>
      </c>
      <c r="B1575" s="29">
        <f t="shared" si="1"/>
        <v>24</v>
      </c>
      <c r="C1575" s="2" t="s">
        <v>91</v>
      </c>
    </row>
    <row r="1576">
      <c r="A1576" s="28">
        <v>45455.0</v>
      </c>
      <c r="B1576" s="29">
        <f t="shared" si="1"/>
        <v>24</v>
      </c>
      <c r="C1576" s="2" t="s">
        <v>92</v>
      </c>
    </row>
    <row r="1577">
      <c r="A1577" s="28">
        <v>45455.0</v>
      </c>
      <c r="B1577" s="29">
        <f t="shared" si="1"/>
        <v>24</v>
      </c>
      <c r="C1577" s="2" t="s">
        <v>93</v>
      </c>
    </row>
    <row r="1578">
      <c r="A1578" s="28">
        <v>45455.0</v>
      </c>
      <c r="B1578" s="29">
        <f t="shared" si="1"/>
        <v>24</v>
      </c>
      <c r="C1578" s="2" t="s">
        <v>94</v>
      </c>
    </row>
    <row r="1579">
      <c r="A1579" s="28">
        <v>45455.0</v>
      </c>
      <c r="B1579" s="29">
        <f t="shared" si="1"/>
        <v>24</v>
      </c>
      <c r="C1579" s="2" t="s">
        <v>95</v>
      </c>
    </row>
    <row r="1580">
      <c r="A1580" s="28">
        <v>45455.0</v>
      </c>
      <c r="B1580" s="29">
        <f t="shared" si="1"/>
        <v>24</v>
      </c>
      <c r="C1580" s="2" t="s">
        <v>96</v>
      </c>
      <c r="D1580" s="2">
        <v>125.0</v>
      </c>
    </row>
    <row r="1581">
      <c r="A1581" s="28">
        <v>45455.0</v>
      </c>
      <c r="B1581" s="29">
        <f t="shared" si="1"/>
        <v>24</v>
      </c>
      <c r="C1581" s="2" t="s">
        <v>97</v>
      </c>
      <c r="D1581" s="2">
        <v>2084.0</v>
      </c>
    </row>
    <row r="1582">
      <c r="A1582" s="28">
        <v>45455.0</v>
      </c>
      <c r="B1582" s="29">
        <f t="shared" si="1"/>
        <v>24</v>
      </c>
      <c r="C1582" s="2" t="s">
        <v>98</v>
      </c>
    </row>
    <row r="1583">
      <c r="A1583" s="28">
        <v>45455.0</v>
      </c>
      <c r="B1583" s="29">
        <f t="shared" si="1"/>
        <v>24</v>
      </c>
      <c r="C1583" s="2" t="s">
        <v>99</v>
      </c>
    </row>
    <row r="1584">
      <c r="A1584" s="28">
        <v>45455.0</v>
      </c>
      <c r="B1584" s="29">
        <f t="shared" si="1"/>
        <v>24</v>
      </c>
      <c r="C1584" s="2" t="s">
        <v>100</v>
      </c>
    </row>
    <row r="1585">
      <c r="A1585" s="28">
        <v>45462.0</v>
      </c>
      <c r="B1585" s="29">
        <f t="shared" si="1"/>
        <v>25</v>
      </c>
      <c r="C1585" s="2" t="s">
        <v>101</v>
      </c>
      <c r="D1585" s="2">
        <v>8527.0</v>
      </c>
    </row>
    <row r="1586">
      <c r="A1586" s="28">
        <v>45462.0</v>
      </c>
      <c r="B1586" s="29">
        <f t="shared" si="1"/>
        <v>25</v>
      </c>
      <c r="C1586" s="2" t="s">
        <v>80</v>
      </c>
      <c r="D1586" s="2">
        <v>1218.0</v>
      </c>
    </row>
    <row r="1587">
      <c r="A1587" s="28">
        <v>45462.0</v>
      </c>
      <c r="B1587" s="29">
        <f t="shared" si="1"/>
        <v>25</v>
      </c>
      <c r="C1587" s="2" t="s">
        <v>81</v>
      </c>
    </row>
    <row r="1588">
      <c r="A1588" s="28">
        <v>45462.0</v>
      </c>
      <c r="B1588" s="29">
        <f t="shared" si="1"/>
        <v>25</v>
      </c>
      <c r="C1588" s="2" t="s">
        <v>82</v>
      </c>
    </row>
    <row r="1589">
      <c r="A1589" s="28">
        <v>45462.0</v>
      </c>
      <c r="B1589" s="29">
        <f t="shared" si="1"/>
        <v>25</v>
      </c>
      <c r="C1589" s="2" t="s">
        <v>83</v>
      </c>
      <c r="D1589" s="2">
        <v>1980.0</v>
      </c>
    </row>
    <row r="1590">
      <c r="A1590" s="28">
        <v>45462.0</v>
      </c>
      <c r="B1590" s="29">
        <f t="shared" si="1"/>
        <v>25</v>
      </c>
      <c r="C1590" s="2" t="s">
        <v>84</v>
      </c>
      <c r="D1590" s="2">
        <v>1695.0</v>
      </c>
    </row>
    <row r="1591">
      <c r="A1591" s="28">
        <v>45462.0</v>
      </c>
      <c r="B1591" s="29">
        <f t="shared" si="1"/>
        <v>25</v>
      </c>
      <c r="C1591" s="2" t="s">
        <v>85</v>
      </c>
      <c r="D1591" s="2">
        <v>74.0</v>
      </c>
    </row>
    <row r="1592">
      <c r="A1592" s="28">
        <v>45462.0</v>
      </c>
      <c r="B1592" s="29">
        <f t="shared" si="1"/>
        <v>25</v>
      </c>
      <c r="C1592" s="2" t="s">
        <v>86</v>
      </c>
    </row>
    <row r="1593">
      <c r="A1593" s="28">
        <v>45462.0</v>
      </c>
      <c r="B1593" s="29">
        <f t="shared" si="1"/>
        <v>25</v>
      </c>
      <c r="C1593" s="2" t="s">
        <v>87</v>
      </c>
    </row>
    <row r="1594">
      <c r="A1594" s="28">
        <v>45462.0</v>
      </c>
      <c r="B1594" s="29">
        <f t="shared" si="1"/>
        <v>25</v>
      </c>
      <c r="C1594" s="2" t="s">
        <v>88</v>
      </c>
      <c r="D1594" s="2">
        <v>1088.0</v>
      </c>
    </row>
    <row r="1595">
      <c r="A1595" s="28">
        <v>45462.0</v>
      </c>
      <c r="B1595" s="29">
        <f t="shared" si="1"/>
        <v>25</v>
      </c>
      <c r="C1595" s="2" t="s">
        <v>89</v>
      </c>
      <c r="D1595" s="2">
        <v>586.0</v>
      </c>
    </row>
    <row r="1596">
      <c r="A1596" s="28">
        <v>45462.0</v>
      </c>
      <c r="B1596" s="29">
        <f t="shared" si="1"/>
        <v>25</v>
      </c>
      <c r="C1596" s="2" t="s">
        <v>90</v>
      </c>
      <c r="D1596" s="2">
        <v>0.0</v>
      </c>
    </row>
    <row r="1597">
      <c r="A1597" s="28">
        <v>45462.0</v>
      </c>
      <c r="B1597" s="29">
        <f t="shared" si="1"/>
        <v>25</v>
      </c>
      <c r="C1597" s="2" t="s">
        <v>91</v>
      </c>
    </row>
    <row r="1598">
      <c r="A1598" s="28">
        <v>45462.0</v>
      </c>
      <c r="B1598" s="29">
        <f t="shared" si="1"/>
        <v>25</v>
      </c>
      <c r="C1598" s="2" t="s">
        <v>92</v>
      </c>
    </row>
    <row r="1599">
      <c r="A1599" s="28">
        <v>45462.0</v>
      </c>
      <c r="B1599" s="29">
        <f t="shared" si="1"/>
        <v>25</v>
      </c>
      <c r="C1599" s="2" t="s">
        <v>93</v>
      </c>
    </row>
    <row r="1600">
      <c r="A1600" s="28">
        <v>45462.0</v>
      </c>
      <c r="B1600" s="29">
        <f t="shared" si="1"/>
        <v>25</v>
      </c>
      <c r="C1600" s="2" t="s">
        <v>94</v>
      </c>
    </row>
    <row r="1601">
      <c r="A1601" s="28">
        <v>45462.0</v>
      </c>
      <c r="B1601" s="29">
        <f t="shared" si="1"/>
        <v>25</v>
      </c>
      <c r="C1601" s="2" t="s">
        <v>95</v>
      </c>
    </row>
    <row r="1602">
      <c r="A1602" s="28">
        <v>45462.0</v>
      </c>
      <c r="B1602" s="29">
        <f t="shared" si="1"/>
        <v>25</v>
      </c>
      <c r="C1602" s="2" t="s">
        <v>96</v>
      </c>
      <c r="D1602" s="2">
        <v>454.0</v>
      </c>
    </row>
    <row r="1603">
      <c r="A1603" s="28">
        <v>45462.0</v>
      </c>
      <c r="B1603" s="29">
        <f t="shared" si="1"/>
        <v>25</v>
      </c>
      <c r="C1603" s="2" t="s">
        <v>97</v>
      </c>
      <c r="D1603" s="2">
        <v>1432.0</v>
      </c>
    </row>
    <row r="1604">
      <c r="A1604" s="28">
        <v>45462.0</v>
      </c>
      <c r="B1604" s="29">
        <f t="shared" si="1"/>
        <v>25</v>
      </c>
      <c r="C1604" s="2" t="s">
        <v>98</v>
      </c>
    </row>
    <row r="1605">
      <c r="A1605" s="28">
        <v>45462.0</v>
      </c>
      <c r="B1605" s="29">
        <f t="shared" si="1"/>
        <v>25</v>
      </c>
      <c r="C1605" s="2" t="s">
        <v>99</v>
      </c>
    </row>
    <row r="1606">
      <c r="A1606" s="28">
        <v>45462.0</v>
      </c>
      <c r="B1606" s="29">
        <f t="shared" si="1"/>
        <v>25</v>
      </c>
      <c r="C1606" s="2" t="s">
        <v>100</v>
      </c>
    </row>
    <row r="1607">
      <c r="A1607" s="28">
        <v>45469.0</v>
      </c>
      <c r="B1607" s="29">
        <f t="shared" si="1"/>
        <v>26</v>
      </c>
      <c r="C1607" s="2" t="s">
        <v>101</v>
      </c>
      <c r="D1607" s="2">
        <v>8987.0</v>
      </c>
    </row>
    <row r="1608">
      <c r="A1608" s="28">
        <v>45469.0</v>
      </c>
      <c r="B1608" s="29">
        <f t="shared" si="1"/>
        <v>26</v>
      </c>
      <c r="C1608" s="2" t="s">
        <v>80</v>
      </c>
      <c r="D1608" s="2">
        <v>1198.0</v>
      </c>
    </row>
    <row r="1609">
      <c r="A1609" s="28">
        <v>45469.0</v>
      </c>
      <c r="B1609" s="29">
        <f t="shared" si="1"/>
        <v>26</v>
      </c>
      <c r="C1609" s="2" t="s">
        <v>81</v>
      </c>
    </row>
    <row r="1610">
      <c r="A1610" s="28">
        <v>45469.0</v>
      </c>
      <c r="B1610" s="29">
        <f t="shared" si="1"/>
        <v>26</v>
      </c>
      <c r="C1610" s="2" t="s">
        <v>82</v>
      </c>
    </row>
    <row r="1611">
      <c r="A1611" s="28">
        <v>45469.0</v>
      </c>
      <c r="B1611" s="29">
        <f t="shared" si="1"/>
        <v>26</v>
      </c>
      <c r="C1611" s="2" t="s">
        <v>83</v>
      </c>
      <c r="D1611" s="2">
        <v>1272.0</v>
      </c>
    </row>
    <row r="1612">
      <c r="A1612" s="28">
        <v>45469.0</v>
      </c>
      <c r="B1612" s="29">
        <f t="shared" si="1"/>
        <v>26</v>
      </c>
      <c r="C1612" s="2" t="s">
        <v>84</v>
      </c>
      <c r="D1612" s="2">
        <v>1715.0</v>
      </c>
    </row>
    <row r="1613">
      <c r="A1613" s="28">
        <v>45469.0</v>
      </c>
      <c r="B1613" s="29">
        <f t="shared" si="1"/>
        <v>26</v>
      </c>
      <c r="C1613" s="2" t="s">
        <v>85</v>
      </c>
      <c r="D1613" s="2">
        <v>0.0</v>
      </c>
    </row>
    <row r="1614">
      <c r="A1614" s="28">
        <v>45469.0</v>
      </c>
      <c r="B1614" s="29">
        <f t="shared" si="1"/>
        <v>26</v>
      </c>
      <c r="C1614" s="2" t="s">
        <v>86</v>
      </c>
    </row>
    <row r="1615">
      <c r="A1615" s="28">
        <v>45469.0</v>
      </c>
      <c r="B1615" s="29">
        <f t="shared" si="1"/>
        <v>26</v>
      </c>
      <c r="C1615" s="2" t="s">
        <v>87</v>
      </c>
    </row>
    <row r="1616">
      <c r="A1616" s="28">
        <v>45469.0</v>
      </c>
      <c r="B1616" s="29">
        <f t="shared" si="1"/>
        <v>26</v>
      </c>
      <c r="C1616" s="2" t="s">
        <v>88</v>
      </c>
      <c r="D1616" s="2">
        <v>789.0</v>
      </c>
    </row>
    <row r="1617">
      <c r="A1617" s="28">
        <v>45469.0</v>
      </c>
      <c r="B1617" s="29">
        <f t="shared" si="1"/>
        <v>26</v>
      </c>
      <c r="C1617" s="2" t="s">
        <v>89</v>
      </c>
      <c r="D1617" s="2">
        <v>766.0</v>
      </c>
    </row>
    <row r="1618">
      <c r="A1618" s="28">
        <v>45469.0</v>
      </c>
      <c r="B1618" s="29">
        <f t="shared" si="1"/>
        <v>26</v>
      </c>
      <c r="C1618" s="2" t="s">
        <v>90</v>
      </c>
      <c r="D1618" s="2">
        <v>0.0</v>
      </c>
    </row>
    <row r="1619">
      <c r="A1619" s="28">
        <v>45469.0</v>
      </c>
      <c r="B1619" s="29">
        <f t="shared" si="1"/>
        <v>26</v>
      </c>
      <c r="C1619" s="2" t="s">
        <v>91</v>
      </c>
    </row>
    <row r="1620">
      <c r="A1620" s="28">
        <v>45469.0</v>
      </c>
      <c r="B1620" s="29">
        <f t="shared" si="1"/>
        <v>26</v>
      </c>
      <c r="C1620" s="2" t="s">
        <v>92</v>
      </c>
    </row>
    <row r="1621">
      <c r="A1621" s="28">
        <v>45469.0</v>
      </c>
      <c r="B1621" s="29">
        <f t="shared" si="1"/>
        <v>26</v>
      </c>
      <c r="C1621" s="2" t="s">
        <v>93</v>
      </c>
    </row>
    <row r="1622">
      <c r="A1622" s="28">
        <v>45469.0</v>
      </c>
      <c r="B1622" s="29">
        <f t="shared" si="1"/>
        <v>26</v>
      </c>
      <c r="C1622" s="2" t="s">
        <v>94</v>
      </c>
    </row>
    <row r="1623">
      <c r="A1623" s="28">
        <v>45469.0</v>
      </c>
      <c r="B1623" s="29">
        <f t="shared" si="1"/>
        <v>26</v>
      </c>
      <c r="C1623" s="2" t="s">
        <v>95</v>
      </c>
    </row>
    <row r="1624">
      <c r="A1624" s="28">
        <v>45469.0</v>
      </c>
      <c r="B1624" s="29">
        <f t="shared" si="1"/>
        <v>26</v>
      </c>
      <c r="C1624" s="2" t="s">
        <v>96</v>
      </c>
      <c r="D1624" s="2">
        <v>275.0</v>
      </c>
    </row>
    <row r="1625">
      <c r="A1625" s="28">
        <v>45469.0</v>
      </c>
      <c r="B1625" s="29">
        <f t="shared" si="1"/>
        <v>26</v>
      </c>
      <c r="C1625" s="2" t="s">
        <v>97</v>
      </c>
      <c r="D1625" s="2">
        <v>2972.0</v>
      </c>
    </row>
    <row r="1626">
      <c r="A1626" s="28">
        <v>45469.0</v>
      </c>
      <c r="B1626" s="29">
        <f t="shared" si="1"/>
        <v>26</v>
      </c>
      <c r="C1626" s="2" t="s">
        <v>98</v>
      </c>
    </row>
    <row r="1627">
      <c r="A1627" s="28">
        <v>45469.0</v>
      </c>
      <c r="B1627" s="29">
        <f t="shared" si="1"/>
        <v>26</v>
      </c>
      <c r="C1627" s="2" t="s">
        <v>99</v>
      </c>
    </row>
    <row r="1628">
      <c r="A1628" s="28">
        <v>45469.0</v>
      </c>
      <c r="B1628" s="29">
        <f t="shared" si="1"/>
        <v>26</v>
      </c>
      <c r="C1628" s="2" t="s">
        <v>100</v>
      </c>
    </row>
    <row r="1629">
      <c r="A1629" s="28">
        <v>45483.0</v>
      </c>
      <c r="B1629" s="29">
        <f t="shared" si="1"/>
        <v>28</v>
      </c>
      <c r="C1629" s="2" t="s">
        <v>101</v>
      </c>
      <c r="D1629" s="2">
        <v>9810.0</v>
      </c>
    </row>
    <row r="1630">
      <c r="A1630" s="28">
        <v>45483.0</v>
      </c>
      <c r="B1630" s="29">
        <f t="shared" si="1"/>
        <v>28</v>
      </c>
      <c r="C1630" s="2" t="s">
        <v>80</v>
      </c>
      <c r="D1630" s="2">
        <v>1134.0</v>
      </c>
    </row>
    <row r="1631">
      <c r="A1631" s="28">
        <v>45483.0</v>
      </c>
      <c r="B1631" s="29">
        <f t="shared" si="1"/>
        <v>28</v>
      </c>
      <c r="C1631" s="2" t="s">
        <v>81</v>
      </c>
    </row>
    <row r="1632">
      <c r="A1632" s="28">
        <v>45483.0</v>
      </c>
      <c r="B1632" s="29">
        <f t="shared" si="1"/>
        <v>28</v>
      </c>
      <c r="C1632" s="2" t="s">
        <v>82</v>
      </c>
    </row>
    <row r="1633">
      <c r="A1633" s="28">
        <v>45483.0</v>
      </c>
      <c r="B1633" s="29">
        <f t="shared" si="1"/>
        <v>28</v>
      </c>
      <c r="C1633" s="2" t="s">
        <v>83</v>
      </c>
      <c r="D1633" s="2">
        <v>1681.0</v>
      </c>
    </row>
    <row r="1634">
      <c r="A1634" s="28">
        <v>45483.0</v>
      </c>
      <c r="B1634" s="29">
        <f t="shared" si="1"/>
        <v>28</v>
      </c>
      <c r="C1634" s="2" t="s">
        <v>84</v>
      </c>
      <c r="D1634" s="2">
        <v>2170.0</v>
      </c>
    </row>
    <row r="1635">
      <c r="A1635" s="28">
        <v>45483.0</v>
      </c>
      <c r="B1635" s="29">
        <f t="shared" si="1"/>
        <v>28</v>
      </c>
      <c r="C1635" s="2" t="s">
        <v>85</v>
      </c>
      <c r="D1635" s="2">
        <v>0.0</v>
      </c>
    </row>
    <row r="1636">
      <c r="A1636" s="28">
        <v>45483.0</v>
      </c>
      <c r="B1636" s="29">
        <f t="shared" si="1"/>
        <v>28</v>
      </c>
      <c r="C1636" s="2" t="s">
        <v>86</v>
      </c>
    </row>
    <row r="1637">
      <c r="A1637" s="28">
        <v>45483.0</v>
      </c>
      <c r="B1637" s="29">
        <f t="shared" si="1"/>
        <v>28</v>
      </c>
      <c r="C1637" s="2" t="s">
        <v>87</v>
      </c>
    </row>
    <row r="1638">
      <c r="A1638" s="28">
        <v>45483.0</v>
      </c>
      <c r="B1638" s="29">
        <f t="shared" si="1"/>
        <v>28</v>
      </c>
      <c r="C1638" s="2" t="s">
        <v>88</v>
      </c>
      <c r="D1638" s="2">
        <v>583.0</v>
      </c>
    </row>
    <row r="1639">
      <c r="A1639" s="28">
        <v>45483.0</v>
      </c>
      <c r="B1639" s="29">
        <f t="shared" si="1"/>
        <v>28</v>
      </c>
      <c r="C1639" s="2" t="s">
        <v>89</v>
      </c>
      <c r="D1639" s="2">
        <v>784.0</v>
      </c>
    </row>
    <row r="1640">
      <c r="A1640" s="28">
        <v>45483.0</v>
      </c>
      <c r="B1640" s="29">
        <f t="shared" si="1"/>
        <v>28</v>
      </c>
      <c r="C1640" s="2" t="s">
        <v>90</v>
      </c>
      <c r="D1640" s="2">
        <v>0.0</v>
      </c>
    </row>
    <row r="1641">
      <c r="A1641" s="28">
        <v>45483.0</v>
      </c>
      <c r="B1641" s="29">
        <f t="shared" si="1"/>
        <v>28</v>
      </c>
      <c r="C1641" s="2" t="s">
        <v>91</v>
      </c>
    </row>
    <row r="1642">
      <c r="A1642" s="28">
        <v>45483.0</v>
      </c>
      <c r="B1642" s="29">
        <f t="shared" si="1"/>
        <v>28</v>
      </c>
      <c r="C1642" s="2" t="s">
        <v>92</v>
      </c>
    </row>
    <row r="1643">
      <c r="A1643" s="28">
        <v>45483.0</v>
      </c>
      <c r="B1643" s="29">
        <f t="shared" si="1"/>
        <v>28</v>
      </c>
      <c r="C1643" s="2" t="s">
        <v>93</v>
      </c>
    </row>
    <row r="1644">
      <c r="A1644" s="28">
        <v>45483.0</v>
      </c>
      <c r="B1644" s="29">
        <f t="shared" si="1"/>
        <v>28</v>
      </c>
      <c r="C1644" s="2" t="s">
        <v>94</v>
      </c>
    </row>
    <row r="1645">
      <c r="A1645" s="28">
        <v>45483.0</v>
      </c>
      <c r="B1645" s="29">
        <f t="shared" si="1"/>
        <v>28</v>
      </c>
      <c r="C1645" s="2" t="s">
        <v>95</v>
      </c>
    </row>
    <row r="1646">
      <c r="A1646" s="28">
        <v>45483.0</v>
      </c>
      <c r="B1646" s="29">
        <f t="shared" si="1"/>
        <v>28</v>
      </c>
      <c r="C1646" s="2" t="s">
        <v>96</v>
      </c>
      <c r="D1646" s="2">
        <v>426.0</v>
      </c>
    </row>
    <row r="1647">
      <c r="A1647" s="28">
        <v>45483.0</v>
      </c>
      <c r="B1647" s="29">
        <f t="shared" si="1"/>
        <v>28</v>
      </c>
      <c r="C1647" s="2" t="s">
        <v>97</v>
      </c>
      <c r="D1647" s="2">
        <v>3032.0</v>
      </c>
    </row>
    <row r="1648">
      <c r="A1648" s="28">
        <v>45483.0</v>
      </c>
      <c r="B1648" s="29">
        <f t="shared" si="1"/>
        <v>28</v>
      </c>
      <c r="C1648" s="2" t="s">
        <v>98</v>
      </c>
    </row>
    <row r="1649">
      <c r="A1649" s="28">
        <v>45483.0</v>
      </c>
      <c r="B1649" s="29">
        <f t="shared" si="1"/>
        <v>28</v>
      </c>
      <c r="C1649" s="2" t="s">
        <v>99</v>
      </c>
    </row>
    <row r="1650">
      <c r="A1650" s="28">
        <v>45483.0</v>
      </c>
      <c r="B1650" s="29">
        <f t="shared" si="1"/>
        <v>28</v>
      </c>
      <c r="C1650" s="2" t="s">
        <v>100</v>
      </c>
    </row>
    <row r="1651">
      <c r="A1651" s="28">
        <v>45490.0</v>
      </c>
      <c r="B1651" s="29">
        <f t="shared" si="1"/>
        <v>29</v>
      </c>
      <c r="C1651" s="2" t="s">
        <v>101</v>
      </c>
      <c r="D1651" s="2">
        <v>11526.0</v>
      </c>
    </row>
    <row r="1652">
      <c r="A1652" s="28">
        <v>45490.0</v>
      </c>
      <c r="B1652" s="29">
        <f t="shared" si="1"/>
        <v>29</v>
      </c>
      <c r="C1652" s="2" t="s">
        <v>80</v>
      </c>
      <c r="D1652" s="2">
        <v>3333.0</v>
      </c>
    </row>
    <row r="1653">
      <c r="A1653" s="28">
        <v>45490.0</v>
      </c>
      <c r="B1653" s="29">
        <f t="shared" si="1"/>
        <v>29</v>
      </c>
      <c r="C1653" s="2" t="s">
        <v>81</v>
      </c>
    </row>
    <row r="1654">
      <c r="A1654" s="28">
        <v>45490.0</v>
      </c>
      <c r="B1654" s="29">
        <f t="shared" si="1"/>
        <v>29</v>
      </c>
      <c r="C1654" s="2" t="s">
        <v>82</v>
      </c>
    </row>
    <row r="1655">
      <c r="A1655" s="28">
        <v>45490.0</v>
      </c>
      <c r="B1655" s="29">
        <f t="shared" si="1"/>
        <v>29</v>
      </c>
      <c r="C1655" s="2" t="s">
        <v>83</v>
      </c>
      <c r="D1655" s="2">
        <v>1513.0</v>
      </c>
    </row>
    <row r="1656">
      <c r="A1656" s="28">
        <v>45490.0</v>
      </c>
      <c r="B1656" s="29">
        <f t="shared" si="1"/>
        <v>29</v>
      </c>
      <c r="C1656" s="2" t="s">
        <v>84</v>
      </c>
      <c r="D1656" s="2">
        <v>1820.0</v>
      </c>
    </row>
    <row r="1657">
      <c r="A1657" s="28">
        <v>45490.0</v>
      </c>
      <c r="B1657" s="29">
        <f t="shared" si="1"/>
        <v>29</v>
      </c>
      <c r="C1657" s="2" t="s">
        <v>85</v>
      </c>
      <c r="D1657" s="2">
        <v>101.0</v>
      </c>
    </row>
    <row r="1658">
      <c r="A1658" s="28">
        <v>45490.0</v>
      </c>
      <c r="B1658" s="29">
        <f t="shared" si="1"/>
        <v>29</v>
      </c>
      <c r="C1658" s="2" t="s">
        <v>86</v>
      </c>
    </row>
    <row r="1659">
      <c r="A1659" s="28">
        <v>45490.0</v>
      </c>
      <c r="B1659" s="29">
        <f t="shared" si="1"/>
        <v>29</v>
      </c>
      <c r="C1659" s="2" t="s">
        <v>87</v>
      </c>
    </row>
    <row r="1660">
      <c r="A1660" s="28">
        <v>45490.0</v>
      </c>
      <c r="B1660" s="29">
        <f t="shared" si="1"/>
        <v>29</v>
      </c>
      <c r="C1660" s="2" t="s">
        <v>88</v>
      </c>
      <c r="D1660" s="2">
        <v>632.0</v>
      </c>
    </row>
    <row r="1661">
      <c r="A1661" s="28">
        <v>45490.0</v>
      </c>
      <c r="B1661" s="29">
        <f t="shared" si="1"/>
        <v>29</v>
      </c>
      <c r="C1661" s="2" t="s">
        <v>89</v>
      </c>
      <c r="D1661" s="2">
        <v>1425.0</v>
      </c>
    </row>
    <row r="1662">
      <c r="A1662" s="28">
        <v>45490.0</v>
      </c>
      <c r="B1662" s="29">
        <f t="shared" si="1"/>
        <v>29</v>
      </c>
      <c r="C1662" s="2" t="s">
        <v>90</v>
      </c>
      <c r="D1662" s="2">
        <v>0.0</v>
      </c>
    </row>
    <row r="1663">
      <c r="A1663" s="28">
        <v>45490.0</v>
      </c>
      <c r="B1663" s="29">
        <f t="shared" si="1"/>
        <v>29</v>
      </c>
      <c r="C1663" s="2" t="s">
        <v>91</v>
      </c>
    </row>
    <row r="1664">
      <c r="A1664" s="28">
        <v>45490.0</v>
      </c>
      <c r="B1664" s="29">
        <f t="shared" si="1"/>
        <v>29</v>
      </c>
      <c r="C1664" s="2" t="s">
        <v>92</v>
      </c>
    </row>
    <row r="1665">
      <c r="A1665" s="28">
        <v>45490.0</v>
      </c>
      <c r="B1665" s="29">
        <f t="shared" si="1"/>
        <v>29</v>
      </c>
      <c r="C1665" s="2" t="s">
        <v>93</v>
      </c>
    </row>
    <row r="1666">
      <c r="A1666" s="28">
        <v>45490.0</v>
      </c>
      <c r="B1666" s="29">
        <f t="shared" si="1"/>
        <v>29</v>
      </c>
      <c r="C1666" s="2" t="s">
        <v>94</v>
      </c>
    </row>
    <row r="1667">
      <c r="A1667" s="28">
        <v>45490.0</v>
      </c>
      <c r="B1667" s="29">
        <f t="shared" si="1"/>
        <v>29</v>
      </c>
      <c r="C1667" s="2" t="s">
        <v>95</v>
      </c>
    </row>
    <row r="1668">
      <c r="A1668" s="28">
        <v>45490.0</v>
      </c>
      <c r="B1668" s="29">
        <f t="shared" si="1"/>
        <v>29</v>
      </c>
      <c r="C1668" s="2" t="s">
        <v>96</v>
      </c>
      <c r="D1668" s="2">
        <v>226.0</v>
      </c>
    </row>
    <row r="1669">
      <c r="A1669" s="28">
        <v>45490.0</v>
      </c>
      <c r="B1669" s="29">
        <f t="shared" si="1"/>
        <v>29</v>
      </c>
      <c r="C1669" s="2" t="s">
        <v>97</v>
      </c>
      <c r="D1669" s="2">
        <v>2476.0</v>
      </c>
    </row>
    <row r="1670">
      <c r="A1670" s="28">
        <v>45490.0</v>
      </c>
      <c r="B1670" s="29">
        <f t="shared" si="1"/>
        <v>29</v>
      </c>
      <c r="C1670" s="2" t="s">
        <v>98</v>
      </c>
    </row>
    <row r="1671">
      <c r="A1671" s="28">
        <v>45490.0</v>
      </c>
      <c r="B1671" s="29">
        <f t="shared" si="1"/>
        <v>29</v>
      </c>
      <c r="C1671" s="2" t="s">
        <v>99</v>
      </c>
    </row>
    <row r="1672">
      <c r="A1672" s="28">
        <v>45490.0</v>
      </c>
      <c r="B1672" s="29">
        <f t="shared" si="1"/>
        <v>29</v>
      </c>
      <c r="C1672" s="2" t="s">
        <v>100</v>
      </c>
    </row>
    <row r="1673">
      <c r="A1673" s="28">
        <v>45497.0</v>
      </c>
      <c r="B1673" s="29">
        <f t="shared" si="1"/>
        <v>30</v>
      </c>
      <c r="C1673" s="2" t="s">
        <v>101</v>
      </c>
      <c r="D1673" s="2">
        <v>9588.0</v>
      </c>
    </row>
    <row r="1674">
      <c r="A1674" s="28">
        <v>45497.0</v>
      </c>
      <c r="B1674" s="29">
        <f t="shared" si="1"/>
        <v>30</v>
      </c>
      <c r="C1674" s="2" t="s">
        <v>80</v>
      </c>
      <c r="D1674" s="2">
        <v>871.0</v>
      </c>
    </row>
    <row r="1675">
      <c r="A1675" s="28">
        <v>45497.0</v>
      </c>
      <c r="B1675" s="29">
        <f t="shared" si="1"/>
        <v>30</v>
      </c>
      <c r="C1675" s="2" t="s">
        <v>81</v>
      </c>
    </row>
    <row r="1676">
      <c r="A1676" s="28">
        <v>45497.0</v>
      </c>
      <c r="B1676" s="29">
        <f t="shared" si="1"/>
        <v>30</v>
      </c>
      <c r="C1676" s="2" t="s">
        <v>82</v>
      </c>
    </row>
    <row r="1677">
      <c r="A1677" s="28">
        <v>45497.0</v>
      </c>
      <c r="B1677" s="29">
        <f t="shared" si="1"/>
        <v>30</v>
      </c>
      <c r="C1677" s="2" t="s">
        <v>83</v>
      </c>
      <c r="D1677" s="2">
        <v>1989.0</v>
      </c>
    </row>
    <row r="1678">
      <c r="A1678" s="28">
        <v>45497.0</v>
      </c>
      <c r="B1678" s="29">
        <f t="shared" si="1"/>
        <v>30</v>
      </c>
      <c r="C1678" s="2" t="s">
        <v>84</v>
      </c>
      <c r="D1678" s="2">
        <v>1962.0</v>
      </c>
    </row>
    <row r="1679">
      <c r="A1679" s="28">
        <v>45497.0</v>
      </c>
      <c r="B1679" s="29">
        <f t="shared" si="1"/>
        <v>30</v>
      </c>
      <c r="C1679" s="2" t="s">
        <v>85</v>
      </c>
      <c r="D1679" s="2">
        <v>54.0</v>
      </c>
    </row>
    <row r="1680">
      <c r="A1680" s="28">
        <v>45497.0</v>
      </c>
      <c r="B1680" s="29">
        <f t="shared" si="1"/>
        <v>30</v>
      </c>
      <c r="C1680" s="2" t="s">
        <v>86</v>
      </c>
    </row>
    <row r="1681">
      <c r="A1681" s="28">
        <v>45497.0</v>
      </c>
      <c r="B1681" s="29">
        <f t="shared" si="1"/>
        <v>30</v>
      </c>
      <c r="C1681" s="2" t="s">
        <v>87</v>
      </c>
    </row>
    <row r="1682">
      <c r="A1682" s="28">
        <v>45497.0</v>
      </c>
      <c r="B1682" s="29">
        <f t="shared" si="1"/>
        <v>30</v>
      </c>
      <c r="C1682" s="2" t="s">
        <v>88</v>
      </c>
      <c r="D1682" s="2">
        <v>889.0</v>
      </c>
    </row>
    <row r="1683">
      <c r="A1683" s="28">
        <v>45497.0</v>
      </c>
      <c r="B1683" s="29">
        <f t="shared" si="1"/>
        <v>30</v>
      </c>
      <c r="C1683" s="2" t="s">
        <v>89</v>
      </c>
      <c r="D1683" s="2">
        <v>932.0</v>
      </c>
    </row>
    <row r="1684">
      <c r="A1684" s="28">
        <v>45497.0</v>
      </c>
      <c r="B1684" s="29">
        <f t="shared" si="1"/>
        <v>30</v>
      </c>
      <c r="C1684" s="2" t="s">
        <v>90</v>
      </c>
      <c r="D1684" s="2">
        <v>0.0</v>
      </c>
    </row>
    <row r="1685">
      <c r="A1685" s="28">
        <v>45497.0</v>
      </c>
      <c r="B1685" s="29">
        <f t="shared" si="1"/>
        <v>30</v>
      </c>
      <c r="C1685" s="2" t="s">
        <v>91</v>
      </c>
    </row>
    <row r="1686">
      <c r="A1686" s="28">
        <v>45497.0</v>
      </c>
      <c r="B1686" s="29">
        <f t="shared" si="1"/>
        <v>30</v>
      </c>
      <c r="C1686" s="2" t="s">
        <v>92</v>
      </c>
    </row>
    <row r="1687">
      <c r="A1687" s="28">
        <v>45497.0</v>
      </c>
      <c r="B1687" s="29">
        <f t="shared" si="1"/>
        <v>30</v>
      </c>
      <c r="C1687" s="2" t="s">
        <v>93</v>
      </c>
    </row>
    <row r="1688">
      <c r="A1688" s="28">
        <v>45497.0</v>
      </c>
      <c r="B1688" s="29">
        <f t="shared" si="1"/>
        <v>30</v>
      </c>
      <c r="C1688" s="2" t="s">
        <v>94</v>
      </c>
    </row>
    <row r="1689">
      <c r="A1689" s="28">
        <v>45497.0</v>
      </c>
      <c r="B1689" s="29">
        <f t="shared" si="1"/>
        <v>30</v>
      </c>
      <c r="C1689" s="2" t="s">
        <v>95</v>
      </c>
    </row>
    <row r="1690">
      <c r="A1690" s="28">
        <v>45497.0</v>
      </c>
      <c r="B1690" s="29">
        <f t="shared" si="1"/>
        <v>30</v>
      </c>
      <c r="C1690" s="2" t="s">
        <v>96</v>
      </c>
      <c r="D1690" s="2">
        <v>191.0</v>
      </c>
    </row>
    <row r="1691">
      <c r="A1691" s="28">
        <v>45497.0</v>
      </c>
      <c r="B1691" s="29">
        <f t="shared" si="1"/>
        <v>30</v>
      </c>
      <c r="C1691" s="2" t="s">
        <v>97</v>
      </c>
      <c r="D1691" s="2">
        <v>2700.0</v>
      </c>
    </row>
    <row r="1692">
      <c r="A1692" s="28">
        <v>45497.0</v>
      </c>
      <c r="B1692" s="29">
        <f t="shared" si="1"/>
        <v>30</v>
      </c>
      <c r="C1692" s="2" t="s">
        <v>98</v>
      </c>
    </row>
    <row r="1693">
      <c r="A1693" s="28">
        <v>45497.0</v>
      </c>
      <c r="B1693" s="29">
        <f t="shared" si="1"/>
        <v>30</v>
      </c>
      <c r="C1693" s="2" t="s">
        <v>99</v>
      </c>
    </row>
    <row r="1694">
      <c r="A1694" s="28">
        <v>45497.0</v>
      </c>
      <c r="B1694" s="29">
        <f t="shared" si="1"/>
        <v>30</v>
      </c>
      <c r="C1694" s="2" t="s">
        <v>100</v>
      </c>
    </row>
    <row r="1695">
      <c r="A1695" s="28">
        <v>45504.0</v>
      </c>
      <c r="B1695" s="29">
        <f t="shared" si="1"/>
        <v>31</v>
      </c>
      <c r="C1695" s="2" t="s">
        <v>101</v>
      </c>
      <c r="D1695" s="2">
        <v>9917.0</v>
      </c>
    </row>
    <row r="1696">
      <c r="A1696" s="28">
        <v>45504.0</v>
      </c>
      <c r="B1696" s="29">
        <f t="shared" si="1"/>
        <v>31</v>
      </c>
      <c r="C1696" s="2" t="s">
        <v>80</v>
      </c>
      <c r="D1696" s="2">
        <v>2154.0</v>
      </c>
    </row>
    <row r="1697">
      <c r="A1697" s="28">
        <v>45504.0</v>
      </c>
      <c r="B1697" s="29">
        <f t="shared" si="1"/>
        <v>31</v>
      </c>
      <c r="C1697" s="2" t="s">
        <v>81</v>
      </c>
    </row>
    <row r="1698">
      <c r="A1698" s="28">
        <v>45504.0</v>
      </c>
      <c r="B1698" s="29">
        <f t="shared" si="1"/>
        <v>31</v>
      </c>
      <c r="C1698" s="2" t="s">
        <v>82</v>
      </c>
    </row>
    <row r="1699">
      <c r="A1699" s="28">
        <v>45504.0</v>
      </c>
      <c r="B1699" s="29">
        <f t="shared" si="1"/>
        <v>31</v>
      </c>
      <c r="C1699" s="2" t="s">
        <v>83</v>
      </c>
      <c r="D1699" s="2">
        <v>1460.0</v>
      </c>
    </row>
    <row r="1700">
      <c r="A1700" s="28">
        <v>45504.0</v>
      </c>
      <c r="B1700" s="29">
        <f t="shared" si="1"/>
        <v>31</v>
      </c>
      <c r="C1700" s="2" t="s">
        <v>84</v>
      </c>
      <c r="D1700" s="2">
        <v>1499.0</v>
      </c>
    </row>
    <row r="1701">
      <c r="A1701" s="28">
        <v>45504.0</v>
      </c>
      <c r="B1701" s="29">
        <f t="shared" si="1"/>
        <v>31</v>
      </c>
      <c r="C1701" s="2" t="s">
        <v>85</v>
      </c>
      <c r="D1701" s="2">
        <v>162.0</v>
      </c>
    </row>
    <row r="1702">
      <c r="A1702" s="28">
        <v>45504.0</v>
      </c>
      <c r="B1702" s="29">
        <f t="shared" si="1"/>
        <v>31</v>
      </c>
      <c r="C1702" s="2" t="s">
        <v>86</v>
      </c>
    </row>
    <row r="1703">
      <c r="A1703" s="28">
        <v>45504.0</v>
      </c>
      <c r="B1703" s="29">
        <f t="shared" si="1"/>
        <v>31</v>
      </c>
      <c r="C1703" s="2" t="s">
        <v>87</v>
      </c>
    </row>
    <row r="1704">
      <c r="A1704" s="28">
        <v>45504.0</v>
      </c>
      <c r="B1704" s="29">
        <f t="shared" si="1"/>
        <v>31</v>
      </c>
      <c r="C1704" s="2" t="s">
        <v>88</v>
      </c>
      <c r="D1704" s="2">
        <v>890.0</v>
      </c>
    </row>
    <row r="1705">
      <c r="A1705" s="28">
        <v>45504.0</v>
      </c>
      <c r="B1705" s="29">
        <f t="shared" si="1"/>
        <v>31</v>
      </c>
      <c r="C1705" s="2" t="s">
        <v>89</v>
      </c>
      <c r="D1705" s="2">
        <v>1607.0</v>
      </c>
    </row>
    <row r="1706">
      <c r="A1706" s="28">
        <v>45504.0</v>
      </c>
      <c r="B1706" s="29">
        <f t="shared" si="1"/>
        <v>31</v>
      </c>
      <c r="C1706" s="2" t="s">
        <v>90</v>
      </c>
      <c r="D1706" s="2">
        <v>0.0</v>
      </c>
    </row>
    <row r="1707">
      <c r="A1707" s="28">
        <v>45504.0</v>
      </c>
      <c r="B1707" s="29">
        <f t="shared" si="1"/>
        <v>31</v>
      </c>
      <c r="C1707" s="2" t="s">
        <v>91</v>
      </c>
    </row>
    <row r="1708">
      <c r="A1708" s="28">
        <v>45504.0</v>
      </c>
      <c r="B1708" s="29">
        <f t="shared" si="1"/>
        <v>31</v>
      </c>
      <c r="C1708" s="2" t="s">
        <v>92</v>
      </c>
    </row>
    <row r="1709">
      <c r="A1709" s="28">
        <v>45504.0</v>
      </c>
      <c r="B1709" s="29">
        <f t="shared" si="1"/>
        <v>31</v>
      </c>
      <c r="C1709" s="2" t="s">
        <v>93</v>
      </c>
    </row>
    <row r="1710">
      <c r="A1710" s="28">
        <v>45504.0</v>
      </c>
      <c r="B1710" s="29">
        <f t="shared" si="1"/>
        <v>31</v>
      </c>
      <c r="C1710" s="2" t="s">
        <v>94</v>
      </c>
    </row>
    <row r="1711">
      <c r="A1711" s="28">
        <v>45504.0</v>
      </c>
      <c r="B1711" s="29">
        <f t="shared" si="1"/>
        <v>31</v>
      </c>
      <c r="C1711" s="2" t="s">
        <v>95</v>
      </c>
    </row>
    <row r="1712">
      <c r="A1712" s="28">
        <v>45504.0</v>
      </c>
      <c r="B1712" s="29">
        <f t="shared" si="1"/>
        <v>31</v>
      </c>
      <c r="C1712" s="2" t="s">
        <v>96</v>
      </c>
      <c r="D1712" s="2">
        <v>132.0</v>
      </c>
    </row>
    <row r="1713">
      <c r="A1713" s="28">
        <v>45504.0</v>
      </c>
      <c r="B1713" s="29">
        <f t="shared" si="1"/>
        <v>31</v>
      </c>
      <c r="C1713" s="2" t="s">
        <v>97</v>
      </c>
      <c r="D1713" s="2">
        <v>2013.0</v>
      </c>
    </row>
    <row r="1714">
      <c r="A1714" s="28">
        <v>45504.0</v>
      </c>
      <c r="B1714" s="29">
        <f t="shared" si="1"/>
        <v>31</v>
      </c>
      <c r="C1714" s="2" t="s">
        <v>98</v>
      </c>
    </row>
    <row r="1715">
      <c r="A1715" s="28">
        <v>45504.0</v>
      </c>
      <c r="B1715" s="29">
        <f t="shared" si="1"/>
        <v>31</v>
      </c>
      <c r="C1715" s="2" t="s">
        <v>99</v>
      </c>
    </row>
    <row r="1716">
      <c r="A1716" s="28">
        <v>45504.0</v>
      </c>
      <c r="B1716" s="29">
        <f t="shared" si="1"/>
        <v>31</v>
      </c>
      <c r="C1716" s="2" t="s">
        <v>100</v>
      </c>
    </row>
    <row r="1717">
      <c r="A1717" s="28">
        <v>45511.0</v>
      </c>
      <c r="B1717" s="29">
        <f t="shared" si="1"/>
        <v>32</v>
      </c>
      <c r="C1717" s="2" t="s">
        <v>101</v>
      </c>
      <c r="D1717" s="2">
        <v>10953.0</v>
      </c>
    </row>
    <row r="1718">
      <c r="A1718" s="28">
        <v>45511.0</v>
      </c>
      <c r="B1718" s="29">
        <f t="shared" si="1"/>
        <v>32</v>
      </c>
      <c r="C1718" s="2" t="s">
        <v>80</v>
      </c>
      <c r="D1718" s="2">
        <v>1704.0</v>
      </c>
    </row>
    <row r="1719">
      <c r="A1719" s="28">
        <v>45511.0</v>
      </c>
      <c r="B1719" s="29">
        <f t="shared" si="1"/>
        <v>32</v>
      </c>
      <c r="C1719" s="2" t="s">
        <v>81</v>
      </c>
    </row>
    <row r="1720">
      <c r="A1720" s="28">
        <v>45511.0</v>
      </c>
      <c r="B1720" s="29">
        <f t="shared" si="1"/>
        <v>32</v>
      </c>
      <c r="C1720" s="2" t="s">
        <v>82</v>
      </c>
    </row>
    <row r="1721">
      <c r="A1721" s="28">
        <v>45511.0</v>
      </c>
      <c r="B1721" s="29">
        <f t="shared" si="1"/>
        <v>32</v>
      </c>
      <c r="C1721" s="2" t="s">
        <v>83</v>
      </c>
      <c r="D1721" s="2">
        <v>1012.0</v>
      </c>
    </row>
    <row r="1722">
      <c r="A1722" s="28">
        <v>45511.0</v>
      </c>
      <c r="B1722" s="29">
        <f t="shared" si="1"/>
        <v>32</v>
      </c>
      <c r="C1722" s="2" t="s">
        <v>84</v>
      </c>
      <c r="D1722" s="2">
        <v>1455.0</v>
      </c>
    </row>
    <row r="1723">
      <c r="A1723" s="28">
        <v>45511.0</v>
      </c>
      <c r="B1723" s="29">
        <f t="shared" si="1"/>
        <v>32</v>
      </c>
      <c r="C1723" s="2" t="s">
        <v>85</v>
      </c>
      <c r="D1723" s="2">
        <v>54.0</v>
      </c>
    </row>
    <row r="1724">
      <c r="A1724" s="28">
        <v>45511.0</v>
      </c>
      <c r="B1724" s="29">
        <f t="shared" si="1"/>
        <v>32</v>
      </c>
      <c r="C1724" s="2" t="s">
        <v>86</v>
      </c>
    </row>
    <row r="1725">
      <c r="A1725" s="28">
        <v>45511.0</v>
      </c>
      <c r="B1725" s="29">
        <f t="shared" si="1"/>
        <v>32</v>
      </c>
      <c r="C1725" s="2" t="s">
        <v>87</v>
      </c>
    </row>
    <row r="1726">
      <c r="A1726" s="28">
        <v>45511.0</v>
      </c>
      <c r="B1726" s="29">
        <f t="shared" si="1"/>
        <v>32</v>
      </c>
      <c r="C1726" s="2" t="s">
        <v>88</v>
      </c>
      <c r="D1726" s="2">
        <v>1074.0</v>
      </c>
    </row>
    <row r="1727">
      <c r="A1727" s="28">
        <v>45511.0</v>
      </c>
      <c r="B1727" s="29">
        <f t="shared" si="1"/>
        <v>32</v>
      </c>
      <c r="C1727" s="2" t="s">
        <v>89</v>
      </c>
      <c r="D1727" s="2">
        <v>428.0</v>
      </c>
    </row>
    <row r="1728">
      <c r="A1728" s="28">
        <v>45511.0</v>
      </c>
      <c r="B1728" s="29">
        <f t="shared" si="1"/>
        <v>32</v>
      </c>
      <c r="C1728" s="2" t="s">
        <v>90</v>
      </c>
      <c r="D1728" s="2">
        <v>0.0</v>
      </c>
    </row>
    <row r="1729">
      <c r="A1729" s="28">
        <v>45511.0</v>
      </c>
      <c r="B1729" s="29">
        <f t="shared" si="1"/>
        <v>32</v>
      </c>
      <c r="C1729" s="2" t="s">
        <v>91</v>
      </c>
    </row>
    <row r="1730">
      <c r="A1730" s="28">
        <v>45511.0</v>
      </c>
      <c r="B1730" s="29">
        <f t="shared" si="1"/>
        <v>32</v>
      </c>
      <c r="C1730" s="2" t="s">
        <v>92</v>
      </c>
    </row>
    <row r="1731">
      <c r="A1731" s="28">
        <v>45511.0</v>
      </c>
      <c r="B1731" s="29">
        <f t="shared" si="1"/>
        <v>32</v>
      </c>
      <c r="C1731" s="2" t="s">
        <v>93</v>
      </c>
    </row>
    <row r="1732">
      <c r="A1732" s="28">
        <v>45511.0</v>
      </c>
      <c r="B1732" s="29">
        <f t="shared" si="1"/>
        <v>32</v>
      </c>
      <c r="C1732" s="2" t="s">
        <v>94</v>
      </c>
    </row>
    <row r="1733">
      <c r="A1733" s="28">
        <v>45511.0</v>
      </c>
      <c r="B1733" s="29">
        <f t="shared" si="1"/>
        <v>32</v>
      </c>
      <c r="C1733" s="2" t="s">
        <v>95</v>
      </c>
    </row>
    <row r="1734">
      <c r="A1734" s="28">
        <v>45511.0</v>
      </c>
      <c r="B1734" s="29">
        <f t="shared" si="1"/>
        <v>32</v>
      </c>
      <c r="C1734" s="2" t="s">
        <v>96</v>
      </c>
      <c r="D1734" s="2">
        <v>226.0</v>
      </c>
    </row>
    <row r="1735">
      <c r="A1735" s="28">
        <v>45511.0</v>
      </c>
      <c r="B1735" s="29">
        <f t="shared" si="1"/>
        <v>32</v>
      </c>
      <c r="C1735" s="2" t="s">
        <v>97</v>
      </c>
      <c r="D1735" s="2">
        <v>5000.0</v>
      </c>
    </row>
    <row r="1736">
      <c r="A1736" s="28">
        <v>45511.0</v>
      </c>
      <c r="B1736" s="29">
        <f t="shared" si="1"/>
        <v>32</v>
      </c>
      <c r="C1736" s="2" t="s">
        <v>98</v>
      </c>
    </row>
    <row r="1737">
      <c r="A1737" s="28">
        <v>45511.0</v>
      </c>
      <c r="B1737" s="29">
        <f t="shared" si="1"/>
        <v>32</v>
      </c>
      <c r="C1737" s="2" t="s">
        <v>99</v>
      </c>
    </row>
    <row r="1738">
      <c r="A1738" s="28">
        <v>45511.0</v>
      </c>
      <c r="B1738" s="29">
        <f t="shared" si="1"/>
        <v>32</v>
      </c>
      <c r="C1738" s="2" t="s">
        <v>100</v>
      </c>
    </row>
    <row r="1739">
      <c r="A1739" s="28">
        <v>45518.0</v>
      </c>
      <c r="B1739" s="29">
        <f t="shared" si="1"/>
        <v>33</v>
      </c>
      <c r="C1739" s="2" t="s">
        <v>101</v>
      </c>
      <c r="D1739" s="2">
        <v>6132.0</v>
      </c>
    </row>
    <row r="1740">
      <c r="A1740" s="28">
        <v>45518.0</v>
      </c>
      <c r="B1740" s="29">
        <f t="shared" si="1"/>
        <v>33</v>
      </c>
      <c r="C1740" s="2" t="s">
        <v>80</v>
      </c>
      <c r="D1740" s="2">
        <v>1074.0</v>
      </c>
    </row>
    <row r="1741">
      <c r="A1741" s="28">
        <v>45518.0</v>
      </c>
      <c r="B1741" s="29">
        <f t="shared" si="1"/>
        <v>33</v>
      </c>
      <c r="C1741" s="2" t="s">
        <v>81</v>
      </c>
    </row>
    <row r="1742">
      <c r="A1742" s="28">
        <v>45518.0</v>
      </c>
      <c r="B1742" s="29">
        <f t="shared" si="1"/>
        <v>33</v>
      </c>
      <c r="C1742" s="2" t="s">
        <v>82</v>
      </c>
    </row>
    <row r="1743">
      <c r="A1743" s="28">
        <v>45518.0</v>
      </c>
      <c r="B1743" s="29">
        <f t="shared" si="1"/>
        <v>33</v>
      </c>
      <c r="C1743" s="2" t="s">
        <v>83</v>
      </c>
      <c r="D1743" s="2">
        <v>2154.0</v>
      </c>
    </row>
    <row r="1744">
      <c r="A1744" s="28">
        <v>45518.0</v>
      </c>
      <c r="B1744" s="29">
        <f t="shared" si="1"/>
        <v>33</v>
      </c>
      <c r="C1744" s="2" t="s">
        <v>84</v>
      </c>
      <c r="D1744" s="2">
        <v>1347.0</v>
      </c>
    </row>
    <row r="1745">
      <c r="A1745" s="28">
        <v>45518.0</v>
      </c>
      <c r="B1745" s="29">
        <f t="shared" si="1"/>
        <v>33</v>
      </c>
      <c r="C1745" s="2" t="s">
        <v>85</v>
      </c>
      <c r="D1745" s="2">
        <v>54.0</v>
      </c>
    </row>
    <row r="1746">
      <c r="A1746" s="28">
        <v>45518.0</v>
      </c>
      <c r="B1746" s="29">
        <f t="shared" si="1"/>
        <v>33</v>
      </c>
      <c r="C1746" s="2" t="s">
        <v>86</v>
      </c>
    </row>
    <row r="1747">
      <c r="A1747" s="28">
        <v>45518.0</v>
      </c>
      <c r="B1747" s="29">
        <f t="shared" si="1"/>
        <v>33</v>
      </c>
      <c r="C1747" s="2" t="s">
        <v>87</v>
      </c>
    </row>
    <row r="1748">
      <c r="A1748" s="28">
        <v>45518.0</v>
      </c>
      <c r="B1748" s="29">
        <f t="shared" si="1"/>
        <v>33</v>
      </c>
      <c r="C1748" s="2" t="s">
        <v>88</v>
      </c>
      <c r="D1748" s="2">
        <v>356.0</v>
      </c>
    </row>
    <row r="1749">
      <c r="A1749" s="28">
        <v>45518.0</v>
      </c>
      <c r="B1749" s="29">
        <f t="shared" si="1"/>
        <v>33</v>
      </c>
      <c r="C1749" s="2" t="s">
        <v>89</v>
      </c>
      <c r="D1749" s="2">
        <v>547.0</v>
      </c>
    </row>
    <row r="1750">
      <c r="A1750" s="28">
        <v>45518.0</v>
      </c>
      <c r="B1750" s="29">
        <f t="shared" si="1"/>
        <v>33</v>
      </c>
      <c r="C1750" s="2" t="s">
        <v>90</v>
      </c>
      <c r="D1750" s="2">
        <v>0.0</v>
      </c>
    </row>
    <row r="1751">
      <c r="A1751" s="28">
        <v>45518.0</v>
      </c>
      <c r="B1751" s="29">
        <f t="shared" si="1"/>
        <v>33</v>
      </c>
      <c r="C1751" s="2" t="s">
        <v>91</v>
      </c>
    </row>
    <row r="1752">
      <c r="A1752" s="28">
        <v>45518.0</v>
      </c>
      <c r="B1752" s="29">
        <f t="shared" si="1"/>
        <v>33</v>
      </c>
      <c r="C1752" s="2" t="s">
        <v>92</v>
      </c>
    </row>
    <row r="1753">
      <c r="A1753" s="28">
        <v>45518.0</v>
      </c>
      <c r="B1753" s="29">
        <f t="shared" si="1"/>
        <v>33</v>
      </c>
      <c r="C1753" s="2" t="s">
        <v>93</v>
      </c>
    </row>
    <row r="1754">
      <c r="A1754" s="28">
        <v>45518.0</v>
      </c>
      <c r="B1754" s="29">
        <f t="shared" si="1"/>
        <v>33</v>
      </c>
      <c r="C1754" s="2" t="s">
        <v>94</v>
      </c>
    </row>
    <row r="1755">
      <c r="A1755" s="28">
        <v>45518.0</v>
      </c>
      <c r="B1755" s="29">
        <f t="shared" si="1"/>
        <v>33</v>
      </c>
      <c r="C1755" s="2" t="s">
        <v>95</v>
      </c>
    </row>
    <row r="1756">
      <c r="A1756" s="28">
        <v>45518.0</v>
      </c>
      <c r="B1756" s="29">
        <f t="shared" si="1"/>
        <v>33</v>
      </c>
      <c r="C1756" s="2" t="s">
        <v>96</v>
      </c>
      <c r="D1756" s="2">
        <v>150.0</v>
      </c>
    </row>
    <row r="1757">
      <c r="A1757" s="28">
        <v>45518.0</v>
      </c>
      <c r="B1757" s="29">
        <f t="shared" si="1"/>
        <v>33</v>
      </c>
      <c r="C1757" s="2" t="s">
        <v>97</v>
      </c>
      <c r="D1757" s="2">
        <v>450.0</v>
      </c>
    </row>
    <row r="1758">
      <c r="A1758" s="28">
        <v>45518.0</v>
      </c>
      <c r="B1758" s="29">
        <f t="shared" si="1"/>
        <v>33</v>
      </c>
      <c r="C1758" s="2" t="s">
        <v>98</v>
      </c>
    </row>
    <row r="1759">
      <c r="A1759" s="28">
        <v>45518.0</v>
      </c>
      <c r="B1759" s="29">
        <f t="shared" si="1"/>
        <v>33</v>
      </c>
      <c r="C1759" s="2" t="s">
        <v>99</v>
      </c>
    </row>
    <row r="1760">
      <c r="A1760" s="28">
        <v>45518.0</v>
      </c>
      <c r="B1760" s="29">
        <f t="shared" si="1"/>
        <v>33</v>
      </c>
      <c r="C1760" s="2" t="s">
        <v>100</v>
      </c>
    </row>
    <row r="1761">
      <c r="A1761" s="28">
        <v>45525.0</v>
      </c>
      <c r="B1761" s="29">
        <f t="shared" si="1"/>
        <v>34</v>
      </c>
      <c r="C1761" s="2" t="s">
        <v>101</v>
      </c>
      <c r="D1761" s="2">
        <v>7711.0</v>
      </c>
    </row>
    <row r="1762">
      <c r="A1762" s="28">
        <v>45525.0</v>
      </c>
      <c r="B1762" s="29">
        <f t="shared" si="1"/>
        <v>34</v>
      </c>
      <c r="C1762" s="2" t="s">
        <v>80</v>
      </c>
      <c r="D1762" s="2">
        <v>1018.0</v>
      </c>
    </row>
    <row r="1763">
      <c r="A1763" s="28">
        <v>45525.0</v>
      </c>
      <c r="B1763" s="29">
        <f t="shared" si="1"/>
        <v>34</v>
      </c>
      <c r="C1763" s="2" t="s">
        <v>81</v>
      </c>
    </row>
    <row r="1764">
      <c r="A1764" s="28">
        <v>45525.0</v>
      </c>
      <c r="B1764" s="29">
        <f t="shared" si="1"/>
        <v>34</v>
      </c>
      <c r="C1764" s="2" t="s">
        <v>82</v>
      </c>
    </row>
    <row r="1765">
      <c r="A1765" s="28">
        <v>45525.0</v>
      </c>
      <c r="B1765" s="29">
        <f t="shared" si="1"/>
        <v>34</v>
      </c>
      <c r="C1765" s="2" t="s">
        <v>83</v>
      </c>
      <c r="D1765" s="2">
        <v>1698.0</v>
      </c>
    </row>
    <row r="1766">
      <c r="A1766" s="28">
        <v>45525.0</v>
      </c>
      <c r="B1766" s="29">
        <f t="shared" si="1"/>
        <v>34</v>
      </c>
      <c r="C1766" s="2" t="s">
        <v>84</v>
      </c>
      <c r="D1766" s="2">
        <v>1327.0</v>
      </c>
    </row>
    <row r="1767">
      <c r="A1767" s="28">
        <v>45525.0</v>
      </c>
      <c r="B1767" s="29">
        <f t="shared" si="1"/>
        <v>34</v>
      </c>
      <c r="C1767" s="2" t="s">
        <v>85</v>
      </c>
      <c r="D1767" s="2">
        <v>0.0</v>
      </c>
    </row>
    <row r="1768">
      <c r="A1768" s="28">
        <v>45525.0</v>
      </c>
      <c r="B1768" s="29">
        <f t="shared" si="1"/>
        <v>34</v>
      </c>
      <c r="C1768" s="2" t="s">
        <v>86</v>
      </c>
    </row>
    <row r="1769">
      <c r="A1769" s="28">
        <v>45525.0</v>
      </c>
      <c r="B1769" s="29">
        <f t="shared" si="1"/>
        <v>34</v>
      </c>
      <c r="C1769" s="2" t="s">
        <v>87</v>
      </c>
    </row>
    <row r="1770">
      <c r="A1770" s="28">
        <v>45525.0</v>
      </c>
      <c r="B1770" s="29">
        <f t="shared" si="1"/>
        <v>34</v>
      </c>
      <c r="C1770" s="2" t="s">
        <v>88</v>
      </c>
      <c r="D1770" s="2">
        <v>445.0</v>
      </c>
    </row>
    <row r="1771">
      <c r="A1771" s="28">
        <v>45525.0</v>
      </c>
      <c r="B1771" s="29">
        <f t="shared" si="1"/>
        <v>34</v>
      </c>
      <c r="C1771" s="2" t="s">
        <v>89</v>
      </c>
      <c r="D1771" s="2">
        <v>722.0</v>
      </c>
    </row>
    <row r="1772">
      <c r="A1772" s="28">
        <v>45525.0</v>
      </c>
      <c r="B1772" s="29">
        <f t="shared" si="1"/>
        <v>34</v>
      </c>
      <c r="C1772" s="2" t="s">
        <v>90</v>
      </c>
      <c r="D1772" s="2">
        <v>0.0</v>
      </c>
    </row>
    <row r="1773">
      <c r="A1773" s="28">
        <v>45525.0</v>
      </c>
      <c r="B1773" s="29">
        <f t="shared" si="1"/>
        <v>34</v>
      </c>
      <c r="C1773" s="2" t="s">
        <v>91</v>
      </c>
    </row>
    <row r="1774">
      <c r="A1774" s="28">
        <v>45525.0</v>
      </c>
      <c r="B1774" s="29">
        <f t="shared" si="1"/>
        <v>34</v>
      </c>
      <c r="C1774" s="2" t="s">
        <v>92</v>
      </c>
    </row>
    <row r="1775">
      <c r="A1775" s="28">
        <v>45525.0</v>
      </c>
      <c r="B1775" s="29">
        <f t="shared" si="1"/>
        <v>34</v>
      </c>
      <c r="C1775" s="2" t="s">
        <v>93</v>
      </c>
    </row>
    <row r="1776">
      <c r="A1776" s="28">
        <v>45525.0</v>
      </c>
      <c r="B1776" s="29">
        <f t="shared" si="1"/>
        <v>34</v>
      </c>
      <c r="C1776" s="2" t="s">
        <v>94</v>
      </c>
    </row>
    <row r="1777">
      <c r="A1777" s="28">
        <v>45525.0</v>
      </c>
      <c r="B1777" s="29">
        <f t="shared" si="1"/>
        <v>34</v>
      </c>
      <c r="C1777" s="2" t="s">
        <v>95</v>
      </c>
    </row>
    <row r="1778">
      <c r="A1778" s="28">
        <v>45525.0</v>
      </c>
      <c r="B1778" s="29">
        <f t="shared" si="1"/>
        <v>34</v>
      </c>
      <c r="C1778" s="2" t="s">
        <v>96</v>
      </c>
      <c r="D1778" s="2">
        <v>175.0</v>
      </c>
    </row>
    <row r="1779">
      <c r="A1779" s="28">
        <v>45525.0</v>
      </c>
      <c r="B1779" s="29">
        <f t="shared" si="1"/>
        <v>34</v>
      </c>
      <c r="C1779" s="2" t="s">
        <v>97</v>
      </c>
      <c r="D1779" s="2">
        <v>2326.0</v>
      </c>
    </row>
    <row r="1780">
      <c r="A1780" s="28">
        <v>45525.0</v>
      </c>
      <c r="B1780" s="29">
        <f t="shared" si="1"/>
        <v>34</v>
      </c>
      <c r="C1780" s="2" t="s">
        <v>98</v>
      </c>
    </row>
    <row r="1781">
      <c r="A1781" s="28">
        <v>45525.0</v>
      </c>
      <c r="B1781" s="29">
        <f t="shared" si="1"/>
        <v>34</v>
      </c>
      <c r="C1781" s="2" t="s">
        <v>99</v>
      </c>
    </row>
    <row r="1782">
      <c r="A1782" s="28">
        <v>45525.0</v>
      </c>
      <c r="B1782" s="29">
        <f t="shared" si="1"/>
        <v>34</v>
      </c>
      <c r="C1782" s="2" t="s">
        <v>100</v>
      </c>
    </row>
    <row r="1783">
      <c r="A1783" s="28">
        <v>45532.0</v>
      </c>
      <c r="B1783" s="29">
        <f t="shared" si="1"/>
        <v>35</v>
      </c>
      <c r="C1783" s="2" t="s">
        <v>101</v>
      </c>
      <c r="D1783" s="2">
        <v>6273.0</v>
      </c>
    </row>
    <row r="1784">
      <c r="A1784" s="28">
        <v>45532.0</v>
      </c>
      <c r="B1784" s="29">
        <f t="shared" si="1"/>
        <v>35</v>
      </c>
      <c r="C1784" s="2" t="s">
        <v>80</v>
      </c>
      <c r="D1784" s="2">
        <v>1766.0</v>
      </c>
    </row>
    <row r="1785">
      <c r="A1785" s="28">
        <v>45532.0</v>
      </c>
      <c r="B1785" s="29">
        <f t="shared" si="1"/>
        <v>35</v>
      </c>
      <c r="C1785" s="2" t="s">
        <v>81</v>
      </c>
    </row>
    <row r="1786">
      <c r="A1786" s="28">
        <v>45532.0</v>
      </c>
      <c r="B1786" s="29">
        <f t="shared" si="1"/>
        <v>35</v>
      </c>
      <c r="C1786" s="2" t="s">
        <v>82</v>
      </c>
    </row>
    <row r="1787">
      <c r="A1787" s="28">
        <v>45532.0</v>
      </c>
      <c r="B1787" s="29">
        <f t="shared" si="1"/>
        <v>35</v>
      </c>
      <c r="C1787" s="2" t="s">
        <v>83</v>
      </c>
      <c r="D1787" s="2">
        <v>1322.0</v>
      </c>
    </row>
    <row r="1788">
      <c r="A1788" s="28">
        <v>45532.0</v>
      </c>
      <c r="B1788" s="29">
        <f t="shared" si="1"/>
        <v>35</v>
      </c>
      <c r="C1788" s="2" t="s">
        <v>84</v>
      </c>
      <c r="D1788" s="2">
        <v>1290.0</v>
      </c>
    </row>
    <row r="1789">
      <c r="A1789" s="28">
        <v>45532.0</v>
      </c>
      <c r="B1789" s="29">
        <f t="shared" si="1"/>
        <v>35</v>
      </c>
      <c r="C1789" s="2" t="s">
        <v>85</v>
      </c>
      <c r="D1789" s="2">
        <v>54.0</v>
      </c>
    </row>
    <row r="1790">
      <c r="A1790" s="28">
        <v>45532.0</v>
      </c>
      <c r="B1790" s="29">
        <f t="shared" si="1"/>
        <v>35</v>
      </c>
      <c r="C1790" s="2" t="s">
        <v>86</v>
      </c>
    </row>
    <row r="1791">
      <c r="A1791" s="28">
        <v>45532.0</v>
      </c>
      <c r="B1791" s="29">
        <f t="shared" si="1"/>
        <v>35</v>
      </c>
      <c r="C1791" s="2" t="s">
        <v>87</v>
      </c>
    </row>
    <row r="1792">
      <c r="A1792" s="28">
        <v>45532.0</v>
      </c>
      <c r="B1792" s="29">
        <f t="shared" si="1"/>
        <v>35</v>
      </c>
      <c r="C1792" s="2" t="s">
        <v>88</v>
      </c>
      <c r="D1792" s="2">
        <v>545.0</v>
      </c>
    </row>
    <row r="1793">
      <c r="A1793" s="28">
        <v>45532.0</v>
      </c>
      <c r="B1793" s="29">
        <f t="shared" si="1"/>
        <v>35</v>
      </c>
      <c r="C1793" s="2" t="s">
        <v>89</v>
      </c>
      <c r="D1793" s="2">
        <v>846.0</v>
      </c>
    </row>
    <row r="1794">
      <c r="A1794" s="28">
        <v>45532.0</v>
      </c>
      <c r="B1794" s="29">
        <f t="shared" si="1"/>
        <v>35</v>
      </c>
      <c r="C1794" s="2" t="s">
        <v>90</v>
      </c>
      <c r="D1794" s="2">
        <v>0.0</v>
      </c>
    </row>
    <row r="1795">
      <c r="A1795" s="28">
        <v>45532.0</v>
      </c>
      <c r="B1795" s="29">
        <f t="shared" si="1"/>
        <v>35</v>
      </c>
      <c r="C1795" s="2" t="s">
        <v>91</v>
      </c>
    </row>
    <row r="1796">
      <c r="A1796" s="28">
        <v>45532.0</v>
      </c>
      <c r="B1796" s="29">
        <f t="shared" si="1"/>
        <v>35</v>
      </c>
      <c r="C1796" s="2" t="s">
        <v>92</v>
      </c>
    </row>
    <row r="1797">
      <c r="A1797" s="28">
        <v>45532.0</v>
      </c>
      <c r="B1797" s="29">
        <f t="shared" si="1"/>
        <v>35</v>
      </c>
      <c r="C1797" s="2" t="s">
        <v>93</v>
      </c>
    </row>
    <row r="1798">
      <c r="A1798" s="28">
        <v>45532.0</v>
      </c>
      <c r="B1798" s="29">
        <f t="shared" si="1"/>
        <v>35</v>
      </c>
      <c r="C1798" s="2" t="s">
        <v>94</v>
      </c>
    </row>
    <row r="1799">
      <c r="A1799" s="28">
        <v>45532.0</v>
      </c>
      <c r="B1799" s="29">
        <f t="shared" si="1"/>
        <v>35</v>
      </c>
      <c r="C1799" s="2" t="s">
        <v>95</v>
      </c>
    </row>
    <row r="1800">
      <c r="A1800" s="28">
        <v>45532.0</v>
      </c>
      <c r="B1800" s="29">
        <f t="shared" si="1"/>
        <v>35</v>
      </c>
      <c r="C1800" s="2" t="s">
        <v>96</v>
      </c>
      <c r="D1800" s="2">
        <v>250.0</v>
      </c>
    </row>
    <row r="1801">
      <c r="A1801" s="28">
        <v>45532.0</v>
      </c>
      <c r="B1801" s="29">
        <f t="shared" si="1"/>
        <v>35</v>
      </c>
      <c r="C1801" s="2" t="s">
        <v>97</v>
      </c>
      <c r="D1801" s="2">
        <v>200.0</v>
      </c>
    </row>
    <row r="1802">
      <c r="A1802" s="28">
        <v>45532.0</v>
      </c>
      <c r="B1802" s="29">
        <f t="shared" si="1"/>
        <v>35</v>
      </c>
      <c r="C1802" s="2" t="s">
        <v>98</v>
      </c>
    </row>
    <row r="1803">
      <c r="A1803" s="28">
        <v>45532.0</v>
      </c>
      <c r="B1803" s="29">
        <f t="shared" si="1"/>
        <v>35</v>
      </c>
      <c r="C1803" s="2" t="s">
        <v>99</v>
      </c>
    </row>
    <row r="1804">
      <c r="A1804" s="28">
        <v>45532.0</v>
      </c>
      <c r="B1804" s="29">
        <f t="shared" si="1"/>
        <v>35</v>
      </c>
      <c r="C1804" s="2" t="s">
        <v>100</v>
      </c>
    </row>
    <row r="1805">
      <c r="A1805" s="28">
        <v>45539.0</v>
      </c>
      <c r="B1805" s="29">
        <f t="shared" si="1"/>
        <v>36</v>
      </c>
      <c r="C1805" s="2" t="s">
        <v>101</v>
      </c>
      <c r="D1805" s="2">
        <v>6211.0</v>
      </c>
    </row>
    <row r="1806">
      <c r="A1806" s="28">
        <v>45539.0</v>
      </c>
      <c r="B1806" s="29">
        <f t="shared" si="1"/>
        <v>36</v>
      </c>
      <c r="C1806" s="2" t="s">
        <v>80</v>
      </c>
      <c r="D1806" s="2">
        <v>1210.0</v>
      </c>
    </row>
    <row r="1807">
      <c r="A1807" s="28">
        <v>45539.0</v>
      </c>
      <c r="B1807" s="29">
        <f t="shared" si="1"/>
        <v>36</v>
      </c>
      <c r="C1807" s="2" t="s">
        <v>81</v>
      </c>
    </row>
    <row r="1808">
      <c r="A1808" s="28">
        <v>45539.0</v>
      </c>
      <c r="B1808" s="29">
        <f t="shared" si="1"/>
        <v>36</v>
      </c>
      <c r="C1808" s="2" t="s">
        <v>82</v>
      </c>
    </row>
    <row r="1809">
      <c r="A1809" s="28">
        <v>45539.0</v>
      </c>
      <c r="B1809" s="29">
        <f t="shared" si="1"/>
        <v>36</v>
      </c>
      <c r="C1809" s="2" t="s">
        <v>83</v>
      </c>
      <c r="D1809" s="2">
        <v>1184.0</v>
      </c>
    </row>
    <row r="1810">
      <c r="A1810" s="28">
        <v>45539.0</v>
      </c>
      <c r="B1810" s="29">
        <f t="shared" si="1"/>
        <v>36</v>
      </c>
      <c r="C1810" s="2" t="s">
        <v>84</v>
      </c>
      <c r="D1810" s="2">
        <v>1148.0</v>
      </c>
    </row>
    <row r="1811">
      <c r="A1811" s="28">
        <v>45539.0</v>
      </c>
      <c r="B1811" s="29">
        <f t="shared" si="1"/>
        <v>36</v>
      </c>
      <c r="C1811" s="2" t="s">
        <v>85</v>
      </c>
      <c r="D1811" s="2">
        <v>54.0</v>
      </c>
    </row>
    <row r="1812">
      <c r="A1812" s="28">
        <v>45539.0</v>
      </c>
      <c r="B1812" s="29">
        <f t="shared" si="1"/>
        <v>36</v>
      </c>
      <c r="C1812" s="2" t="s">
        <v>86</v>
      </c>
    </row>
    <row r="1813">
      <c r="A1813" s="28">
        <v>45539.0</v>
      </c>
      <c r="B1813" s="29">
        <f t="shared" si="1"/>
        <v>36</v>
      </c>
      <c r="C1813" s="2" t="s">
        <v>87</v>
      </c>
    </row>
    <row r="1814">
      <c r="A1814" s="28">
        <v>45539.0</v>
      </c>
      <c r="B1814" s="29">
        <f t="shared" si="1"/>
        <v>36</v>
      </c>
      <c r="C1814" s="2" t="s">
        <v>88</v>
      </c>
      <c r="D1814" s="2">
        <v>434.0</v>
      </c>
    </row>
    <row r="1815">
      <c r="A1815" s="28">
        <v>45539.0</v>
      </c>
      <c r="B1815" s="29">
        <f t="shared" si="1"/>
        <v>36</v>
      </c>
      <c r="C1815" s="2" t="s">
        <v>89</v>
      </c>
      <c r="D1815" s="2">
        <v>567.0</v>
      </c>
    </row>
    <row r="1816">
      <c r="A1816" s="28">
        <v>45539.0</v>
      </c>
      <c r="B1816" s="29">
        <f t="shared" si="1"/>
        <v>36</v>
      </c>
      <c r="C1816" s="2" t="s">
        <v>90</v>
      </c>
      <c r="D1816" s="2">
        <v>0.0</v>
      </c>
    </row>
    <row r="1817">
      <c r="A1817" s="28">
        <v>45539.0</v>
      </c>
      <c r="B1817" s="29">
        <f t="shared" si="1"/>
        <v>36</v>
      </c>
      <c r="C1817" s="2" t="s">
        <v>91</v>
      </c>
    </row>
    <row r="1818">
      <c r="A1818" s="28">
        <v>45539.0</v>
      </c>
      <c r="B1818" s="29">
        <f t="shared" si="1"/>
        <v>36</v>
      </c>
      <c r="C1818" s="2" t="s">
        <v>92</v>
      </c>
    </row>
    <row r="1819">
      <c r="A1819" s="28">
        <v>45539.0</v>
      </c>
      <c r="B1819" s="29">
        <f t="shared" si="1"/>
        <v>36</v>
      </c>
      <c r="C1819" s="2" t="s">
        <v>93</v>
      </c>
    </row>
    <row r="1820">
      <c r="A1820" s="28">
        <v>45539.0</v>
      </c>
      <c r="B1820" s="29">
        <f t="shared" si="1"/>
        <v>36</v>
      </c>
      <c r="C1820" s="2" t="s">
        <v>94</v>
      </c>
    </row>
    <row r="1821">
      <c r="A1821" s="28">
        <v>45539.0</v>
      </c>
      <c r="B1821" s="29">
        <f t="shared" si="1"/>
        <v>36</v>
      </c>
      <c r="C1821" s="2" t="s">
        <v>95</v>
      </c>
    </row>
    <row r="1822">
      <c r="A1822" s="28">
        <v>45539.0</v>
      </c>
      <c r="B1822" s="29">
        <f t="shared" si="1"/>
        <v>36</v>
      </c>
      <c r="C1822" s="2" t="s">
        <v>96</v>
      </c>
      <c r="D1822" s="2">
        <v>214.0</v>
      </c>
    </row>
    <row r="1823">
      <c r="A1823" s="28">
        <v>45539.0</v>
      </c>
      <c r="B1823" s="29">
        <f t="shared" si="1"/>
        <v>36</v>
      </c>
      <c r="C1823" s="2" t="s">
        <v>97</v>
      </c>
      <c r="D1823" s="2">
        <v>1400.0</v>
      </c>
    </row>
    <row r="1824">
      <c r="A1824" s="28">
        <v>45539.0</v>
      </c>
      <c r="B1824" s="29">
        <f t="shared" si="1"/>
        <v>36</v>
      </c>
      <c r="C1824" s="2" t="s">
        <v>98</v>
      </c>
    </row>
    <row r="1825">
      <c r="A1825" s="28">
        <v>45539.0</v>
      </c>
      <c r="B1825" s="29">
        <f t="shared" si="1"/>
        <v>36</v>
      </c>
      <c r="C1825" s="2" t="s">
        <v>99</v>
      </c>
    </row>
    <row r="1826">
      <c r="A1826" s="28">
        <v>45539.0</v>
      </c>
      <c r="B1826" s="29">
        <f t="shared" si="1"/>
        <v>36</v>
      </c>
      <c r="C1826" s="2" t="s">
        <v>100</v>
      </c>
    </row>
    <row r="1827">
      <c r="A1827" s="28">
        <v>45546.0</v>
      </c>
      <c r="B1827" s="29">
        <f t="shared" si="1"/>
        <v>37</v>
      </c>
      <c r="C1827" s="2" t="s">
        <v>101</v>
      </c>
      <c r="D1827" s="2">
        <v>8608.0</v>
      </c>
    </row>
    <row r="1828">
      <c r="A1828" s="28">
        <v>45546.0</v>
      </c>
      <c r="B1828" s="29">
        <f t="shared" si="1"/>
        <v>37</v>
      </c>
      <c r="C1828" s="2" t="s">
        <v>80</v>
      </c>
      <c r="D1828" s="2">
        <v>875.0</v>
      </c>
    </row>
    <row r="1829">
      <c r="A1829" s="28">
        <v>45546.0</v>
      </c>
      <c r="B1829" s="29">
        <f t="shared" si="1"/>
        <v>37</v>
      </c>
      <c r="C1829" s="2" t="s">
        <v>81</v>
      </c>
    </row>
    <row r="1830">
      <c r="A1830" s="28">
        <v>45546.0</v>
      </c>
      <c r="B1830" s="29">
        <f t="shared" si="1"/>
        <v>37</v>
      </c>
      <c r="C1830" s="2" t="s">
        <v>82</v>
      </c>
    </row>
    <row r="1831">
      <c r="A1831" s="28">
        <v>45546.0</v>
      </c>
      <c r="B1831" s="29">
        <f t="shared" si="1"/>
        <v>37</v>
      </c>
      <c r="C1831" s="2" t="s">
        <v>83</v>
      </c>
      <c r="D1831" s="2">
        <v>1143.0</v>
      </c>
    </row>
    <row r="1832">
      <c r="A1832" s="28">
        <v>45546.0</v>
      </c>
      <c r="B1832" s="29">
        <f t="shared" si="1"/>
        <v>37</v>
      </c>
      <c r="C1832" s="2" t="s">
        <v>84</v>
      </c>
      <c r="D1832" s="2">
        <v>1133.0</v>
      </c>
    </row>
    <row r="1833">
      <c r="A1833" s="28">
        <v>45546.0</v>
      </c>
      <c r="B1833" s="29">
        <f t="shared" si="1"/>
        <v>37</v>
      </c>
      <c r="C1833" s="2" t="s">
        <v>85</v>
      </c>
      <c r="D1833" s="2">
        <v>54.0</v>
      </c>
    </row>
    <row r="1834">
      <c r="A1834" s="28">
        <v>45546.0</v>
      </c>
      <c r="B1834" s="29">
        <f t="shared" si="1"/>
        <v>37</v>
      </c>
      <c r="C1834" s="2" t="s">
        <v>86</v>
      </c>
    </row>
    <row r="1835">
      <c r="A1835" s="28">
        <v>45546.0</v>
      </c>
      <c r="B1835" s="29">
        <f t="shared" si="1"/>
        <v>37</v>
      </c>
      <c r="C1835" s="2" t="s">
        <v>87</v>
      </c>
    </row>
    <row r="1836">
      <c r="A1836" s="28">
        <v>45546.0</v>
      </c>
      <c r="B1836" s="29">
        <f t="shared" si="1"/>
        <v>37</v>
      </c>
      <c r="C1836" s="2" t="s">
        <v>88</v>
      </c>
      <c r="D1836" s="2">
        <v>721.0</v>
      </c>
    </row>
    <row r="1837">
      <c r="A1837" s="28">
        <v>45546.0</v>
      </c>
      <c r="B1837" s="29">
        <f t="shared" si="1"/>
        <v>37</v>
      </c>
      <c r="C1837" s="2" t="s">
        <v>89</v>
      </c>
      <c r="D1837" s="2">
        <v>1059.0</v>
      </c>
    </row>
    <row r="1838">
      <c r="A1838" s="28">
        <v>45546.0</v>
      </c>
      <c r="B1838" s="29">
        <f t="shared" si="1"/>
        <v>37</v>
      </c>
      <c r="C1838" s="2" t="s">
        <v>90</v>
      </c>
      <c r="D1838" s="2">
        <v>0.0</v>
      </c>
    </row>
    <row r="1839">
      <c r="A1839" s="28">
        <v>45546.0</v>
      </c>
      <c r="B1839" s="29">
        <f t="shared" si="1"/>
        <v>37</v>
      </c>
      <c r="C1839" s="2" t="s">
        <v>91</v>
      </c>
    </row>
    <row r="1840">
      <c r="A1840" s="28">
        <v>45546.0</v>
      </c>
      <c r="B1840" s="29">
        <f t="shared" si="1"/>
        <v>37</v>
      </c>
      <c r="C1840" s="2" t="s">
        <v>92</v>
      </c>
    </row>
    <row r="1841">
      <c r="A1841" s="28">
        <v>45546.0</v>
      </c>
      <c r="B1841" s="29">
        <f t="shared" si="1"/>
        <v>37</v>
      </c>
      <c r="C1841" s="2" t="s">
        <v>93</v>
      </c>
    </row>
    <row r="1842">
      <c r="A1842" s="28">
        <v>45546.0</v>
      </c>
      <c r="B1842" s="29">
        <f t="shared" si="1"/>
        <v>37</v>
      </c>
      <c r="C1842" s="2" t="s">
        <v>94</v>
      </c>
    </row>
    <row r="1843">
      <c r="A1843" s="28">
        <v>45546.0</v>
      </c>
      <c r="B1843" s="29">
        <f t="shared" si="1"/>
        <v>37</v>
      </c>
      <c r="C1843" s="2" t="s">
        <v>95</v>
      </c>
    </row>
    <row r="1844">
      <c r="A1844" s="28">
        <v>45546.0</v>
      </c>
      <c r="B1844" s="29">
        <f t="shared" si="1"/>
        <v>37</v>
      </c>
      <c r="C1844" s="2" t="s">
        <v>96</v>
      </c>
      <c r="D1844" s="2">
        <v>223.0</v>
      </c>
    </row>
    <row r="1845">
      <c r="A1845" s="28">
        <v>45546.0</v>
      </c>
      <c r="B1845" s="29">
        <f t="shared" si="1"/>
        <v>37</v>
      </c>
      <c r="C1845" s="2" t="s">
        <v>97</v>
      </c>
      <c r="D1845" s="2">
        <v>3400.0</v>
      </c>
    </row>
    <row r="1846">
      <c r="A1846" s="28">
        <v>45546.0</v>
      </c>
      <c r="B1846" s="29">
        <f t="shared" si="1"/>
        <v>37</v>
      </c>
      <c r="C1846" s="2" t="s">
        <v>98</v>
      </c>
    </row>
    <row r="1847">
      <c r="A1847" s="28">
        <v>45546.0</v>
      </c>
      <c r="B1847" s="29">
        <f t="shared" si="1"/>
        <v>37</v>
      </c>
      <c r="C1847" s="2" t="s">
        <v>99</v>
      </c>
    </row>
    <row r="1848">
      <c r="A1848" s="28">
        <v>45546.0</v>
      </c>
      <c r="B1848" s="29">
        <f t="shared" si="1"/>
        <v>37</v>
      </c>
      <c r="C1848" s="2" t="s">
        <v>100</v>
      </c>
    </row>
    <row r="1849">
      <c r="A1849" s="28">
        <v>45553.0</v>
      </c>
      <c r="B1849" s="29">
        <f t="shared" si="1"/>
        <v>38</v>
      </c>
      <c r="C1849" s="2" t="s">
        <v>101</v>
      </c>
      <c r="D1849" s="2">
        <v>8467.0</v>
      </c>
    </row>
    <row r="1850">
      <c r="A1850" s="28">
        <v>45553.0</v>
      </c>
      <c r="B1850" s="29">
        <f t="shared" si="1"/>
        <v>38</v>
      </c>
      <c r="C1850" s="2" t="s">
        <v>80</v>
      </c>
      <c r="D1850" s="2">
        <v>1640.0</v>
      </c>
    </row>
    <row r="1851">
      <c r="A1851" s="28">
        <v>45553.0</v>
      </c>
      <c r="B1851" s="29">
        <f t="shared" si="1"/>
        <v>38</v>
      </c>
      <c r="C1851" s="2" t="s">
        <v>81</v>
      </c>
    </row>
    <row r="1852">
      <c r="A1852" s="28">
        <v>45553.0</v>
      </c>
      <c r="B1852" s="29">
        <f t="shared" si="1"/>
        <v>38</v>
      </c>
      <c r="C1852" s="2" t="s">
        <v>82</v>
      </c>
    </row>
    <row r="1853">
      <c r="A1853" s="28">
        <v>45553.0</v>
      </c>
      <c r="B1853" s="29">
        <f t="shared" si="1"/>
        <v>38</v>
      </c>
      <c r="C1853" s="2" t="s">
        <v>83</v>
      </c>
      <c r="D1853" s="2">
        <v>724.0</v>
      </c>
    </row>
    <row r="1854">
      <c r="A1854" s="28">
        <v>45553.0</v>
      </c>
      <c r="B1854" s="29">
        <f t="shared" si="1"/>
        <v>38</v>
      </c>
      <c r="C1854" s="2" t="s">
        <v>84</v>
      </c>
      <c r="D1854" s="2">
        <v>1323.0</v>
      </c>
    </row>
    <row r="1855">
      <c r="A1855" s="28">
        <v>45553.0</v>
      </c>
      <c r="B1855" s="29">
        <f t="shared" si="1"/>
        <v>38</v>
      </c>
      <c r="C1855" s="2" t="s">
        <v>85</v>
      </c>
      <c r="D1855" s="2">
        <v>118.0</v>
      </c>
    </row>
    <row r="1856">
      <c r="A1856" s="28">
        <v>45553.0</v>
      </c>
      <c r="B1856" s="29">
        <f t="shared" si="1"/>
        <v>38</v>
      </c>
      <c r="C1856" s="2" t="s">
        <v>86</v>
      </c>
    </row>
    <row r="1857">
      <c r="A1857" s="28">
        <v>45553.0</v>
      </c>
      <c r="B1857" s="29">
        <f t="shared" si="1"/>
        <v>38</v>
      </c>
      <c r="C1857" s="2" t="s">
        <v>87</v>
      </c>
    </row>
    <row r="1858">
      <c r="A1858" s="28">
        <v>45553.0</v>
      </c>
      <c r="B1858" s="29">
        <f t="shared" si="1"/>
        <v>38</v>
      </c>
      <c r="C1858" s="2" t="s">
        <v>88</v>
      </c>
      <c r="D1858" s="2">
        <v>747.0</v>
      </c>
    </row>
    <row r="1859">
      <c r="A1859" s="28">
        <v>45553.0</v>
      </c>
      <c r="B1859" s="29">
        <f t="shared" si="1"/>
        <v>38</v>
      </c>
      <c r="C1859" s="2" t="s">
        <v>89</v>
      </c>
      <c r="D1859" s="2">
        <v>406.0</v>
      </c>
    </row>
    <row r="1860">
      <c r="A1860" s="28">
        <v>45553.0</v>
      </c>
      <c r="B1860" s="29">
        <f t="shared" si="1"/>
        <v>38</v>
      </c>
      <c r="C1860" s="2" t="s">
        <v>90</v>
      </c>
      <c r="D1860" s="2">
        <v>0.0</v>
      </c>
    </row>
    <row r="1861">
      <c r="A1861" s="28">
        <v>45553.0</v>
      </c>
      <c r="B1861" s="29">
        <f t="shared" si="1"/>
        <v>38</v>
      </c>
      <c r="C1861" s="2" t="s">
        <v>91</v>
      </c>
    </row>
    <row r="1862">
      <c r="A1862" s="28">
        <v>45553.0</v>
      </c>
      <c r="B1862" s="29">
        <f t="shared" si="1"/>
        <v>38</v>
      </c>
      <c r="C1862" s="2" t="s">
        <v>92</v>
      </c>
    </row>
    <row r="1863">
      <c r="A1863" s="28">
        <v>45553.0</v>
      </c>
      <c r="B1863" s="29">
        <f t="shared" si="1"/>
        <v>38</v>
      </c>
      <c r="C1863" s="2" t="s">
        <v>93</v>
      </c>
    </row>
    <row r="1864">
      <c r="A1864" s="28">
        <v>45553.0</v>
      </c>
      <c r="B1864" s="29">
        <f t="shared" si="1"/>
        <v>38</v>
      </c>
      <c r="C1864" s="2" t="s">
        <v>94</v>
      </c>
    </row>
    <row r="1865">
      <c r="A1865" s="28">
        <v>45553.0</v>
      </c>
      <c r="B1865" s="29">
        <f t="shared" si="1"/>
        <v>38</v>
      </c>
      <c r="C1865" s="2" t="s">
        <v>95</v>
      </c>
    </row>
    <row r="1866">
      <c r="A1866" s="28">
        <v>45553.0</v>
      </c>
      <c r="B1866" s="29">
        <f t="shared" si="1"/>
        <v>38</v>
      </c>
      <c r="C1866" s="2" t="s">
        <v>96</v>
      </c>
      <c r="D1866" s="2">
        <v>494.0</v>
      </c>
    </row>
    <row r="1867">
      <c r="A1867" s="28">
        <v>45553.0</v>
      </c>
      <c r="B1867" s="29">
        <f t="shared" si="1"/>
        <v>38</v>
      </c>
      <c r="C1867" s="2" t="s">
        <v>97</v>
      </c>
      <c r="D1867" s="2">
        <v>3015.0</v>
      </c>
    </row>
    <row r="1868">
      <c r="A1868" s="28">
        <v>45553.0</v>
      </c>
      <c r="B1868" s="29">
        <f t="shared" si="1"/>
        <v>38</v>
      </c>
      <c r="C1868" s="2" t="s">
        <v>98</v>
      </c>
    </row>
    <row r="1869">
      <c r="A1869" s="28">
        <v>45553.0</v>
      </c>
      <c r="B1869" s="29">
        <f t="shared" si="1"/>
        <v>38</v>
      </c>
      <c r="C1869" s="2" t="s">
        <v>99</v>
      </c>
    </row>
    <row r="1870">
      <c r="A1870" s="28">
        <v>45553.0</v>
      </c>
      <c r="B1870" s="29">
        <f t="shared" si="1"/>
        <v>38</v>
      </c>
      <c r="C1870" s="2" t="s">
        <v>100</v>
      </c>
    </row>
    <row r="1871">
      <c r="A1871" s="28">
        <v>45560.0</v>
      </c>
      <c r="B1871" s="29">
        <f t="shared" si="1"/>
        <v>39</v>
      </c>
      <c r="C1871" s="2" t="s">
        <v>101</v>
      </c>
      <c r="D1871" s="2">
        <v>12267.0</v>
      </c>
    </row>
    <row r="1872">
      <c r="A1872" s="28">
        <v>45560.0</v>
      </c>
      <c r="B1872" s="29">
        <f t="shared" si="1"/>
        <v>39</v>
      </c>
      <c r="C1872" s="2" t="s">
        <v>80</v>
      </c>
      <c r="D1872" s="2">
        <v>1946.0</v>
      </c>
    </row>
    <row r="1873">
      <c r="A1873" s="28">
        <v>45560.0</v>
      </c>
      <c r="B1873" s="29">
        <f t="shared" si="1"/>
        <v>39</v>
      </c>
      <c r="C1873" s="2" t="s">
        <v>81</v>
      </c>
    </row>
    <row r="1874">
      <c r="A1874" s="28">
        <v>45560.0</v>
      </c>
      <c r="B1874" s="29">
        <f t="shared" si="1"/>
        <v>39</v>
      </c>
      <c r="C1874" s="2" t="s">
        <v>82</v>
      </c>
    </row>
    <row r="1875">
      <c r="A1875" s="28">
        <v>45560.0</v>
      </c>
      <c r="B1875" s="29">
        <f t="shared" si="1"/>
        <v>39</v>
      </c>
      <c r="C1875" s="2" t="s">
        <v>83</v>
      </c>
      <c r="D1875" s="2">
        <v>1836.0</v>
      </c>
    </row>
    <row r="1876">
      <c r="A1876" s="28">
        <v>45560.0</v>
      </c>
      <c r="B1876" s="29">
        <f t="shared" si="1"/>
        <v>39</v>
      </c>
      <c r="C1876" s="2" t="s">
        <v>84</v>
      </c>
      <c r="D1876" s="2">
        <v>989.0</v>
      </c>
    </row>
    <row r="1877">
      <c r="A1877" s="28">
        <v>45560.0</v>
      </c>
      <c r="B1877" s="29">
        <f t="shared" si="1"/>
        <v>39</v>
      </c>
      <c r="C1877" s="2" t="s">
        <v>85</v>
      </c>
      <c r="D1877" s="2">
        <v>0.0</v>
      </c>
    </row>
    <row r="1878">
      <c r="A1878" s="28">
        <v>45560.0</v>
      </c>
      <c r="B1878" s="29">
        <f t="shared" si="1"/>
        <v>39</v>
      </c>
      <c r="C1878" s="2" t="s">
        <v>86</v>
      </c>
    </row>
    <row r="1879">
      <c r="A1879" s="28">
        <v>45560.0</v>
      </c>
      <c r="B1879" s="29">
        <f t="shared" si="1"/>
        <v>39</v>
      </c>
      <c r="C1879" s="2" t="s">
        <v>87</v>
      </c>
    </row>
    <row r="1880">
      <c r="A1880" s="28">
        <v>45560.0</v>
      </c>
      <c r="B1880" s="29">
        <f t="shared" si="1"/>
        <v>39</v>
      </c>
      <c r="C1880" s="2" t="s">
        <v>88</v>
      </c>
      <c r="D1880" s="2">
        <v>510.0</v>
      </c>
    </row>
    <row r="1881">
      <c r="A1881" s="28">
        <v>45560.0</v>
      </c>
      <c r="B1881" s="29">
        <f t="shared" si="1"/>
        <v>39</v>
      </c>
      <c r="C1881" s="2" t="s">
        <v>89</v>
      </c>
      <c r="D1881" s="2">
        <v>791.0</v>
      </c>
    </row>
    <row r="1882">
      <c r="A1882" s="28">
        <v>45560.0</v>
      </c>
      <c r="B1882" s="29">
        <f t="shared" si="1"/>
        <v>39</v>
      </c>
      <c r="C1882" s="2" t="s">
        <v>90</v>
      </c>
      <c r="D1882" s="2">
        <v>0.0</v>
      </c>
    </row>
    <row r="1883">
      <c r="A1883" s="28">
        <v>45560.0</v>
      </c>
      <c r="B1883" s="29">
        <f t="shared" si="1"/>
        <v>39</v>
      </c>
      <c r="C1883" s="2" t="s">
        <v>91</v>
      </c>
    </row>
    <row r="1884">
      <c r="A1884" s="28">
        <v>45560.0</v>
      </c>
      <c r="B1884" s="29">
        <f t="shared" si="1"/>
        <v>39</v>
      </c>
      <c r="C1884" s="2" t="s">
        <v>92</v>
      </c>
    </row>
    <row r="1885">
      <c r="A1885" s="28">
        <v>45560.0</v>
      </c>
      <c r="B1885" s="29">
        <f t="shared" si="1"/>
        <v>39</v>
      </c>
      <c r="C1885" s="2" t="s">
        <v>93</v>
      </c>
    </row>
    <row r="1886">
      <c r="A1886" s="28">
        <v>45560.0</v>
      </c>
      <c r="B1886" s="29">
        <f t="shared" si="1"/>
        <v>39</v>
      </c>
      <c r="C1886" s="2" t="s">
        <v>94</v>
      </c>
    </row>
    <row r="1887">
      <c r="A1887" s="28">
        <v>45560.0</v>
      </c>
      <c r="B1887" s="29">
        <f t="shared" si="1"/>
        <v>39</v>
      </c>
      <c r="C1887" s="2" t="s">
        <v>95</v>
      </c>
    </row>
    <row r="1888">
      <c r="A1888" s="28">
        <v>45560.0</v>
      </c>
      <c r="B1888" s="29">
        <f t="shared" si="1"/>
        <v>39</v>
      </c>
      <c r="C1888" s="2" t="s">
        <v>96</v>
      </c>
      <c r="D1888" s="2">
        <v>545.0</v>
      </c>
    </row>
    <row r="1889">
      <c r="A1889" s="28">
        <v>45560.0</v>
      </c>
      <c r="B1889" s="29">
        <f t="shared" si="1"/>
        <v>39</v>
      </c>
      <c r="C1889" s="2" t="s">
        <v>97</v>
      </c>
      <c r="D1889" s="2">
        <v>5650.0</v>
      </c>
    </row>
    <row r="1890">
      <c r="A1890" s="28">
        <v>45560.0</v>
      </c>
      <c r="B1890" s="29">
        <f t="shared" si="1"/>
        <v>39</v>
      </c>
      <c r="C1890" s="2" t="s">
        <v>98</v>
      </c>
    </row>
    <row r="1891">
      <c r="A1891" s="28">
        <v>45560.0</v>
      </c>
      <c r="B1891" s="29">
        <f t="shared" si="1"/>
        <v>39</v>
      </c>
      <c r="C1891" s="2" t="s">
        <v>99</v>
      </c>
    </row>
    <row r="1892">
      <c r="A1892" s="28">
        <v>45560.0</v>
      </c>
      <c r="B1892" s="29">
        <f t="shared" si="1"/>
        <v>39</v>
      </c>
      <c r="C1892" s="2" t="s">
        <v>100</v>
      </c>
    </row>
    <row r="1893">
      <c r="A1893" s="28">
        <v>45567.0</v>
      </c>
      <c r="B1893" s="29">
        <f t="shared" si="1"/>
        <v>40</v>
      </c>
      <c r="C1893" s="2" t="s">
        <v>101</v>
      </c>
      <c r="D1893" s="2">
        <v>14023.0</v>
      </c>
    </row>
    <row r="1894">
      <c r="A1894" s="28">
        <v>45567.0</v>
      </c>
      <c r="B1894" s="29">
        <f t="shared" si="1"/>
        <v>40</v>
      </c>
      <c r="C1894" s="2" t="s">
        <v>80</v>
      </c>
    </row>
    <row r="1895">
      <c r="A1895" s="28">
        <v>45567.0</v>
      </c>
      <c r="B1895" s="29">
        <f t="shared" si="1"/>
        <v>40</v>
      </c>
      <c r="C1895" s="2" t="s">
        <v>81</v>
      </c>
    </row>
    <row r="1896">
      <c r="A1896" s="28">
        <v>45567.0</v>
      </c>
      <c r="B1896" s="29">
        <f t="shared" si="1"/>
        <v>40</v>
      </c>
      <c r="C1896" s="2" t="s">
        <v>82</v>
      </c>
    </row>
    <row r="1897">
      <c r="A1897" s="28">
        <v>45567.0</v>
      </c>
      <c r="B1897" s="29">
        <f t="shared" si="1"/>
        <v>40</v>
      </c>
      <c r="C1897" s="2" t="s">
        <v>83</v>
      </c>
    </row>
    <row r="1898">
      <c r="A1898" s="28">
        <v>45567.0</v>
      </c>
      <c r="B1898" s="29">
        <f t="shared" si="1"/>
        <v>40</v>
      </c>
      <c r="C1898" s="2" t="s">
        <v>84</v>
      </c>
    </row>
    <row r="1899">
      <c r="A1899" s="28">
        <v>45567.0</v>
      </c>
      <c r="B1899" s="29">
        <f t="shared" si="1"/>
        <v>40</v>
      </c>
      <c r="C1899" s="2" t="s">
        <v>85</v>
      </c>
      <c r="D1899" s="2" t="s">
        <v>102</v>
      </c>
    </row>
    <row r="1900">
      <c r="A1900" s="28">
        <v>45567.0</v>
      </c>
      <c r="B1900" s="29">
        <f t="shared" si="1"/>
        <v>40</v>
      </c>
      <c r="C1900" s="2" t="s">
        <v>86</v>
      </c>
    </row>
    <row r="1901">
      <c r="A1901" s="28">
        <v>45567.0</v>
      </c>
      <c r="B1901" s="29">
        <f t="shared" si="1"/>
        <v>40</v>
      </c>
      <c r="C1901" s="2" t="s">
        <v>87</v>
      </c>
    </row>
    <row r="1902">
      <c r="A1902" s="28">
        <v>45567.0</v>
      </c>
      <c r="B1902" s="29">
        <f t="shared" si="1"/>
        <v>40</v>
      </c>
      <c r="C1902" s="2" t="s">
        <v>88</v>
      </c>
    </row>
    <row r="1903">
      <c r="A1903" s="28">
        <v>45567.0</v>
      </c>
      <c r="B1903" s="29">
        <f t="shared" si="1"/>
        <v>40</v>
      </c>
      <c r="C1903" s="2" t="s">
        <v>89</v>
      </c>
    </row>
    <row r="1904">
      <c r="A1904" s="28">
        <v>45567.0</v>
      </c>
      <c r="B1904" s="29">
        <f t="shared" si="1"/>
        <v>40</v>
      </c>
      <c r="C1904" s="2" t="s">
        <v>90</v>
      </c>
      <c r="D1904" s="2">
        <v>0.0</v>
      </c>
    </row>
    <row r="1905">
      <c r="A1905" s="28">
        <v>45567.0</v>
      </c>
      <c r="B1905" s="29">
        <f t="shared" si="1"/>
        <v>40</v>
      </c>
      <c r="C1905" s="2" t="s">
        <v>91</v>
      </c>
    </row>
    <row r="1906">
      <c r="A1906" s="28">
        <v>45567.0</v>
      </c>
      <c r="B1906" s="29">
        <f t="shared" si="1"/>
        <v>40</v>
      </c>
      <c r="C1906" s="2" t="s">
        <v>92</v>
      </c>
    </row>
    <row r="1907">
      <c r="A1907" s="28">
        <v>45567.0</v>
      </c>
      <c r="B1907" s="29">
        <f t="shared" si="1"/>
        <v>40</v>
      </c>
      <c r="C1907" s="2" t="s">
        <v>93</v>
      </c>
    </row>
    <row r="1908">
      <c r="A1908" s="28">
        <v>45567.0</v>
      </c>
      <c r="B1908" s="29">
        <f t="shared" si="1"/>
        <v>40</v>
      </c>
      <c r="C1908" s="2" t="s">
        <v>94</v>
      </c>
    </row>
    <row r="1909">
      <c r="A1909" s="28">
        <v>45567.0</v>
      </c>
      <c r="B1909" s="29">
        <f t="shared" si="1"/>
        <v>40</v>
      </c>
      <c r="C1909" s="2" t="s">
        <v>95</v>
      </c>
    </row>
    <row r="1910">
      <c r="A1910" s="28">
        <v>45567.0</v>
      </c>
      <c r="B1910" s="29">
        <f t="shared" si="1"/>
        <v>40</v>
      </c>
      <c r="C1910" s="2" t="s">
        <v>96</v>
      </c>
    </row>
    <row r="1911">
      <c r="A1911" s="28">
        <v>45567.0</v>
      </c>
      <c r="B1911" s="29">
        <f t="shared" si="1"/>
        <v>40</v>
      </c>
      <c r="C1911" s="2" t="s">
        <v>97</v>
      </c>
      <c r="D1911" s="2">
        <v>14023.0</v>
      </c>
    </row>
    <row r="1912">
      <c r="A1912" s="28">
        <v>45567.0</v>
      </c>
      <c r="B1912" s="29">
        <f t="shared" si="1"/>
        <v>40</v>
      </c>
      <c r="C1912" s="2" t="s">
        <v>98</v>
      </c>
    </row>
    <row r="1913">
      <c r="A1913" s="28">
        <v>45567.0</v>
      </c>
      <c r="B1913" s="29">
        <f t="shared" si="1"/>
        <v>40</v>
      </c>
      <c r="C1913" s="2" t="s">
        <v>99</v>
      </c>
    </row>
    <row r="1914">
      <c r="A1914" s="28">
        <v>45567.0</v>
      </c>
      <c r="B1914" s="29">
        <f t="shared" si="1"/>
        <v>40</v>
      </c>
      <c r="C1914" s="2" t="s">
        <v>100</v>
      </c>
      <c r="D1914" s="2" t="s">
        <v>103</v>
      </c>
    </row>
    <row r="1915">
      <c r="A1915" s="28">
        <v>45574.0</v>
      </c>
      <c r="B1915" s="29">
        <f t="shared" si="1"/>
        <v>41</v>
      </c>
      <c r="C1915" s="2" t="s">
        <v>101</v>
      </c>
      <c r="D1915" s="2">
        <v>6809.0</v>
      </c>
    </row>
    <row r="1916">
      <c r="A1916" s="28">
        <v>45574.0</v>
      </c>
      <c r="B1916" s="29">
        <f t="shared" si="1"/>
        <v>41</v>
      </c>
      <c r="C1916" s="2" t="s">
        <v>80</v>
      </c>
      <c r="D1916" s="2">
        <v>1493.0</v>
      </c>
    </row>
    <row r="1917">
      <c r="A1917" s="28">
        <v>45574.0</v>
      </c>
      <c r="B1917" s="29">
        <f t="shared" si="1"/>
        <v>41</v>
      </c>
      <c r="C1917" s="2" t="s">
        <v>81</v>
      </c>
    </row>
    <row r="1918">
      <c r="A1918" s="28">
        <v>45574.0</v>
      </c>
      <c r="B1918" s="29">
        <f t="shared" si="1"/>
        <v>41</v>
      </c>
      <c r="C1918" s="2" t="s">
        <v>82</v>
      </c>
    </row>
    <row r="1919">
      <c r="A1919" s="28">
        <v>45574.0</v>
      </c>
      <c r="B1919" s="29">
        <f t="shared" si="1"/>
        <v>41</v>
      </c>
      <c r="C1919" s="2" t="s">
        <v>83</v>
      </c>
      <c r="D1919" s="2">
        <v>1284.0</v>
      </c>
    </row>
    <row r="1920">
      <c r="A1920" s="28">
        <v>45574.0</v>
      </c>
      <c r="B1920" s="29">
        <f t="shared" si="1"/>
        <v>41</v>
      </c>
      <c r="C1920" s="2" t="s">
        <v>84</v>
      </c>
      <c r="D1920" s="2">
        <v>919.0</v>
      </c>
    </row>
    <row r="1921">
      <c r="A1921" s="28">
        <v>45574.0</v>
      </c>
      <c r="B1921" s="29">
        <f t="shared" si="1"/>
        <v>41</v>
      </c>
      <c r="C1921" s="2" t="s">
        <v>85</v>
      </c>
      <c r="D1921" s="2">
        <v>54.0</v>
      </c>
    </row>
    <row r="1922">
      <c r="A1922" s="28">
        <v>45574.0</v>
      </c>
      <c r="B1922" s="29">
        <f t="shared" si="1"/>
        <v>41</v>
      </c>
      <c r="C1922" s="2" t="s">
        <v>86</v>
      </c>
    </row>
    <row r="1923">
      <c r="A1923" s="28">
        <v>45574.0</v>
      </c>
      <c r="B1923" s="29">
        <f t="shared" si="1"/>
        <v>41</v>
      </c>
      <c r="C1923" s="2" t="s">
        <v>87</v>
      </c>
    </row>
    <row r="1924">
      <c r="A1924" s="28">
        <v>45574.0</v>
      </c>
      <c r="B1924" s="29">
        <f t="shared" si="1"/>
        <v>41</v>
      </c>
      <c r="C1924" s="2" t="s">
        <v>88</v>
      </c>
      <c r="D1924" s="2">
        <v>344.0</v>
      </c>
    </row>
    <row r="1925">
      <c r="A1925" s="28">
        <v>45574.0</v>
      </c>
      <c r="B1925" s="29">
        <f t="shared" si="1"/>
        <v>41</v>
      </c>
      <c r="C1925" s="2" t="s">
        <v>89</v>
      </c>
      <c r="D1925" s="2">
        <v>555.0</v>
      </c>
    </row>
    <row r="1926">
      <c r="A1926" s="28">
        <v>45574.0</v>
      </c>
      <c r="B1926" s="29">
        <f t="shared" si="1"/>
        <v>41</v>
      </c>
      <c r="C1926" s="2" t="s">
        <v>90</v>
      </c>
      <c r="D1926" s="2">
        <v>0.0</v>
      </c>
    </row>
    <row r="1927">
      <c r="A1927" s="28">
        <v>45574.0</v>
      </c>
      <c r="B1927" s="29">
        <f t="shared" si="1"/>
        <v>41</v>
      </c>
      <c r="C1927" s="2" t="s">
        <v>91</v>
      </c>
    </row>
    <row r="1928">
      <c r="A1928" s="28">
        <v>45574.0</v>
      </c>
      <c r="B1928" s="29">
        <f t="shared" si="1"/>
        <v>41</v>
      </c>
      <c r="C1928" s="2" t="s">
        <v>92</v>
      </c>
    </row>
    <row r="1929">
      <c r="A1929" s="28">
        <v>45574.0</v>
      </c>
      <c r="B1929" s="29">
        <f t="shared" si="1"/>
        <v>41</v>
      </c>
      <c r="C1929" s="2" t="s">
        <v>93</v>
      </c>
    </row>
    <row r="1930">
      <c r="A1930" s="28">
        <v>45574.0</v>
      </c>
      <c r="B1930" s="29">
        <f t="shared" si="1"/>
        <v>41</v>
      </c>
      <c r="C1930" s="2" t="s">
        <v>94</v>
      </c>
    </row>
    <row r="1931">
      <c r="A1931" s="28">
        <v>45574.0</v>
      </c>
      <c r="B1931" s="29">
        <f t="shared" si="1"/>
        <v>41</v>
      </c>
      <c r="C1931" s="2" t="s">
        <v>95</v>
      </c>
    </row>
    <row r="1932">
      <c r="A1932" s="28">
        <v>45574.0</v>
      </c>
      <c r="B1932" s="29">
        <f t="shared" si="1"/>
        <v>41</v>
      </c>
      <c r="C1932" s="2" t="s">
        <v>96</v>
      </c>
      <c r="D1932" s="2">
        <v>260.0</v>
      </c>
    </row>
    <row r="1933">
      <c r="A1933" s="28">
        <v>45574.0</v>
      </c>
      <c r="B1933" s="29">
        <f t="shared" si="1"/>
        <v>41</v>
      </c>
      <c r="C1933" s="2" t="s">
        <v>97</v>
      </c>
      <c r="D1933" s="2">
        <v>1900.0</v>
      </c>
    </row>
    <row r="1934">
      <c r="A1934" s="28">
        <v>45574.0</v>
      </c>
      <c r="B1934" s="29">
        <f t="shared" si="1"/>
        <v>41</v>
      </c>
      <c r="C1934" s="2" t="s">
        <v>98</v>
      </c>
    </row>
    <row r="1935">
      <c r="A1935" s="28">
        <v>45574.0</v>
      </c>
      <c r="B1935" s="29">
        <f t="shared" si="1"/>
        <v>41</v>
      </c>
      <c r="C1935" s="2" t="s">
        <v>99</v>
      </c>
    </row>
    <row r="1936">
      <c r="A1936" s="28">
        <v>45574.0</v>
      </c>
      <c r="B1936" s="29">
        <f t="shared" si="1"/>
        <v>41</v>
      </c>
      <c r="C1936" s="2" t="s">
        <v>100</v>
      </c>
    </row>
    <row r="1937">
      <c r="A1937" s="28">
        <v>45581.0</v>
      </c>
      <c r="B1937" s="29">
        <f t="shared" si="1"/>
        <v>42</v>
      </c>
      <c r="C1937" s="2" t="s">
        <v>101</v>
      </c>
      <c r="D1937" s="2">
        <v>9533.0</v>
      </c>
    </row>
    <row r="1938">
      <c r="A1938" s="28">
        <v>45581.0</v>
      </c>
      <c r="B1938" s="29">
        <f t="shared" si="1"/>
        <v>42</v>
      </c>
      <c r="C1938" s="2" t="s">
        <v>80</v>
      </c>
      <c r="D1938" s="2">
        <v>1032.0</v>
      </c>
    </row>
    <row r="1939">
      <c r="A1939" s="28">
        <v>45581.0</v>
      </c>
      <c r="B1939" s="29">
        <f t="shared" si="1"/>
        <v>42</v>
      </c>
      <c r="C1939" s="2" t="s">
        <v>81</v>
      </c>
    </row>
    <row r="1940">
      <c r="A1940" s="28">
        <v>45581.0</v>
      </c>
      <c r="B1940" s="29">
        <f t="shared" si="1"/>
        <v>42</v>
      </c>
      <c r="C1940" s="2" t="s">
        <v>82</v>
      </c>
    </row>
    <row r="1941">
      <c r="A1941" s="28">
        <v>45581.0</v>
      </c>
      <c r="B1941" s="29">
        <f t="shared" si="1"/>
        <v>42</v>
      </c>
      <c r="C1941" s="2" t="s">
        <v>83</v>
      </c>
      <c r="D1941" s="2">
        <v>1377.0</v>
      </c>
    </row>
    <row r="1942">
      <c r="A1942" s="28">
        <v>45581.0</v>
      </c>
      <c r="B1942" s="29">
        <f t="shared" si="1"/>
        <v>42</v>
      </c>
      <c r="C1942" s="2" t="s">
        <v>84</v>
      </c>
      <c r="D1942" s="2">
        <v>1332.0</v>
      </c>
    </row>
    <row r="1943">
      <c r="A1943" s="28">
        <v>45581.0</v>
      </c>
      <c r="B1943" s="29">
        <f t="shared" si="1"/>
        <v>42</v>
      </c>
      <c r="C1943" s="2" t="s">
        <v>85</v>
      </c>
      <c r="D1943" s="2">
        <v>119.0</v>
      </c>
    </row>
    <row r="1944">
      <c r="A1944" s="28">
        <v>45581.0</v>
      </c>
      <c r="B1944" s="29">
        <f t="shared" si="1"/>
        <v>42</v>
      </c>
      <c r="C1944" s="2" t="s">
        <v>86</v>
      </c>
    </row>
    <row r="1945">
      <c r="A1945" s="28">
        <v>45581.0</v>
      </c>
      <c r="B1945" s="29">
        <f t="shared" si="1"/>
        <v>42</v>
      </c>
      <c r="C1945" s="2" t="s">
        <v>87</v>
      </c>
    </row>
    <row r="1946">
      <c r="A1946" s="28">
        <v>45581.0</v>
      </c>
      <c r="B1946" s="29">
        <f t="shared" si="1"/>
        <v>42</v>
      </c>
      <c r="C1946" s="2" t="s">
        <v>88</v>
      </c>
      <c r="D1946" s="2">
        <v>431.0</v>
      </c>
    </row>
    <row r="1947">
      <c r="A1947" s="28">
        <v>45581.0</v>
      </c>
      <c r="B1947" s="29">
        <f t="shared" si="1"/>
        <v>42</v>
      </c>
      <c r="C1947" s="2" t="s">
        <v>89</v>
      </c>
      <c r="D1947" s="2">
        <v>1296.0</v>
      </c>
    </row>
    <row r="1948">
      <c r="A1948" s="28">
        <v>45581.0</v>
      </c>
      <c r="B1948" s="29">
        <f t="shared" si="1"/>
        <v>42</v>
      </c>
      <c r="C1948" s="2" t="s">
        <v>90</v>
      </c>
      <c r="D1948" s="2">
        <v>0.0</v>
      </c>
    </row>
    <row r="1949">
      <c r="A1949" s="28">
        <v>45581.0</v>
      </c>
      <c r="B1949" s="29">
        <f t="shared" si="1"/>
        <v>42</v>
      </c>
      <c r="C1949" s="2" t="s">
        <v>91</v>
      </c>
    </row>
    <row r="1950">
      <c r="A1950" s="28">
        <v>45581.0</v>
      </c>
      <c r="B1950" s="29">
        <f t="shared" si="1"/>
        <v>42</v>
      </c>
      <c r="C1950" s="2" t="s">
        <v>92</v>
      </c>
    </row>
    <row r="1951">
      <c r="A1951" s="28">
        <v>45581.0</v>
      </c>
      <c r="B1951" s="29">
        <f t="shared" si="1"/>
        <v>42</v>
      </c>
      <c r="C1951" s="2" t="s">
        <v>93</v>
      </c>
    </row>
    <row r="1952">
      <c r="A1952" s="28">
        <v>45581.0</v>
      </c>
      <c r="B1952" s="29">
        <f t="shared" si="1"/>
        <v>42</v>
      </c>
      <c r="C1952" s="2" t="s">
        <v>94</v>
      </c>
    </row>
    <row r="1953">
      <c r="A1953" s="28">
        <v>45581.0</v>
      </c>
      <c r="B1953" s="29">
        <f t="shared" si="1"/>
        <v>42</v>
      </c>
      <c r="C1953" s="2" t="s">
        <v>95</v>
      </c>
    </row>
    <row r="1954">
      <c r="A1954" s="28">
        <v>45581.0</v>
      </c>
      <c r="B1954" s="29">
        <f t="shared" si="1"/>
        <v>42</v>
      </c>
      <c r="C1954" s="2" t="s">
        <v>96</v>
      </c>
      <c r="D1954" s="2">
        <v>200.0</v>
      </c>
    </row>
    <row r="1955">
      <c r="A1955" s="28">
        <v>45581.0</v>
      </c>
      <c r="B1955" s="29">
        <f t="shared" si="1"/>
        <v>42</v>
      </c>
      <c r="C1955" s="2" t="s">
        <v>97</v>
      </c>
      <c r="D1955" s="2">
        <v>3746.0</v>
      </c>
    </row>
    <row r="1956">
      <c r="A1956" s="28">
        <v>45581.0</v>
      </c>
      <c r="B1956" s="29">
        <f t="shared" si="1"/>
        <v>42</v>
      </c>
      <c r="C1956" s="2" t="s">
        <v>98</v>
      </c>
    </row>
    <row r="1957">
      <c r="A1957" s="28">
        <v>45581.0</v>
      </c>
      <c r="B1957" s="29">
        <f t="shared" si="1"/>
        <v>42</v>
      </c>
      <c r="C1957" s="2" t="s">
        <v>99</v>
      </c>
    </row>
    <row r="1958">
      <c r="A1958" s="28">
        <v>45581.0</v>
      </c>
      <c r="B1958" s="29">
        <f t="shared" si="1"/>
        <v>42</v>
      </c>
      <c r="C1958" s="2" t="s">
        <v>100</v>
      </c>
    </row>
    <row r="1959">
      <c r="A1959" s="28">
        <v>45588.0</v>
      </c>
      <c r="B1959" s="29">
        <f t="shared" si="1"/>
        <v>43</v>
      </c>
      <c r="C1959" s="2" t="s">
        <v>101</v>
      </c>
      <c r="D1959" s="2">
        <v>8760.0</v>
      </c>
    </row>
    <row r="1960">
      <c r="A1960" s="28">
        <v>45588.0</v>
      </c>
      <c r="B1960" s="29">
        <f t="shared" si="1"/>
        <v>43</v>
      </c>
      <c r="C1960" s="2" t="s">
        <v>80</v>
      </c>
      <c r="D1960" s="2">
        <v>618.0</v>
      </c>
    </row>
    <row r="1961">
      <c r="A1961" s="28">
        <v>45588.0</v>
      </c>
      <c r="B1961" s="29">
        <f t="shared" si="1"/>
        <v>43</v>
      </c>
      <c r="C1961" s="2" t="s">
        <v>81</v>
      </c>
    </row>
    <row r="1962">
      <c r="A1962" s="28">
        <v>45588.0</v>
      </c>
      <c r="B1962" s="29">
        <f t="shared" si="1"/>
        <v>43</v>
      </c>
      <c r="C1962" s="2" t="s">
        <v>82</v>
      </c>
    </row>
    <row r="1963">
      <c r="A1963" s="28">
        <v>45588.0</v>
      </c>
      <c r="B1963" s="29">
        <f t="shared" si="1"/>
        <v>43</v>
      </c>
      <c r="C1963" s="2" t="s">
        <v>83</v>
      </c>
      <c r="D1963" s="2">
        <v>1774.0</v>
      </c>
    </row>
    <row r="1964">
      <c r="A1964" s="28">
        <v>45588.0</v>
      </c>
      <c r="B1964" s="29">
        <f t="shared" si="1"/>
        <v>43</v>
      </c>
      <c r="C1964" s="2" t="s">
        <v>84</v>
      </c>
      <c r="D1964" s="2">
        <v>594.0</v>
      </c>
    </row>
    <row r="1965">
      <c r="A1965" s="28">
        <v>45588.0</v>
      </c>
      <c r="B1965" s="29">
        <f t="shared" si="1"/>
        <v>43</v>
      </c>
      <c r="C1965" s="2" t="s">
        <v>85</v>
      </c>
      <c r="D1965" s="2">
        <v>0.0</v>
      </c>
    </row>
    <row r="1966">
      <c r="A1966" s="28">
        <v>45588.0</v>
      </c>
      <c r="B1966" s="29">
        <f t="shared" si="1"/>
        <v>43</v>
      </c>
      <c r="C1966" s="2" t="s">
        <v>86</v>
      </c>
    </row>
    <row r="1967">
      <c r="A1967" s="28">
        <v>45588.0</v>
      </c>
      <c r="B1967" s="29">
        <f t="shared" si="1"/>
        <v>43</v>
      </c>
      <c r="C1967" s="2" t="s">
        <v>87</v>
      </c>
    </row>
    <row r="1968">
      <c r="A1968" s="28">
        <v>45588.0</v>
      </c>
      <c r="B1968" s="29">
        <f t="shared" si="1"/>
        <v>43</v>
      </c>
      <c r="C1968" s="2" t="s">
        <v>88</v>
      </c>
      <c r="D1968" s="2">
        <v>224.0</v>
      </c>
    </row>
    <row r="1969">
      <c r="A1969" s="28">
        <v>45588.0</v>
      </c>
      <c r="B1969" s="29">
        <f t="shared" si="1"/>
        <v>43</v>
      </c>
      <c r="C1969" s="2" t="s">
        <v>89</v>
      </c>
      <c r="D1969" s="2">
        <v>768.0</v>
      </c>
    </row>
    <row r="1970">
      <c r="A1970" s="28">
        <v>45588.0</v>
      </c>
      <c r="B1970" s="29">
        <f t="shared" si="1"/>
        <v>43</v>
      </c>
      <c r="C1970" s="2" t="s">
        <v>90</v>
      </c>
      <c r="D1970" s="2">
        <v>0.0</v>
      </c>
    </row>
    <row r="1971">
      <c r="A1971" s="28">
        <v>45588.0</v>
      </c>
      <c r="B1971" s="29">
        <f t="shared" si="1"/>
        <v>43</v>
      </c>
      <c r="C1971" s="2" t="s">
        <v>91</v>
      </c>
    </row>
    <row r="1972">
      <c r="A1972" s="28">
        <v>45588.0</v>
      </c>
      <c r="B1972" s="29">
        <f t="shared" si="1"/>
        <v>43</v>
      </c>
      <c r="C1972" s="2" t="s">
        <v>92</v>
      </c>
    </row>
    <row r="1973">
      <c r="A1973" s="28">
        <v>45588.0</v>
      </c>
      <c r="B1973" s="29">
        <f t="shared" si="1"/>
        <v>43</v>
      </c>
      <c r="C1973" s="2" t="s">
        <v>93</v>
      </c>
    </row>
    <row r="1974">
      <c r="A1974" s="28">
        <v>45588.0</v>
      </c>
      <c r="B1974" s="29">
        <f t="shared" si="1"/>
        <v>43</v>
      </c>
      <c r="C1974" s="2" t="s">
        <v>94</v>
      </c>
    </row>
    <row r="1975">
      <c r="A1975" s="28">
        <v>45588.0</v>
      </c>
      <c r="B1975" s="29">
        <f t="shared" si="1"/>
        <v>43</v>
      </c>
      <c r="C1975" s="2" t="s">
        <v>95</v>
      </c>
    </row>
    <row r="1976">
      <c r="A1976" s="28">
        <v>45588.0</v>
      </c>
      <c r="B1976" s="29">
        <f t="shared" si="1"/>
        <v>43</v>
      </c>
      <c r="C1976" s="2" t="s">
        <v>96</v>
      </c>
      <c r="D1976" s="2">
        <v>503.0</v>
      </c>
    </row>
    <row r="1977">
      <c r="A1977" s="28">
        <v>45588.0</v>
      </c>
      <c r="B1977" s="29">
        <f t="shared" si="1"/>
        <v>43</v>
      </c>
      <c r="C1977" s="2" t="s">
        <v>97</v>
      </c>
      <c r="D1977" s="2">
        <v>4279.0</v>
      </c>
    </row>
    <row r="1978">
      <c r="A1978" s="28">
        <v>45588.0</v>
      </c>
      <c r="B1978" s="29">
        <f t="shared" si="1"/>
        <v>43</v>
      </c>
      <c r="C1978" s="2" t="s">
        <v>98</v>
      </c>
    </row>
    <row r="1979">
      <c r="A1979" s="28">
        <v>45588.0</v>
      </c>
      <c r="B1979" s="29">
        <f t="shared" si="1"/>
        <v>43</v>
      </c>
      <c r="C1979" s="2" t="s">
        <v>99</v>
      </c>
    </row>
    <row r="1980">
      <c r="A1980" s="28">
        <v>45588.0</v>
      </c>
      <c r="B1980" s="29">
        <f t="shared" si="1"/>
        <v>43</v>
      </c>
      <c r="C1980" s="2" t="s">
        <v>100</v>
      </c>
    </row>
    <row r="1981">
      <c r="A1981" s="28">
        <v>45595.0</v>
      </c>
      <c r="B1981" s="29">
        <f t="shared" si="1"/>
        <v>44</v>
      </c>
      <c r="C1981" s="2" t="s">
        <v>101</v>
      </c>
      <c r="D1981" s="2">
        <v>7973.0</v>
      </c>
    </row>
    <row r="1982">
      <c r="A1982" s="28">
        <v>45595.0</v>
      </c>
      <c r="B1982" s="29">
        <f t="shared" si="1"/>
        <v>44</v>
      </c>
      <c r="C1982" s="2" t="s">
        <v>80</v>
      </c>
      <c r="D1982" s="2">
        <v>1427.0</v>
      </c>
    </row>
    <row r="1983">
      <c r="A1983" s="28">
        <v>45595.0</v>
      </c>
      <c r="B1983" s="29">
        <f t="shared" si="1"/>
        <v>44</v>
      </c>
      <c r="C1983" s="2" t="s">
        <v>81</v>
      </c>
    </row>
    <row r="1984">
      <c r="A1984" s="28">
        <v>45595.0</v>
      </c>
      <c r="B1984" s="29">
        <f t="shared" si="1"/>
        <v>44</v>
      </c>
      <c r="C1984" s="2" t="s">
        <v>82</v>
      </c>
    </row>
    <row r="1985">
      <c r="A1985" s="28">
        <v>45595.0</v>
      </c>
      <c r="B1985" s="29">
        <f t="shared" si="1"/>
        <v>44</v>
      </c>
      <c r="C1985" s="2" t="s">
        <v>83</v>
      </c>
      <c r="D1985" s="2">
        <v>2035.0</v>
      </c>
    </row>
    <row r="1986">
      <c r="A1986" s="28">
        <v>45595.0</v>
      </c>
      <c r="B1986" s="29">
        <f t="shared" si="1"/>
        <v>44</v>
      </c>
      <c r="C1986" s="2" t="s">
        <v>84</v>
      </c>
      <c r="D1986" s="2">
        <v>1017.0</v>
      </c>
    </row>
    <row r="1987">
      <c r="A1987" s="28">
        <v>45595.0</v>
      </c>
      <c r="B1987" s="29">
        <f t="shared" si="1"/>
        <v>44</v>
      </c>
      <c r="C1987" s="2" t="s">
        <v>85</v>
      </c>
      <c r="D1987" s="2">
        <v>0.0</v>
      </c>
    </row>
    <row r="1988">
      <c r="A1988" s="28">
        <v>45595.0</v>
      </c>
      <c r="B1988" s="29">
        <f t="shared" si="1"/>
        <v>44</v>
      </c>
      <c r="C1988" s="2" t="s">
        <v>86</v>
      </c>
    </row>
    <row r="1989">
      <c r="A1989" s="28">
        <v>45595.0</v>
      </c>
      <c r="B1989" s="29">
        <f t="shared" si="1"/>
        <v>44</v>
      </c>
      <c r="C1989" s="2" t="s">
        <v>87</v>
      </c>
    </row>
    <row r="1990">
      <c r="A1990" s="28">
        <v>45595.0</v>
      </c>
      <c r="B1990" s="29">
        <f t="shared" si="1"/>
        <v>44</v>
      </c>
      <c r="C1990" s="2" t="s">
        <v>88</v>
      </c>
      <c r="D1990" s="2">
        <v>452.0</v>
      </c>
    </row>
    <row r="1991">
      <c r="A1991" s="28">
        <v>45595.0</v>
      </c>
      <c r="B1991" s="29">
        <f t="shared" si="1"/>
        <v>44</v>
      </c>
      <c r="C1991" s="2" t="s">
        <v>89</v>
      </c>
      <c r="D1991" s="2">
        <v>1380.0</v>
      </c>
    </row>
    <row r="1992">
      <c r="A1992" s="28">
        <v>45595.0</v>
      </c>
      <c r="B1992" s="29">
        <f t="shared" si="1"/>
        <v>44</v>
      </c>
      <c r="C1992" s="2" t="s">
        <v>90</v>
      </c>
      <c r="D1992" s="2">
        <v>0.0</v>
      </c>
    </row>
    <row r="1993">
      <c r="A1993" s="28">
        <v>45595.0</v>
      </c>
      <c r="B1993" s="29">
        <f t="shared" si="1"/>
        <v>44</v>
      </c>
      <c r="C1993" s="2" t="s">
        <v>91</v>
      </c>
    </row>
    <row r="1994">
      <c r="A1994" s="28">
        <v>45595.0</v>
      </c>
      <c r="B1994" s="29">
        <f t="shared" si="1"/>
        <v>44</v>
      </c>
      <c r="C1994" s="2" t="s">
        <v>92</v>
      </c>
    </row>
    <row r="1995">
      <c r="A1995" s="28">
        <v>45595.0</v>
      </c>
      <c r="B1995" s="29">
        <f t="shared" si="1"/>
        <v>44</v>
      </c>
      <c r="C1995" s="2" t="s">
        <v>93</v>
      </c>
    </row>
    <row r="1996">
      <c r="A1996" s="28">
        <v>45595.0</v>
      </c>
      <c r="B1996" s="29">
        <f t="shared" si="1"/>
        <v>44</v>
      </c>
      <c r="C1996" s="2" t="s">
        <v>94</v>
      </c>
    </row>
    <row r="1997">
      <c r="A1997" s="28">
        <v>45595.0</v>
      </c>
      <c r="B1997" s="29">
        <f t="shared" si="1"/>
        <v>44</v>
      </c>
      <c r="C1997" s="2" t="s">
        <v>95</v>
      </c>
    </row>
    <row r="1998">
      <c r="A1998" s="28">
        <v>45595.0</v>
      </c>
      <c r="B1998" s="29">
        <f t="shared" si="1"/>
        <v>44</v>
      </c>
      <c r="C1998" s="2" t="s">
        <v>96</v>
      </c>
      <c r="D1998" s="2">
        <v>332.0</v>
      </c>
    </row>
    <row r="1999">
      <c r="A1999" s="28">
        <v>45595.0</v>
      </c>
      <c r="B1999" s="29">
        <f t="shared" si="1"/>
        <v>44</v>
      </c>
      <c r="C1999" s="2" t="s">
        <v>97</v>
      </c>
      <c r="D1999" s="2">
        <v>1330.0</v>
      </c>
    </row>
    <row r="2000">
      <c r="A2000" s="28">
        <v>45595.0</v>
      </c>
      <c r="B2000" s="29">
        <f t="shared" si="1"/>
        <v>44</v>
      </c>
      <c r="C2000" s="2" t="s">
        <v>98</v>
      </c>
    </row>
    <row r="2001">
      <c r="A2001" s="28">
        <v>45595.0</v>
      </c>
      <c r="B2001" s="29">
        <f t="shared" si="1"/>
        <v>44</v>
      </c>
      <c r="C2001" s="2" t="s">
        <v>99</v>
      </c>
    </row>
    <row r="2002">
      <c r="A2002" s="28">
        <v>45595.0</v>
      </c>
      <c r="B2002" s="29">
        <f t="shared" si="1"/>
        <v>44</v>
      </c>
      <c r="C2002" s="2" t="s">
        <v>100</v>
      </c>
    </row>
    <row r="2003">
      <c r="A2003" s="28">
        <v>45602.0</v>
      </c>
      <c r="B2003" s="29">
        <f t="shared" si="1"/>
        <v>45</v>
      </c>
      <c r="C2003" s="2" t="s">
        <v>101</v>
      </c>
      <c r="D2003" s="2">
        <v>6454.0</v>
      </c>
    </row>
    <row r="2004">
      <c r="A2004" s="28">
        <v>45602.0</v>
      </c>
      <c r="B2004" s="29">
        <f t="shared" si="1"/>
        <v>45</v>
      </c>
      <c r="C2004" s="2" t="s">
        <v>80</v>
      </c>
      <c r="D2004" s="2">
        <v>1427.0</v>
      </c>
    </row>
    <row r="2005">
      <c r="A2005" s="28">
        <v>45602.0</v>
      </c>
      <c r="B2005" s="29">
        <f t="shared" si="1"/>
        <v>45</v>
      </c>
      <c r="C2005" s="2" t="s">
        <v>81</v>
      </c>
    </row>
    <row r="2006">
      <c r="A2006" s="28">
        <v>45602.0</v>
      </c>
      <c r="B2006" s="29">
        <f t="shared" si="1"/>
        <v>45</v>
      </c>
      <c r="C2006" s="2" t="s">
        <v>82</v>
      </c>
    </row>
    <row r="2007">
      <c r="A2007" s="28">
        <v>45602.0</v>
      </c>
      <c r="B2007" s="29">
        <f t="shared" si="1"/>
        <v>45</v>
      </c>
      <c r="C2007" s="2" t="s">
        <v>83</v>
      </c>
      <c r="D2007" s="2">
        <v>1449.0</v>
      </c>
    </row>
    <row r="2008">
      <c r="A2008" s="28">
        <v>45602.0</v>
      </c>
      <c r="B2008" s="29">
        <f t="shared" si="1"/>
        <v>45</v>
      </c>
      <c r="C2008" s="2" t="s">
        <v>84</v>
      </c>
      <c r="D2008" s="2">
        <v>1017.0</v>
      </c>
    </row>
    <row r="2009">
      <c r="A2009" s="28">
        <v>45602.0</v>
      </c>
      <c r="B2009" s="29">
        <f t="shared" si="1"/>
        <v>45</v>
      </c>
      <c r="C2009" s="2" t="s">
        <v>85</v>
      </c>
      <c r="D2009" s="2">
        <v>0.0</v>
      </c>
    </row>
    <row r="2010">
      <c r="A2010" s="28">
        <v>45602.0</v>
      </c>
      <c r="B2010" s="29">
        <f t="shared" si="1"/>
        <v>45</v>
      </c>
      <c r="C2010" s="2" t="s">
        <v>86</v>
      </c>
    </row>
    <row r="2011">
      <c r="A2011" s="28">
        <v>45602.0</v>
      </c>
      <c r="B2011" s="29">
        <f t="shared" si="1"/>
        <v>45</v>
      </c>
      <c r="C2011" s="2" t="s">
        <v>87</v>
      </c>
    </row>
    <row r="2012">
      <c r="A2012" s="28">
        <v>45602.0</v>
      </c>
      <c r="B2012" s="29">
        <f t="shared" si="1"/>
        <v>45</v>
      </c>
      <c r="C2012" s="2" t="s">
        <v>88</v>
      </c>
      <c r="D2012" s="2">
        <v>452.0</v>
      </c>
    </row>
    <row r="2013">
      <c r="A2013" s="28">
        <v>45602.0</v>
      </c>
      <c r="B2013" s="29">
        <f t="shared" si="1"/>
        <v>45</v>
      </c>
      <c r="C2013" s="2" t="s">
        <v>89</v>
      </c>
      <c r="D2013" s="2">
        <v>1380.0</v>
      </c>
    </row>
    <row r="2014">
      <c r="A2014" s="28">
        <v>45602.0</v>
      </c>
      <c r="B2014" s="29">
        <f t="shared" si="1"/>
        <v>45</v>
      </c>
      <c r="C2014" s="2" t="s">
        <v>90</v>
      </c>
      <c r="D2014" s="2">
        <v>0.0</v>
      </c>
    </row>
    <row r="2015">
      <c r="A2015" s="28">
        <v>45602.0</v>
      </c>
      <c r="B2015" s="29">
        <f t="shared" si="1"/>
        <v>45</v>
      </c>
      <c r="C2015" s="2" t="s">
        <v>91</v>
      </c>
    </row>
    <row r="2016">
      <c r="A2016" s="28">
        <v>45602.0</v>
      </c>
      <c r="B2016" s="29">
        <f t="shared" si="1"/>
        <v>45</v>
      </c>
      <c r="C2016" s="2" t="s">
        <v>92</v>
      </c>
    </row>
    <row r="2017">
      <c r="A2017" s="28">
        <v>45602.0</v>
      </c>
      <c r="B2017" s="29">
        <f t="shared" si="1"/>
        <v>45</v>
      </c>
      <c r="C2017" s="2" t="s">
        <v>93</v>
      </c>
    </row>
    <row r="2018">
      <c r="A2018" s="28">
        <v>45602.0</v>
      </c>
      <c r="B2018" s="29">
        <f t="shared" si="1"/>
        <v>45</v>
      </c>
      <c r="C2018" s="2" t="s">
        <v>94</v>
      </c>
    </row>
    <row r="2019">
      <c r="A2019" s="28">
        <v>45602.0</v>
      </c>
      <c r="B2019" s="29">
        <f t="shared" si="1"/>
        <v>45</v>
      </c>
      <c r="C2019" s="2" t="s">
        <v>95</v>
      </c>
    </row>
    <row r="2020">
      <c r="A2020" s="28">
        <v>45602.0</v>
      </c>
      <c r="B2020" s="29">
        <f t="shared" si="1"/>
        <v>45</v>
      </c>
      <c r="C2020" s="2" t="s">
        <v>96</v>
      </c>
      <c r="D2020" s="2">
        <v>179.0</v>
      </c>
    </row>
    <row r="2021">
      <c r="A2021" s="28">
        <v>45602.0</v>
      </c>
      <c r="B2021" s="29">
        <f t="shared" si="1"/>
        <v>45</v>
      </c>
      <c r="C2021" s="2" t="s">
        <v>97</v>
      </c>
      <c r="D2021" s="2">
        <v>550.0</v>
      </c>
    </row>
    <row r="2022">
      <c r="A2022" s="28">
        <v>45602.0</v>
      </c>
      <c r="B2022" s="29">
        <f t="shared" si="1"/>
        <v>45</v>
      </c>
      <c r="C2022" s="2" t="s">
        <v>98</v>
      </c>
    </row>
    <row r="2023">
      <c r="A2023" s="28">
        <v>45602.0</v>
      </c>
      <c r="B2023" s="29">
        <f t="shared" si="1"/>
        <v>45</v>
      </c>
      <c r="C2023" s="2" t="s">
        <v>99</v>
      </c>
    </row>
    <row r="2024">
      <c r="A2024" s="28">
        <v>45602.0</v>
      </c>
      <c r="B2024" s="29">
        <f t="shared" si="1"/>
        <v>45</v>
      </c>
      <c r="C2024" s="2" t="s">
        <v>100</v>
      </c>
    </row>
    <row r="2025">
      <c r="A2025" s="28">
        <v>45609.0</v>
      </c>
      <c r="B2025" s="29">
        <f t="shared" si="1"/>
        <v>46</v>
      </c>
      <c r="C2025" s="2" t="s">
        <v>101</v>
      </c>
      <c r="D2025" s="2">
        <v>7036.0</v>
      </c>
    </row>
    <row r="2026">
      <c r="A2026" s="28">
        <v>45609.0</v>
      </c>
      <c r="B2026" s="29">
        <f t="shared" si="1"/>
        <v>46</v>
      </c>
      <c r="C2026" s="2" t="s">
        <v>80</v>
      </c>
      <c r="D2026" s="2">
        <v>1226.0</v>
      </c>
    </row>
    <row r="2027">
      <c r="A2027" s="28">
        <v>45609.0</v>
      </c>
      <c r="B2027" s="29">
        <f t="shared" si="1"/>
        <v>46</v>
      </c>
      <c r="C2027" s="2" t="s">
        <v>81</v>
      </c>
    </row>
    <row r="2028">
      <c r="A2028" s="28">
        <v>45609.0</v>
      </c>
      <c r="B2028" s="29">
        <f t="shared" si="1"/>
        <v>46</v>
      </c>
      <c r="C2028" s="2" t="s">
        <v>82</v>
      </c>
    </row>
    <row r="2029">
      <c r="A2029" s="28">
        <v>45609.0</v>
      </c>
      <c r="B2029" s="29">
        <f t="shared" si="1"/>
        <v>46</v>
      </c>
      <c r="C2029" s="2" t="s">
        <v>83</v>
      </c>
      <c r="D2029" s="2">
        <v>1396.0</v>
      </c>
    </row>
    <row r="2030">
      <c r="A2030" s="28">
        <v>45609.0</v>
      </c>
      <c r="B2030" s="29">
        <f t="shared" si="1"/>
        <v>46</v>
      </c>
      <c r="C2030" s="2" t="s">
        <v>84</v>
      </c>
      <c r="D2030" s="2">
        <v>1389.0</v>
      </c>
    </row>
    <row r="2031">
      <c r="A2031" s="28">
        <v>45609.0</v>
      </c>
      <c r="B2031" s="29">
        <f t="shared" si="1"/>
        <v>46</v>
      </c>
      <c r="C2031" s="2" t="s">
        <v>85</v>
      </c>
      <c r="D2031" s="2">
        <v>54.0</v>
      </c>
    </row>
    <row r="2032">
      <c r="A2032" s="28">
        <v>45609.0</v>
      </c>
      <c r="B2032" s="29">
        <f t="shared" si="1"/>
        <v>46</v>
      </c>
      <c r="C2032" s="2" t="s">
        <v>86</v>
      </c>
    </row>
    <row r="2033">
      <c r="A2033" s="28">
        <v>45609.0</v>
      </c>
      <c r="B2033" s="29">
        <f t="shared" si="1"/>
        <v>46</v>
      </c>
      <c r="C2033" s="2" t="s">
        <v>87</v>
      </c>
    </row>
    <row r="2034">
      <c r="A2034" s="28">
        <v>45609.0</v>
      </c>
      <c r="B2034" s="29">
        <f t="shared" si="1"/>
        <v>46</v>
      </c>
      <c r="C2034" s="2" t="s">
        <v>88</v>
      </c>
      <c r="D2034" s="2">
        <v>554.0</v>
      </c>
    </row>
    <row r="2035">
      <c r="A2035" s="28">
        <v>45609.0</v>
      </c>
      <c r="B2035" s="29">
        <f t="shared" si="1"/>
        <v>46</v>
      </c>
      <c r="C2035" s="2" t="s">
        <v>89</v>
      </c>
      <c r="D2035" s="2">
        <v>437.0</v>
      </c>
    </row>
    <row r="2036">
      <c r="A2036" s="28">
        <v>45609.0</v>
      </c>
      <c r="B2036" s="29">
        <f t="shared" si="1"/>
        <v>46</v>
      </c>
      <c r="C2036" s="2" t="s">
        <v>90</v>
      </c>
      <c r="D2036" s="2">
        <v>0.0</v>
      </c>
    </row>
    <row r="2037">
      <c r="A2037" s="28">
        <v>45609.0</v>
      </c>
      <c r="B2037" s="29">
        <f t="shared" si="1"/>
        <v>46</v>
      </c>
      <c r="C2037" s="2" t="s">
        <v>91</v>
      </c>
    </row>
    <row r="2038">
      <c r="A2038" s="28">
        <v>45609.0</v>
      </c>
      <c r="B2038" s="29">
        <f t="shared" si="1"/>
        <v>46</v>
      </c>
      <c r="C2038" s="2" t="s">
        <v>92</v>
      </c>
    </row>
    <row r="2039">
      <c r="A2039" s="28">
        <v>45609.0</v>
      </c>
      <c r="B2039" s="29">
        <f t="shared" si="1"/>
        <v>46</v>
      </c>
      <c r="C2039" s="2" t="s">
        <v>93</v>
      </c>
    </row>
    <row r="2040">
      <c r="A2040" s="28">
        <v>45609.0</v>
      </c>
      <c r="B2040" s="29">
        <f t="shared" si="1"/>
        <v>46</v>
      </c>
      <c r="C2040" s="2" t="s">
        <v>94</v>
      </c>
    </row>
    <row r="2041">
      <c r="A2041" s="28">
        <v>45609.0</v>
      </c>
      <c r="B2041" s="29">
        <f t="shared" si="1"/>
        <v>46</v>
      </c>
      <c r="C2041" s="2" t="s">
        <v>95</v>
      </c>
    </row>
    <row r="2042">
      <c r="A2042" s="28">
        <v>45609.0</v>
      </c>
      <c r="B2042" s="29">
        <f t="shared" si="1"/>
        <v>46</v>
      </c>
      <c r="C2042" s="2" t="s">
        <v>96</v>
      </c>
      <c r="D2042" s="2">
        <v>200.0</v>
      </c>
    </row>
    <row r="2043">
      <c r="A2043" s="28">
        <v>45609.0</v>
      </c>
      <c r="B2043" s="29">
        <f t="shared" si="1"/>
        <v>46</v>
      </c>
      <c r="C2043" s="2" t="s">
        <v>97</v>
      </c>
      <c r="D2043" s="2">
        <v>1780.0</v>
      </c>
    </row>
    <row r="2044">
      <c r="A2044" s="28">
        <v>45609.0</v>
      </c>
      <c r="B2044" s="29">
        <f t="shared" si="1"/>
        <v>46</v>
      </c>
      <c r="C2044" s="2" t="s">
        <v>98</v>
      </c>
    </row>
    <row r="2045">
      <c r="A2045" s="28">
        <v>45609.0</v>
      </c>
      <c r="B2045" s="29">
        <f t="shared" si="1"/>
        <v>46</v>
      </c>
      <c r="C2045" s="2" t="s">
        <v>99</v>
      </c>
    </row>
    <row r="2046">
      <c r="A2046" s="28">
        <v>45609.0</v>
      </c>
      <c r="B2046" s="29">
        <f t="shared" si="1"/>
        <v>46</v>
      </c>
      <c r="C2046" s="2" t="s">
        <v>100</v>
      </c>
    </row>
    <row r="2047">
      <c r="A2047" s="28">
        <v>45616.0</v>
      </c>
      <c r="B2047" s="29">
        <f t="shared" si="1"/>
        <v>47</v>
      </c>
      <c r="C2047" s="2" t="s">
        <v>101</v>
      </c>
      <c r="D2047" s="2">
        <v>16371.0</v>
      </c>
    </row>
    <row r="2048">
      <c r="A2048" s="28">
        <v>45616.0</v>
      </c>
      <c r="B2048" s="29">
        <f t="shared" si="1"/>
        <v>47</v>
      </c>
      <c r="C2048" s="2" t="s">
        <v>80</v>
      </c>
      <c r="D2048" s="2">
        <v>3625.0</v>
      </c>
    </row>
    <row r="2049">
      <c r="A2049" s="28">
        <v>45616.0</v>
      </c>
      <c r="B2049" s="29">
        <f t="shared" si="1"/>
        <v>47</v>
      </c>
      <c r="C2049" s="2" t="s">
        <v>81</v>
      </c>
    </row>
    <row r="2050">
      <c r="A2050" s="28">
        <v>45616.0</v>
      </c>
      <c r="B2050" s="29">
        <f t="shared" si="1"/>
        <v>47</v>
      </c>
      <c r="C2050" s="2" t="s">
        <v>82</v>
      </c>
    </row>
    <row r="2051">
      <c r="A2051" s="28">
        <v>45616.0</v>
      </c>
      <c r="B2051" s="29">
        <f t="shared" si="1"/>
        <v>47</v>
      </c>
      <c r="C2051" s="2" t="s">
        <v>83</v>
      </c>
      <c r="D2051" s="2">
        <v>2378.0</v>
      </c>
    </row>
    <row r="2052">
      <c r="A2052" s="28">
        <v>45616.0</v>
      </c>
      <c r="B2052" s="29">
        <f t="shared" si="1"/>
        <v>47</v>
      </c>
      <c r="C2052" s="2" t="s">
        <v>84</v>
      </c>
      <c r="D2052" s="2">
        <v>1643.0</v>
      </c>
    </row>
    <row r="2053">
      <c r="A2053" s="28">
        <v>45616.0</v>
      </c>
      <c r="B2053" s="29">
        <f t="shared" si="1"/>
        <v>47</v>
      </c>
      <c r="C2053" s="2" t="s">
        <v>85</v>
      </c>
      <c r="D2053" s="2">
        <v>64.0</v>
      </c>
    </row>
    <row r="2054">
      <c r="A2054" s="28">
        <v>45616.0</v>
      </c>
      <c r="B2054" s="29">
        <f t="shared" si="1"/>
        <v>47</v>
      </c>
      <c r="C2054" s="2" t="s">
        <v>86</v>
      </c>
    </row>
    <row r="2055">
      <c r="A2055" s="28">
        <v>45616.0</v>
      </c>
      <c r="B2055" s="29">
        <f t="shared" si="1"/>
        <v>47</v>
      </c>
      <c r="C2055" s="2" t="s">
        <v>87</v>
      </c>
    </row>
    <row r="2056">
      <c r="A2056" s="28">
        <v>45616.0</v>
      </c>
      <c r="B2056" s="29">
        <f t="shared" si="1"/>
        <v>47</v>
      </c>
      <c r="C2056" s="2" t="s">
        <v>88</v>
      </c>
      <c r="D2056" s="2">
        <v>1087.0</v>
      </c>
    </row>
    <row r="2057">
      <c r="A2057" s="28">
        <v>45616.0</v>
      </c>
      <c r="B2057" s="29">
        <f t="shared" si="1"/>
        <v>47</v>
      </c>
      <c r="C2057" s="2" t="s">
        <v>89</v>
      </c>
      <c r="D2057" s="2">
        <v>861.0</v>
      </c>
    </row>
    <row r="2058">
      <c r="A2058" s="28">
        <v>45616.0</v>
      </c>
      <c r="B2058" s="29">
        <f t="shared" si="1"/>
        <v>47</v>
      </c>
      <c r="C2058" s="2" t="s">
        <v>90</v>
      </c>
      <c r="D2058" s="2">
        <v>0.0</v>
      </c>
    </row>
    <row r="2059">
      <c r="A2059" s="28">
        <v>45616.0</v>
      </c>
      <c r="B2059" s="29">
        <f t="shared" si="1"/>
        <v>47</v>
      </c>
      <c r="C2059" s="2" t="s">
        <v>91</v>
      </c>
    </row>
    <row r="2060">
      <c r="A2060" s="28">
        <v>45616.0</v>
      </c>
      <c r="B2060" s="29">
        <f t="shared" si="1"/>
        <v>47</v>
      </c>
      <c r="C2060" s="2" t="s">
        <v>92</v>
      </c>
    </row>
    <row r="2061">
      <c r="A2061" s="28">
        <v>45616.0</v>
      </c>
      <c r="B2061" s="29">
        <f t="shared" si="1"/>
        <v>47</v>
      </c>
      <c r="C2061" s="2" t="s">
        <v>93</v>
      </c>
    </row>
    <row r="2062">
      <c r="A2062" s="28">
        <v>45616.0</v>
      </c>
      <c r="B2062" s="29">
        <f t="shared" si="1"/>
        <v>47</v>
      </c>
      <c r="C2062" s="2" t="s">
        <v>94</v>
      </c>
    </row>
    <row r="2063">
      <c r="A2063" s="28">
        <v>45616.0</v>
      </c>
      <c r="B2063" s="29">
        <f t="shared" si="1"/>
        <v>47</v>
      </c>
      <c r="C2063" s="2" t="s">
        <v>95</v>
      </c>
    </row>
    <row r="2064">
      <c r="A2064" s="28">
        <v>45616.0</v>
      </c>
      <c r="B2064" s="29">
        <f t="shared" si="1"/>
        <v>47</v>
      </c>
      <c r="C2064" s="2" t="s">
        <v>96</v>
      </c>
      <c r="D2064" s="2">
        <v>304.0</v>
      </c>
    </row>
    <row r="2065">
      <c r="A2065" s="28">
        <v>45616.0</v>
      </c>
      <c r="B2065" s="29">
        <f t="shared" si="1"/>
        <v>47</v>
      </c>
      <c r="C2065" s="2" t="s">
        <v>97</v>
      </c>
      <c r="D2065" s="2">
        <v>6409.0</v>
      </c>
    </row>
    <row r="2066">
      <c r="A2066" s="28">
        <v>45616.0</v>
      </c>
      <c r="B2066" s="29">
        <f t="shared" si="1"/>
        <v>47</v>
      </c>
      <c r="C2066" s="2" t="s">
        <v>98</v>
      </c>
    </row>
    <row r="2067">
      <c r="A2067" s="28">
        <v>45616.0</v>
      </c>
      <c r="B2067" s="29">
        <f t="shared" si="1"/>
        <v>47</v>
      </c>
      <c r="C2067" s="2" t="s">
        <v>99</v>
      </c>
    </row>
    <row r="2068">
      <c r="A2068" s="28">
        <v>45616.0</v>
      </c>
      <c r="B2068" s="29">
        <f t="shared" si="1"/>
        <v>47</v>
      </c>
      <c r="C2068" s="2" t="s">
        <v>100</v>
      </c>
    </row>
    <row r="2069">
      <c r="A2069" s="28">
        <v>45623.0</v>
      </c>
      <c r="B2069" s="29">
        <f t="shared" si="1"/>
        <v>48</v>
      </c>
      <c r="C2069" s="2" t="s">
        <v>101</v>
      </c>
      <c r="D2069" s="2">
        <v>0.0</v>
      </c>
    </row>
    <row r="2070">
      <c r="A2070" s="28">
        <v>45623.0</v>
      </c>
      <c r="B2070" s="29">
        <f t="shared" si="1"/>
        <v>48</v>
      </c>
      <c r="C2070" s="2" t="s">
        <v>80</v>
      </c>
    </row>
    <row r="2071">
      <c r="A2071" s="28">
        <v>45623.0</v>
      </c>
      <c r="B2071" s="29">
        <f t="shared" si="1"/>
        <v>48</v>
      </c>
      <c r="C2071" s="2" t="s">
        <v>81</v>
      </c>
    </row>
    <row r="2072">
      <c r="A2072" s="28">
        <v>45623.0</v>
      </c>
      <c r="B2072" s="29">
        <f t="shared" si="1"/>
        <v>48</v>
      </c>
      <c r="C2072" s="2" t="s">
        <v>82</v>
      </c>
    </row>
    <row r="2073">
      <c r="A2073" s="28">
        <v>45623.0</v>
      </c>
      <c r="B2073" s="29">
        <f t="shared" si="1"/>
        <v>48</v>
      </c>
      <c r="C2073" s="2" t="s">
        <v>83</v>
      </c>
    </row>
    <row r="2074">
      <c r="A2074" s="28">
        <v>45623.0</v>
      </c>
      <c r="B2074" s="29">
        <f t="shared" si="1"/>
        <v>48</v>
      </c>
      <c r="C2074" s="2" t="s">
        <v>84</v>
      </c>
    </row>
    <row r="2075">
      <c r="A2075" s="28">
        <v>45623.0</v>
      </c>
      <c r="B2075" s="29">
        <f t="shared" si="1"/>
        <v>48</v>
      </c>
      <c r="C2075" s="2" t="s">
        <v>85</v>
      </c>
    </row>
    <row r="2076">
      <c r="A2076" s="28">
        <v>45623.0</v>
      </c>
      <c r="B2076" s="29">
        <f t="shared" si="1"/>
        <v>48</v>
      </c>
      <c r="C2076" s="2" t="s">
        <v>86</v>
      </c>
      <c r="D2076" s="2" t="s">
        <v>104</v>
      </c>
    </row>
    <row r="2077">
      <c r="A2077" s="28">
        <v>45623.0</v>
      </c>
      <c r="B2077" s="29">
        <f t="shared" si="1"/>
        <v>48</v>
      </c>
      <c r="C2077" s="2" t="s">
        <v>87</v>
      </c>
    </row>
    <row r="2078">
      <c r="A2078" s="28">
        <v>45623.0</v>
      </c>
      <c r="B2078" s="29">
        <f t="shared" si="1"/>
        <v>48</v>
      </c>
      <c r="C2078" s="2" t="s">
        <v>88</v>
      </c>
    </row>
    <row r="2079">
      <c r="A2079" s="28">
        <v>45623.0</v>
      </c>
      <c r="B2079" s="29">
        <f t="shared" si="1"/>
        <v>48</v>
      </c>
      <c r="C2079" s="2" t="s">
        <v>89</v>
      </c>
    </row>
    <row r="2080">
      <c r="A2080" s="28">
        <v>45623.0</v>
      </c>
      <c r="B2080" s="29">
        <f t="shared" si="1"/>
        <v>48</v>
      </c>
      <c r="C2080" s="2" t="s">
        <v>90</v>
      </c>
    </row>
    <row r="2081">
      <c r="A2081" s="28">
        <v>45623.0</v>
      </c>
      <c r="B2081" s="29">
        <f t="shared" si="1"/>
        <v>48</v>
      </c>
      <c r="C2081" s="2" t="s">
        <v>91</v>
      </c>
    </row>
    <row r="2082">
      <c r="A2082" s="28">
        <v>45623.0</v>
      </c>
      <c r="B2082" s="29">
        <f t="shared" si="1"/>
        <v>48</v>
      </c>
      <c r="C2082" s="2" t="s">
        <v>92</v>
      </c>
    </row>
    <row r="2083">
      <c r="A2083" s="28">
        <v>45623.0</v>
      </c>
      <c r="B2083" s="29">
        <f t="shared" si="1"/>
        <v>48</v>
      </c>
      <c r="C2083" s="2" t="s">
        <v>93</v>
      </c>
    </row>
    <row r="2084">
      <c r="A2084" s="28">
        <v>45623.0</v>
      </c>
      <c r="B2084" s="29">
        <f t="shared" si="1"/>
        <v>48</v>
      </c>
      <c r="C2084" s="2" t="s">
        <v>94</v>
      </c>
    </row>
    <row r="2085">
      <c r="A2085" s="28">
        <v>45623.0</v>
      </c>
      <c r="B2085" s="29">
        <f t="shared" si="1"/>
        <v>48</v>
      </c>
      <c r="C2085" s="2" t="s">
        <v>95</v>
      </c>
    </row>
    <row r="2086">
      <c r="A2086" s="28">
        <v>45623.0</v>
      </c>
      <c r="B2086" s="29">
        <f t="shared" si="1"/>
        <v>48</v>
      </c>
      <c r="C2086" s="2" t="s">
        <v>96</v>
      </c>
    </row>
    <row r="2087">
      <c r="A2087" s="28">
        <v>45623.0</v>
      </c>
      <c r="B2087" s="29">
        <f t="shared" si="1"/>
        <v>48</v>
      </c>
      <c r="C2087" s="2" t="s">
        <v>97</v>
      </c>
    </row>
    <row r="2088">
      <c r="A2088" s="28">
        <v>45623.0</v>
      </c>
      <c r="B2088" s="29">
        <f t="shared" si="1"/>
        <v>48</v>
      </c>
      <c r="C2088" s="2" t="s">
        <v>98</v>
      </c>
    </row>
    <row r="2089">
      <c r="A2089" s="28">
        <v>45623.0</v>
      </c>
      <c r="B2089" s="29">
        <f t="shared" si="1"/>
        <v>48</v>
      </c>
      <c r="C2089" s="2" t="s">
        <v>99</v>
      </c>
    </row>
    <row r="2090">
      <c r="A2090" s="28">
        <v>45623.0</v>
      </c>
      <c r="B2090" s="29">
        <f t="shared" si="1"/>
        <v>48</v>
      </c>
      <c r="C2090" s="2" t="s">
        <v>100</v>
      </c>
      <c r="D2090" s="2" t="s">
        <v>105</v>
      </c>
    </row>
    <row r="2091">
      <c r="A2091" s="28">
        <v>45630.0</v>
      </c>
      <c r="B2091" s="29">
        <f t="shared" si="1"/>
        <v>49</v>
      </c>
      <c r="C2091" s="2" t="s">
        <v>101</v>
      </c>
      <c r="D2091" s="2">
        <v>7987.0</v>
      </c>
    </row>
    <row r="2092">
      <c r="A2092" s="28">
        <v>45630.0</v>
      </c>
      <c r="B2092" s="29">
        <f t="shared" si="1"/>
        <v>49</v>
      </c>
      <c r="C2092" s="2" t="s">
        <v>80</v>
      </c>
      <c r="D2092" s="2">
        <v>1379.0</v>
      </c>
    </row>
    <row r="2093">
      <c r="A2093" s="28">
        <v>45630.0</v>
      </c>
      <c r="B2093" s="29">
        <f t="shared" si="1"/>
        <v>49</v>
      </c>
      <c r="C2093" s="2" t="s">
        <v>81</v>
      </c>
    </row>
    <row r="2094">
      <c r="A2094" s="28">
        <v>45630.0</v>
      </c>
      <c r="B2094" s="29">
        <f t="shared" si="1"/>
        <v>49</v>
      </c>
      <c r="C2094" s="2" t="s">
        <v>82</v>
      </c>
    </row>
    <row r="2095">
      <c r="A2095" s="28">
        <v>45630.0</v>
      </c>
      <c r="B2095" s="29">
        <f t="shared" si="1"/>
        <v>49</v>
      </c>
      <c r="C2095" s="2" t="s">
        <v>83</v>
      </c>
      <c r="D2095" s="2">
        <v>1643.0</v>
      </c>
    </row>
    <row r="2096">
      <c r="A2096" s="28">
        <v>45630.0</v>
      </c>
      <c r="B2096" s="29">
        <f t="shared" si="1"/>
        <v>49</v>
      </c>
      <c r="C2096" s="2" t="s">
        <v>84</v>
      </c>
      <c r="D2096" s="2">
        <v>1439.0</v>
      </c>
    </row>
    <row r="2097">
      <c r="A2097" s="28">
        <v>45630.0</v>
      </c>
      <c r="B2097" s="29">
        <f t="shared" si="1"/>
        <v>49</v>
      </c>
      <c r="C2097" s="2" t="s">
        <v>85</v>
      </c>
      <c r="D2097" s="2">
        <v>54.0</v>
      </c>
    </row>
    <row r="2098">
      <c r="A2098" s="28">
        <v>45630.0</v>
      </c>
      <c r="B2098" s="29">
        <f t="shared" si="1"/>
        <v>49</v>
      </c>
      <c r="C2098" s="2" t="s">
        <v>86</v>
      </c>
      <c r="D2098" s="2" t="s">
        <v>104</v>
      </c>
    </row>
    <row r="2099">
      <c r="A2099" s="28">
        <v>45630.0</v>
      </c>
      <c r="B2099" s="29">
        <f t="shared" si="1"/>
        <v>49</v>
      </c>
      <c r="C2099" s="2" t="s">
        <v>87</v>
      </c>
    </row>
    <row r="2100">
      <c r="A2100" s="28">
        <v>45630.0</v>
      </c>
      <c r="B2100" s="29">
        <f t="shared" si="1"/>
        <v>49</v>
      </c>
      <c r="C2100" s="2" t="s">
        <v>88</v>
      </c>
      <c r="D2100" s="2">
        <v>442.0</v>
      </c>
    </row>
    <row r="2101">
      <c r="A2101" s="28">
        <v>45630.0</v>
      </c>
      <c r="B2101" s="29">
        <f t="shared" si="1"/>
        <v>49</v>
      </c>
      <c r="C2101" s="2" t="s">
        <v>89</v>
      </c>
      <c r="D2101" s="2">
        <v>1280.0</v>
      </c>
    </row>
    <row r="2102">
      <c r="A2102" s="28">
        <v>45630.0</v>
      </c>
      <c r="B2102" s="29">
        <f t="shared" si="1"/>
        <v>49</v>
      </c>
      <c r="C2102" s="2" t="s">
        <v>90</v>
      </c>
      <c r="D2102" s="2">
        <v>0.0</v>
      </c>
    </row>
    <row r="2103">
      <c r="A2103" s="28">
        <v>45630.0</v>
      </c>
      <c r="B2103" s="29">
        <f t="shared" si="1"/>
        <v>49</v>
      </c>
      <c r="C2103" s="2" t="s">
        <v>91</v>
      </c>
    </row>
    <row r="2104">
      <c r="A2104" s="28">
        <v>45630.0</v>
      </c>
      <c r="B2104" s="29">
        <f t="shared" si="1"/>
        <v>49</v>
      </c>
      <c r="C2104" s="2" t="s">
        <v>92</v>
      </c>
    </row>
    <row r="2105">
      <c r="A2105" s="28">
        <v>45630.0</v>
      </c>
      <c r="B2105" s="29">
        <f t="shared" si="1"/>
        <v>49</v>
      </c>
      <c r="C2105" s="2" t="s">
        <v>93</v>
      </c>
    </row>
    <row r="2106">
      <c r="A2106" s="28">
        <v>45630.0</v>
      </c>
      <c r="B2106" s="29">
        <f t="shared" si="1"/>
        <v>49</v>
      </c>
      <c r="C2106" s="2" t="s">
        <v>94</v>
      </c>
    </row>
    <row r="2107">
      <c r="A2107" s="28">
        <v>45630.0</v>
      </c>
      <c r="B2107" s="29">
        <f t="shared" si="1"/>
        <v>49</v>
      </c>
      <c r="C2107" s="2" t="s">
        <v>95</v>
      </c>
    </row>
    <row r="2108">
      <c r="A2108" s="28">
        <v>45630.0</v>
      </c>
      <c r="B2108" s="29">
        <f t="shared" si="1"/>
        <v>49</v>
      </c>
      <c r="C2108" s="2" t="s">
        <v>96</v>
      </c>
      <c r="D2108" s="2">
        <v>250.0</v>
      </c>
    </row>
    <row r="2109">
      <c r="A2109" s="28">
        <v>45630.0</v>
      </c>
      <c r="B2109" s="29">
        <f t="shared" si="1"/>
        <v>49</v>
      </c>
      <c r="C2109" s="2" t="s">
        <v>97</v>
      </c>
      <c r="D2109" s="2">
        <v>1500.0</v>
      </c>
    </row>
    <row r="2110">
      <c r="A2110" s="28">
        <v>45630.0</v>
      </c>
      <c r="B2110" s="29">
        <f t="shared" si="1"/>
        <v>49</v>
      </c>
      <c r="C2110" s="2" t="s">
        <v>98</v>
      </c>
    </row>
    <row r="2111">
      <c r="A2111" s="28">
        <v>45630.0</v>
      </c>
      <c r="B2111" s="29">
        <f t="shared" si="1"/>
        <v>49</v>
      </c>
      <c r="C2111" s="2" t="s">
        <v>99</v>
      </c>
    </row>
    <row r="2112">
      <c r="A2112" s="28">
        <v>45630.0</v>
      </c>
      <c r="B2112" s="29">
        <f t="shared" si="1"/>
        <v>49</v>
      </c>
      <c r="C2112" s="2" t="s">
        <v>100</v>
      </c>
      <c r="D2112" s="2" t="s">
        <v>106</v>
      </c>
    </row>
    <row r="2113">
      <c r="A2113" s="28">
        <v>45637.0</v>
      </c>
      <c r="B2113" s="29">
        <f t="shared" si="1"/>
        <v>50</v>
      </c>
      <c r="C2113" s="2" t="s">
        <v>101</v>
      </c>
      <c r="D2113" s="2">
        <v>14137.0</v>
      </c>
    </row>
    <row r="2114">
      <c r="A2114" s="28">
        <v>45637.0</v>
      </c>
      <c r="B2114" s="29">
        <f t="shared" si="1"/>
        <v>50</v>
      </c>
      <c r="C2114" s="2" t="s">
        <v>80</v>
      </c>
      <c r="D2114" s="2">
        <v>2176.0</v>
      </c>
    </row>
    <row r="2115">
      <c r="A2115" s="28">
        <v>45637.0</v>
      </c>
      <c r="B2115" s="29">
        <f t="shared" si="1"/>
        <v>50</v>
      </c>
      <c r="C2115" s="2" t="s">
        <v>81</v>
      </c>
    </row>
    <row r="2116">
      <c r="A2116" s="28">
        <v>45637.0</v>
      </c>
      <c r="B2116" s="29">
        <f t="shared" si="1"/>
        <v>50</v>
      </c>
      <c r="C2116" s="2" t="s">
        <v>82</v>
      </c>
    </row>
    <row r="2117">
      <c r="A2117" s="28">
        <v>45637.0</v>
      </c>
      <c r="B2117" s="29">
        <f t="shared" si="1"/>
        <v>50</v>
      </c>
      <c r="C2117" s="2" t="s">
        <v>83</v>
      </c>
      <c r="D2117" s="2">
        <v>2226.0</v>
      </c>
    </row>
    <row r="2118">
      <c r="A2118" s="28">
        <v>45637.0</v>
      </c>
      <c r="B2118" s="29">
        <f t="shared" si="1"/>
        <v>50</v>
      </c>
      <c r="C2118" s="2" t="s">
        <v>84</v>
      </c>
      <c r="D2118" s="2">
        <v>1203.0</v>
      </c>
    </row>
    <row r="2119">
      <c r="A2119" s="28">
        <v>45637.0</v>
      </c>
      <c r="B2119" s="29">
        <f t="shared" si="1"/>
        <v>50</v>
      </c>
      <c r="C2119" s="2" t="s">
        <v>85</v>
      </c>
    </row>
    <row r="2120">
      <c r="A2120" s="28">
        <v>45637.0</v>
      </c>
      <c r="B2120" s="29">
        <f t="shared" si="1"/>
        <v>50</v>
      </c>
      <c r="C2120" s="2" t="s">
        <v>86</v>
      </c>
      <c r="D2120" s="2" t="s">
        <v>104</v>
      </c>
    </row>
    <row r="2121">
      <c r="A2121" s="28">
        <v>45637.0</v>
      </c>
      <c r="B2121" s="29">
        <f t="shared" si="1"/>
        <v>50</v>
      </c>
      <c r="C2121" s="2" t="s">
        <v>87</v>
      </c>
    </row>
    <row r="2122">
      <c r="A2122" s="28">
        <v>45637.0</v>
      </c>
      <c r="B2122" s="29">
        <f t="shared" si="1"/>
        <v>50</v>
      </c>
      <c r="C2122" s="2" t="s">
        <v>88</v>
      </c>
      <c r="D2122" s="2">
        <v>667.0</v>
      </c>
    </row>
    <row r="2123">
      <c r="A2123" s="28">
        <v>45637.0</v>
      </c>
      <c r="B2123" s="29">
        <f t="shared" si="1"/>
        <v>50</v>
      </c>
      <c r="C2123" s="2" t="s">
        <v>89</v>
      </c>
      <c r="D2123" s="2">
        <v>1190.0</v>
      </c>
    </row>
    <row r="2124">
      <c r="A2124" s="28">
        <v>45637.0</v>
      </c>
      <c r="B2124" s="29">
        <f t="shared" si="1"/>
        <v>50</v>
      </c>
      <c r="C2124" s="2" t="s">
        <v>90</v>
      </c>
      <c r="D2124" s="2">
        <v>0.0</v>
      </c>
    </row>
    <row r="2125">
      <c r="A2125" s="28">
        <v>45637.0</v>
      </c>
      <c r="B2125" s="29">
        <f t="shared" si="1"/>
        <v>50</v>
      </c>
      <c r="C2125" s="2" t="s">
        <v>91</v>
      </c>
    </row>
    <row r="2126">
      <c r="A2126" s="28">
        <v>45637.0</v>
      </c>
      <c r="B2126" s="29">
        <f t="shared" si="1"/>
        <v>50</v>
      </c>
      <c r="C2126" s="2" t="s">
        <v>92</v>
      </c>
    </row>
    <row r="2127">
      <c r="A2127" s="28">
        <v>45637.0</v>
      </c>
      <c r="B2127" s="29">
        <f t="shared" si="1"/>
        <v>50</v>
      </c>
      <c r="C2127" s="2" t="s">
        <v>93</v>
      </c>
    </row>
    <row r="2128">
      <c r="A2128" s="28">
        <v>45637.0</v>
      </c>
      <c r="B2128" s="29">
        <f t="shared" si="1"/>
        <v>50</v>
      </c>
      <c r="C2128" s="2" t="s">
        <v>94</v>
      </c>
    </row>
    <row r="2129">
      <c r="A2129" s="28">
        <v>45637.0</v>
      </c>
      <c r="B2129" s="29">
        <f t="shared" si="1"/>
        <v>50</v>
      </c>
      <c r="C2129" s="2" t="s">
        <v>95</v>
      </c>
    </row>
    <row r="2130">
      <c r="A2130" s="28">
        <v>45637.0</v>
      </c>
      <c r="B2130" s="29">
        <f t="shared" si="1"/>
        <v>50</v>
      </c>
      <c r="C2130" s="2" t="s">
        <v>96</v>
      </c>
      <c r="D2130" s="2">
        <v>105.0</v>
      </c>
    </row>
    <row r="2131">
      <c r="A2131" s="28">
        <v>45637.0</v>
      </c>
      <c r="B2131" s="29">
        <f t="shared" si="1"/>
        <v>50</v>
      </c>
      <c r="C2131" s="2" t="s">
        <v>97</v>
      </c>
      <c r="D2131" s="2">
        <v>6570.0</v>
      </c>
    </row>
    <row r="2132">
      <c r="A2132" s="28">
        <v>45637.0</v>
      </c>
      <c r="B2132" s="29">
        <f t="shared" si="1"/>
        <v>50</v>
      </c>
      <c r="C2132" s="2" t="s">
        <v>98</v>
      </c>
    </row>
    <row r="2133">
      <c r="A2133" s="28">
        <v>45637.0</v>
      </c>
      <c r="B2133" s="29">
        <f t="shared" si="1"/>
        <v>50</v>
      </c>
      <c r="C2133" s="2" t="s">
        <v>99</v>
      </c>
    </row>
    <row r="2134">
      <c r="A2134" s="28">
        <v>45637.0</v>
      </c>
      <c r="B2134" s="29">
        <f t="shared" si="1"/>
        <v>50</v>
      </c>
      <c r="C2134" s="2" t="s">
        <v>100</v>
      </c>
    </row>
    <row r="2135">
      <c r="A2135" s="28">
        <v>45644.0</v>
      </c>
      <c r="B2135" s="29">
        <f t="shared" si="1"/>
        <v>51</v>
      </c>
      <c r="C2135" s="2" t="s">
        <v>101</v>
      </c>
      <c r="D2135" s="2">
        <v>10829.0</v>
      </c>
    </row>
    <row r="2136">
      <c r="A2136" s="28">
        <v>45644.0</v>
      </c>
      <c r="B2136" s="29">
        <f t="shared" si="1"/>
        <v>51</v>
      </c>
      <c r="C2136" s="2" t="s">
        <v>80</v>
      </c>
      <c r="D2136" s="2">
        <v>848.0</v>
      </c>
    </row>
    <row r="2137">
      <c r="A2137" s="28">
        <v>45644.0</v>
      </c>
      <c r="B2137" s="29">
        <f t="shared" si="1"/>
        <v>51</v>
      </c>
      <c r="C2137" s="2" t="s">
        <v>81</v>
      </c>
    </row>
    <row r="2138">
      <c r="A2138" s="28">
        <v>45644.0</v>
      </c>
      <c r="B2138" s="29">
        <f t="shared" si="1"/>
        <v>51</v>
      </c>
      <c r="C2138" s="2" t="s">
        <v>82</v>
      </c>
    </row>
    <row r="2139">
      <c r="A2139" s="28">
        <v>45644.0</v>
      </c>
      <c r="B2139" s="29">
        <f t="shared" si="1"/>
        <v>51</v>
      </c>
      <c r="C2139" s="2" t="s">
        <v>83</v>
      </c>
      <c r="D2139" s="2">
        <v>1342.0</v>
      </c>
    </row>
    <row r="2140">
      <c r="A2140" s="28">
        <v>45644.0</v>
      </c>
      <c r="B2140" s="29">
        <f t="shared" si="1"/>
        <v>51</v>
      </c>
      <c r="C2140" s="2" t="s">
        <v>84</v>
      </c>
      <c r="D2140" s="2">
        <v>1706.0</v>
      </c>
    </row>
    <row r="2141">
      <c r="A2141" s="28">
        <v>45644.0</v>
      </c>
      <c r="B2141" s="29">
        <f t="shared" si="1"/>
        <v>51</v>
      </c>
      <c r="C2141" s="2" t="s">
        <v>85</v>
      </c>
      <c r="D2141" s="2">
        <v>0.0</v>
      </c>
    </row>
    <row r="2142">
      <c r="A2142" s="28">
        <v>45644.0</v>
      </c>
      <c r="B2142" s="29">
        <f t="shared" si="1"/>
        <v>51</v>
      </c>
      <c r="C2142" s="2" t="s">
        <v>86</v>
      </c>
      <c r="D2142" s="2" t="s">
        <v>104</v>
      </c>
    </row>
    <row r="2143">
      <c r="A2143" s="28">
        <v>45644.0</v>
      </c>
      <c r="B2143" s="29">
        <f t="shared" si="1"/>
        <v>51</v>
      </c>
      <c r="C2143" s="2" t="s">
        <v>87</v>
      </c>
    </row>
    <row r="2144">
      <c r="A2144" s="28">
        <v>45644.0</v>
      </c>
      <c r="B2144" s="29">
        <f t="shared" si="1"/>
        <v>51</v>
      </c>
      <c r="C2144" s="2" t="s">
        <v>88</v>
      </c>
      <c r="D2144" s="2">
        <v>485.0</v>
      </c>
    </row>
    <row r="2145">
      <c r="A2145" s="28">
        <v>45644.0</v>
      </c>
      <c r="B2145" s="29">
        <f t="shared" si="1"/>
        <v>51</v>
      </c>
      <c r="C2145" s="2" t="s">
        <v>89</v>
      </c>
      <c r="D2145" s="2">
        <v>922.0</v>
      </c>
    </row>
    <row r="2146">
      <c r="A2146" s="28">
        <v>45644.0</v>
      </c>
      <c r="B2146" s="29">
        <f t="shared" si="1"/>
        <v>51</v>
      </c>
      <c r="C2146" s="2" t="s">
        <v>90</v>
      </c>
      <c r="D2146" s="2">
        <v>0.0</v>
      </c>
    </row>
    <row r="2147">
      <c r="A2147" s="28">
        <v>45644.0</v>
      </c>
      <c r="B2147" s="29">
        <f t="shared" si="1"/>
        <v>51</v>
      </c>
      <c r="C2147" s="2" t="s">
        <v>91</v>
      </c>
    </row>
    <row r="2148">
      <c r="A2148" s="28">
        <v>45644.0</v>
      </c>
      <c r="B2148" s="29">
        <f t="shared" si="1"/>
        <v>51</v>
      </c>
      <c r="C2148" s="2" t="s">
        <v>92</v>
      </c>
    </row>
    <row r="2149">
      <c r="A2149" s="28">
        <v>45644.0</v>
      </c>
      <c r="B2149" s="29">
        <f t="shared" si="1"/>
        <v>51</v>
      </c>
      <c r="C2149" s="2" t="s">
        <v>93</v>
      </c>
    </row>
    <row r="2150">
      <c r="A2150" s="28">
        <v>45644.0</v>
      </c>
      <c r="B2150" s="29">
        <f t="shared" si="1"/>
        <v>51</v>
      </c>
      <c r="C2150" s="2" t="s">
        <v>94</v>
      </c>
    </row>
    <row r="2151">
      <c r="A2151" s="28">
        <v>45644.0</v>
      </c>
      <c r="B2151" s="29">
        <f t="shared" si="1"/>
        <v>51</v>
      </c>
      <c r="C2151" s="2" t="s">
        <v>95</v>
      </c>
    </row>
    <row r="2152">
      <c r="A2152" s="28">
        <v>45644.0</v>
      </c>
      <c r="B2152" s="29">
        <f t="shared" si="1"/>
        <v>51</v>
      </c>
      <c r="C2152" s="2" t="s">
        <v>96</v>
      </c>
      <c r="D2152" s="2">
        <v>426.0</v>
      </c>
    </row>
    <row r="2153">
      <c r="A2153" s="28">
        <v>45644.0</v>
      </c>
      <c r="B2153" s="29">
        <f t="shared" si="1"/>
        <v>51</v>
      </c>
      <c r="C2153" s="2" t="s">
        <v>97</v>
      </c>
      <c r="D2153" s="2">
        <v>5100.0</v>
      </c>
    </row>
    <row r="2154">
      <c r="A2154" s="28">
        <v>45644.0</v>
      </c>
      <c r="B2154" s="29">
        <f t="shared" si="1"/>
        <v>51</v>
      </c>
      <c r="C2154" s="2" t="s">
        <v>98</v>
      </c>
    </row>
    <row r="2155">
      <c r="A2155" s="28">
        <v>45644.0</v>
      </c>
      <c r="B2155" s="29">
        <f t="shared" si="1"/>
        <v>51</v>
      </c>
      <c r="C2155" s="2" t="s">
        <v>99</v>
      </c>
    </row>
    <row r="2156">
      <c r="A2156" s="28">
        <v>45644.0</v>
      </c>
      <c r="B2156" s="29">
        <f t="shared" si="1"/>
        <v>51</v>
      </c>
      <c r="C2156" s="2" t="s">
        <v>100</v>
      </c>
    </row>
    <row r="2157">
      <c r="A2157" s="28">
        <v>45652.0</v>
      </c>
      <c r="B2157" s="29">
        <f t="shared" si="1"/>
        <v>52</v>
      </c>
      <c r="C2157" s="2" t="s">
        <v>101</v>
      </c>
      <c r="D2157" s="2">
        <v>2504.0</v>
      </c>
    </row>
    <row r="2158">
      <c r="A2158" s="28">
        <v>45652.0</v>
      </c>
      <c r="B2158" s="29">
        <f t="shared" si="1"/>
        <v>52</v>
      </c>
      <c r="C2158" s="2" t="s">
        <v>80</v>
      </c>
    </row>
    <row r="2159">
      <c r="A2159" s="28">
        <v>45652.0</v>
      </c>
      <c r="B2159" s="29">
        <f t="shared" si="1"/>
        <v>52</v>
      </c>
      <c r="C2159" s="2" t="s">
        <v>81</v>
      </c>
    </row>
    <row r="2160">
      <c r="A2160" s="28">
        <v>45652.0</v>
      </c>
      <c r="B2160" s="29">
        <f t="shared" si="1"/>
        <v>52</v>
      </c>
      <c r="C2160" s="2" t="s">
        <v>82</v>
      </c>
    </row>
    <row r="2161">
      <c r="A2161" s="28">
        <v>45652.0</v>
      </c>
      <c r="B2161" s="29">
        <f t="shared" si="1"/>
        <v>52</v>
      </c>
      <c r="C2161" s="2" t="s">
        <v>83</v>
      </c>
      <c r="D2161" s="2">
        <v>504.0</v>
      </c>
    </row>
    <row r="2162">
      <c r="A2162" s="28">
        <v>45652.0</v>
      </c>
      <c r="B2162" s="29">
        <f t="shared" si="1"/>
        <v>52</v>
      </c>
      <c r="C2162" s="2" t="s">
        <v>84</v>
      </c>
    </row>
    <row r="2163">
      <c r="A2163" s="28">
        <v>45652.0</v>
      </c>
      <c r="B2163" s="29">
        <f t="shared" si="1"/>
        <v>52</v>
      </c>
      <c r="C2163" s="2" t="s">
        <v>85</v>
      </c>
      <c r="D2163" s="2">
        <v>0.0</v>
      </c>
    </row>
    <row r="2164">
      <c r="A2164" s="28">
        <v>45652.0</v>
      </c>
      <c r="B2164" s="29">
        <f t="shared" si="1"/>
        <v>52</v>
      </c>
      <c r="C2164" s="2" t="s">
        <v>86</v>
      </c>
      <c r="D2164" s="2" t="s">
        <v>104</v>
      </c>
    </row>
    <row r="2165">
      <c r="A2165" s="28">
        <v>45652.0</v>
      </c>
      <c r="B2165" s="29">
        <f t="shared" si="1"/>
        <v>52</v>
      </c>
      <c r="C2165" s="2" t="s">
        <v>87</v>
      </c>
    </row>
    <row r="2166">
      <c r="A2166" s="28">
        <v>45652.0</v>
      </c>
      <c r="B2166" s="29">
        <f t="shared" si="1"/>
        <v>52</v>
      </c>
      <c r="C2166" s="2" t="s">
        <v>88</v>
      </c>
    </row>
    <row r="2167">
      <c r="A2167" s="28">
        <v>45652.0</v>
      </c>
      <c r="B2167" s="29">
        <f t="shared" si="1"/>
        <v>52</v>
      </c>
      <c r="C2167" s="2" t="s">
        <v>89</v>
      </c>
    </row>
    <row r="2168">
      <c r="A2168" s="28">
        <v>45652.0</v>
      </c>
      <c r="B2168" s="29">
        <f t="shared" si="1"/>
        <v>52</v>
      </c>
      <c r="C2168" s="2" t="s">
        <v>90</v>
      </c>
      <c r="D2168" s="2">
        <v>0.0</v>
      </c>
    </row>
    <row r="2169">
      <c r="A2169" s="28">
        <v>45652.0</v>
      </c>
      <c r="B2169" s="29">
        <f t="shared" si="1"/>
        <v>52</v>
      </c>
      <c r="C2169" s="2" t="s">
        <v>91</v>
      </c>
    </row>
    <row r="2170">
      <c r="A2170" s="28">
        <v>45652.0</v>
      </c>
      <c r="B2170" s="29">
        <f t="shared" si="1"/>
        <v>52</v>
      </c>
      <c r="C2170" s="2" t="s">
        <v>92</v>
      </c>
    </row>
    <row r="2171">
      <c r="A2171" s="28">
        <v>45652.0</v>
      </c>
      <c r="B2171" s="29">
        <f t="shared" si="1"/>
        <v>52</v>
      </c>
      <c r="C2171" s="2" t="s">
        <v>93</v>
      </c>
    </row>
    <row r="2172">
      <c r="A2172" s="28">
        <v>45652.0</v>
      </c>
      <c r="B2172" s="29">
        <f t="shared" si="1"/>
        <v>52</v>
      </c>
      <c r="C2172" s="2" t="s">
        <v>94</v>
      </c>
    </row>
    <row r="2173">
      <c r="A2173" s="28">
        <v>45652.0</v>
      </c>
      <c r="B2173" s="29">
        <f t="shared" si="1"/>
        <v>52</v>
      </c>
      <c r="C2173" s="2" t="s">
        <v>95</v>
      </c>
    </row>
    <row r="2174">
      <c r="A2174" s="28">
        <v>45652.0</v>
      </c>
      <c r="B2174" s="29">
        <f t="shared" si="1"/>
        <v>52</v>
      </c>
      <c r="C2174" s="2" t="s">
        <v>96</v>
      </c>
    </row>
    <row r="2175">
      <c r="A2175" s="28">
        <v>45652.0</v>
      </c>
      <c r="B2175" s="29">
        <f t="shared" si="1"/>
        <v>52</v>
      </c>
      <c r="C2175" s="2" t="s">
        <v>97</v>
      </c>
      <c r="D2175" s="2">
        <v>2000.0</v>
      </c>
    </row>
    <row r="2176">
      <c r="A2176" s="28">
        <v>45652.0</v>
      </c>
      <c r="B2176" s="29">
        <f t="shared" si="1"/>
        <v>52</v>
      </c>
      <c r="C2176" s="2" t="s">
        <v>98</v>
      </c>
    </row>
    <row r="2177">
      <c r="A2177" s="28">
        <v>45652.0</v>
      </c>
      <c r="B2177" s="29">
        <f t="shared" si="1"/>
        <v>52</v>
      </c>
      <c r="C2177" s="2" t="s">
        <v>99</v>
      </c>
    </row>
    <row r="2178">
      <c r="A2178" s="28">
        <v>45652.0</v>
      </c>
      <c r="B2178" s="29">
        <f t="shared" si="1"/>
        <v>52</v>
      </c>
      <c r="C2178" s="2" t="s">
        <v>100</v>
      </c>
      <c r="D2178" s="2" t="s">
        <v>107</v>
      </c>
    </row>
    <row r="2179">
      <c r="A2179" s="28">
        <v>45658.0</v>
      </c>
      <c r="B2179" s="29">
        <f t="shared" si="1"/>
        <v>1</v>
      </c>
      <c r="C2179" s="2" t="s">
        <v>101</v>
      </c>
      <c r="D2179" s="2">
        <v>748.0</v>
      </c>
    </row>
    <row r="2180">
      <c r="A2180" s="28">
        <v>45658.0</v>
      </c>
      <c r="B2180" s="29">
        <f t="shared" si="1"/>
        <v>1</v>
      </c>
      <c r="C2180" s="2" t="s">
        <v>80</v>
      </c>
    </row>
    <row r="2181">
      <c r="A2181" s="28">
        <v>45658.0</v>
      </c>
      <c r="B2181" s="29">
        <f t="shared" si="1"/>
        <v>1</v>
      </c>
      <c r="C2181" s="2" t="s">
        <v>81</v>
      </c>
    </row>
    <row r="2182">
      <c r="A2182" s="28">
        <v>45658.0</v>
      </c>
      <c r="B2182" s="29">
        <f t="shared" si="1"/>
        <v>1</v>
      </c>
      <c r="C2182" s="2" t="s">
        <v>82</v>
      </c>
    </row>
    <row r="2183">
      <c r="A2183" s="28">
        <v>45658.0</v>
      </c>
      <c r="B2183" s="29">
        <f t="shared" si="1"/>
        <v>1</v>
      </c>
      <c r="C2183" s="2" t="s">
        <v>83</v>
      </c>
      <c r="D2183" s="2">
        <v>563.0</v>
      </c>
    </row>
    <row r="2184">
      <c r="A2184" s="28">
        <v>45658.0</v>
      </c>
      <c r="B2184" s="29">
        <f t="shared" si="1"/>
        <v>1</v>
      </c>
      <c r="C2184" s="2" t="s">
        <v>84</v>
      </c>
      <c r="D2184" s="2">
        <v>185.0</v>
      </c>
    </row>
    <row r="2185">
      <c r="A2185" s="28">
        <v>45658.0</v>
      </c>
      <c r="B2185" s="29">
        <f t="shared" si="1"/>
        <v>1</v>
      </c>
      <c r="C2185" s="2" t="s">
        <v>85</v>
      </c>
      <c r="D2185" s="2">
        <v>0.0</v>
      </c>
    </row>
    <row r="2186">
      <c r="A2186" s="28">
        <v>45658.0</v>
      </c>
      <c r="B2186" s="29">
        <f t="shared" si="1"/>
        <v>1</v>
      </c>
      <c r="C2186" s="2" t="s">
        <v>86</v>
      </c>
      <c r="D2186" s="2" t="s">
        <v>104</v>
      </c>
    </row>
    <row r="2187">
      <c r="A2187" s="28">
        <v>45658.0</v>
      </c>
      <c r="B2187" s="29">
        <f t="shared" si="1"/>
        <v>1</v>
      </c>
      <c r="C2187" s="2" t="s">
        <v>87</v>
      </c>
    </row>
    <row r="2188">
      <c r="A2188" s="28">
        <v>45658.0</v>
      </c>
      <c r="B2188" s="29">
        <f t="shared" si="1"/>
        <v>1</v>
      </c>
      <c r="C2188" s="2" t="s">
        <v>88</v>
      </c>
    </row>
    <row r="2189">
      <c r="A2189" s="28">
        <v>45658.0</v>
      </c>
      <c r="B2189" s="29">
        <f t="shared" si="1"/>
        <v>1</v>
      </c>
      <c r="C2189" s="2" t="s">
        <v>89</v>
      </c>
    </row>
    <row r="2190">
      <c r="A2190" s="28">
        <v>45658.0</v>
      </c>
      <c r="B2190" s="29">
        <f t="shared" si="1"/>
        <v>1</v>
      </c>
      <c r="C2190" s="2" t="s">
        <v>90</v>
      </c>
      <c r="D2190" s="2">
        <v>0.0</v>
      </c>
    </row>
    <row r="2191">
      <c r="A2191" s="28">
        <v>45658.0</v>
      </c>
      <c r="B2191" s="29">
        <f t="shared" si="1"/>
        <v>1</v>
      </c>
      <c r="C2191" s="2" t="s">
        <v>91</v>
      </c>
    </row>
    <row r="2192">
      <c r="A2192" s="28">
        <v>45658.0</v>
      </c>
      <c r="B2192" s="29">
        <f t="shared" si="1"/>
        <v>1</v>
      </c>
      <c r="C2192" s="2" t="s">
        <v>92</v>
      </c>
    </row>
    <row r="2193">
      <c r="A2193" s="28">
        <v>45658.0</v>
      </c>
      <c r="B2193" s="29">
        <f t="shared" si="1"/>
        <v>1</v>
      </c>
      <c r="C2193" s="2" t="s">
        <v>93</v>
      </c>
    </row>
    <row r="2194">
      <c r="A2194" s="28">
        <v>45658.0</v>
      </c>
      <c r="B2194" s="29">
        <f t="shared" si="1"/>
        <v>1</v>
      </c>
      <c r="C2194" s="2" t="s">
        <v>94</v>
      </c>
    </row>
    <row r="2195">
      <c r="A2195" s="28">
        <v>45658.0</v>
      </c>
      <c r="B2195" s="29">
        <f t="shared" si="1"/>
        <v>1</v>
      </c>
      <c r="C2195" s="2" t="s">
        <v>95</v>
      </c>
    </row>
    <row r="2196">
      <c r="A2196" s="28">
        <v>45658.0</v>
      </c>
      <c r="B2196" s="29">
        <f t="shared" si="1"/>
        <v>1</v>
      </c>
      <c r="C2196" s="2" t="s">
        <v>96</v>
      </c>
    </row>
    <row r="2197">
      <c r="A2197" s="28">
        <v>45658.0</v>
      </c>
      <c r="B2197" s="29">
        <f t="shared" si="1"/>
        <v>1</v>
      </c>
      <c r="C2197" s="2" t="s">
        <v>97</v>
      </c>
    </row>
    <row r="2198">
      <c r="A2198" s="28">
        <v>45658.0</v>
      </c>
      <c r="B2198" s="29">
        <f t="shared" si="1"/>
        <v>1</v>
      </c>
      <c r="C2198" s="2" t="s">
        <v>98</v>
      </c>
    </row>
    <row r="2199">
      <c r="A2199" s="28">
        <v>45658.0</v>
      </c>
      <c r="B2199" s="29">
        <f t="shared" si="1"/>
        <v>1</v>
      </c>
      <c r="C2199" s="2" t="s">
        <v>99</v>
      </c>
    </row>
    <row r="2200">
      <c r="A2200" s="28">
        <v>45658.0</v>
      </c>
      <c r="B2200" s="29">
        <f t="shared" si="1"/>
        <v>1</v>
      </c>
      <c r="C2200" s="2" t="s">
        <v>100</v>
      </c>
      <c r="D2200" s="2" t="s">
        <v>107</v>
      </c>
    </row>
    <row r="2201">
      <c r="A2201" s="28">
        <v>45665.0</v>
      </c>
      <c r="B2201" s="29">
        <f t="shared" si="1"/>
        <v>2</v>
      </c>
      <c r="C2201" s="2" t="s">
        <v>101</v>
      </c>
      <c r="D2201" s="2">
        <v>7774.0</v>
      </c>
    </row>
    <row r="2202">
      <c r="A2202" s="28">
        <v>45665.0</v>
      </c>
      <c r="B2202" s="29">
        <f t="shared" si="1"/>
        <v>2</v>
      </c>
      <c r="C2202" s="2" t="s">
        <v>80</v>
      </c>
      <c r="D2202" s="2">
        <v>1571.0</v>
      </c>
    </row>
    <row r="2203">
      <c r="A2203" s="28">
        <v>45665.0</v>
      </c>
      <c r="B2203" s="29">
        <f t="shared" si="1"/>
        <v>2</v>
      </c>
      <c r="C2203" s="2" t="s">
        <v>81</v>
      </c>
    </row>
    <row r="2204">
      <c r="A2204" s="28">
        <v>45665.0</v>
      </c>
      <c r="B2204" s="29">
        <f t="shared" si="1"/>
        <v>2</v>
      </c>
      <c r="C2204" s="2" t="s">
        <v>82</v>
      </c>
    </row>
    <row r="2205">
      <c r="A2205" s="28">
        <v>45665.0</v>
      </c>
      <c r="B2205" s="29">
        <f t="shared" si="1"/>
        <v>2</v>
      </c>
      <c r="C2205" s="2" t="s">
        <v>83</v>
      </c>
      <c r="D2205" s="2">
        <v>2397.0</v>
      </c>
    </row>
    <row r="2206">
      <c r="A2206" s="28">
        <v>45665.0</v>
      </c>
      <c r="B2206" s="29">
        <f t="shared" si="1"/>
        <v>2</v>
      </c>
      <c r="C2206" s="2" t="s">
        <v>84</v>
      </c>
      <c r="D2206" s="2">
        <v>1115.0</v>
      </c>
    </row>
    <row r="2207">
      <c r="A2207" s="28">
        <v>45665.0</v>
      </c>
      <c r="B2207" s="29">
        <f t="shared" si="1"/>
        <v>2</v>
      </c>
      <c r="C2207" s="2" t="s">
        <v>85</v>
      </c>
      <c r="D2207" s="2">
        <v>0.0</v>
      </c>
    </row>
    <row r="2208">
      <c r="A2208" s="28">
        <v>45665.0</v>
      </c>
      <c r="B2208" s="29">
        <f t="shared" si="1"/>
        <v>2</v>
      </c>
      <c r="C2208" s="2" t="s">
        <v>86</v>
      </c>
      <c r="D2208" s="2" t="s">
        <v>104</v>
      </c>
    </row>
    <row r="2209">
      <c r="A2209" s="28">
        <v>45665.0</v>
      </c>
      <c r="B2209" s="29">
        <f t="shared" si="1"/>
        <v>2</v>
      </c>
      <c r="C2209" s="2" t="s">
        <v>87</v>
      </c>
    </row>
    <row r="2210">
      <c r="A2210" s="28">
        <v>45665.0</v>
      </c>
      <c r="B2210" s="29">
        <f t="shared" si="1"/>
        <v>2</v>
      </c>
      <c r="C2210" s="2" t="s">
        <v>88</v>
      </c>
      <c r="D2210" s="2">
        <v>301.0</v>
      </c>
    </row>
    <row r="2211">
      <c r="A2211" s="28">
        <v>45665.0</v>
      </c>
      <c r="B2211" s="29">
        <f t="shared" si="1"/>
        <v>2</v>
      </c>
      <c r="C2211" s="2" t="s">
        <v>89</v>
      </c>
      <c r="D2211" s="2">
        <v>1064.0</v>
      </c>
    </row>
    <row r="2212">
      <c r="A2212" s="28">
        <v>45665.0</v>
      </c>
      <c r="B2212" s="29">
        <f t="shared" si="1"/>
        <v>2</v>
      </c>
      <c r="C2212" s="2" t="s">
        <v>90</v>
      </c>
      <c r="D2212" s="2">
        <v>0.0</v>
      </c>
    </row>
    <row r="2213">
      <c r="A2213" s="28">
        <v>45665.0</v>
      </c>
      <c r="B2213" s="29">
        <f t="shared" si="1"/>
        <v>2</v>
      </c>
      <c r="C2213" s="2" t="s">
        <v>91</v>
      </c>
    </row>
    <row r="2214">
      <c r="A2214" s="28">
        <v>45665.0</v>
      </c>
      <c r="B2214" s="29">
        <f t="shared" si="1"/>
        <v>2</v>
      </c>
      <c r="C2214" s="2" t="s">
        <v>92</v>
      </c>
    </row>
    <row r="2215">
      <c r="A2215" s="28">
        <v>45665.0</v>
      </c>
      <c r="B2215" s="29">
        <f t="shared" si="1"/>
        <v>2</v>
      </c>
      <c r="C2215" s="2" t="s">
        <v>93</v>
      </c>
    </row>
    <row r="2216">
      <c r="A2216" s="28">
        <v>45665.0</v>
      </c>
      <c r="B2216" s="29">
        <f t="shared" si="1"/>
        <v>2</v>
      </c>
      <c r="C2216" s="2" t="s">
        <v>94</v>
      </c>
    </row>
    <row r="2217">
      <c r="A2217" s="28">
        <v>45665.0</v>
      </c>
      <c r="B2217" s="29">
        <f t="shared" si="1"/>
        <v>2</v>
      </c>
      <c r="C2217" s="2" t="s">
        <v>95</v>
      </c>
    </row>
    <row r="2218">
      <c r="A2218" s="28">
        <v>45665.0</v>
      </c>
      <c r="B2218" s="29">
        <f t="shared" si="1"/>
        <v>2</v>
      </c>
      <c r="C2218" s="2" t="s">
        <v>96</v>
      </c>
      <c r="D2218" s="2">
        <v>426.0</v>
      </c>
    </row>
    <row r="2219">
      <c r="A2219" s="28">
        <v>45665.0</v>
      </c>
      <c r="B2219" s="29">
        <f t="shared" si="1"/>
        <v>2</v>
      </c>
      <c r="C2219" s="2" t="s">
        <v>97</v>
      </c>
      <c r="D2219" s="2">
        <v>900.0</v>
      </c>
    </row>
    <row r="2220">
      <c r="A2220" s="28">
        <v>45665.0</v>
      </c>
      <c r="B2220" s="29">
        <f t="shared" si="1"/>
        <v>2</v>
      </c>
      <c r="C2220" s="2" t="s">
        <v>98</v>
      </c>
    </row>
    <row r="2221">
      <c r="A2221" s="28">
        <v>45665.0</v>
      </c>
      <c r="B2221" s="29">
        <f t="shared" si="1"/>
        <v>2</v>
      </c>
      <c r="C2221" s="2" t="s">
        <v>99</v>
      </c>
    </row>
    <row r="2222">
      <c r="A2222" s="28">
        <v>45665.0</v>
      </c>
      <c r="B2222" s="29">
        <f t="shared" si="1"/>
        <v>2</v>
      </c>
      <c r="C2222" s="2" t="s">
        <v>100</v>
      </c>
    </row>
    <row r="2223">
      <c r="A2223" s="28">
        <v>45672.0</v>
      </c>
      <c r="B2223" s="29">
        <f t="shared" si="1"/>
        <v>3</v>
      </c>
      <c r="C2223" s="2" t="s">
        <v>101</v>
      </c>
      <c r="D2223" s="2">
        <v>8691.0</v>
      </c>
    </row>
    <row r="2224">
      <c r="A2224" s="28">
        <v>45672.0</v>
      </c>
      <c r="B2224" s="29">
        <f t="shared" si="1"/>
        <v>3</v>
      </c>
      <c r="C2224" s="2" t="s">
        <v>80</v>
      </c>
      <c r="D2224" s="2">
        <v>1180.0</v>
      </c>
    </row>
    <row r="2225">
      <c r="A2225" s="28">
        <v>45672.0</v>
      </c>
      <c r="B2225" s="29">
        <f t="shared" si="1"/>
        <v>3</v>
      </c>
      <c r="C2225" s="2" t="s">
        <v>81</v>
      </c>
    </row>
    <row r="2226">
      <c r="A2226" s="28">
        <v>45672.0</v>
      </c>
      <c r="B2226" s="29">
        <f t="shared" si="1"/>
        <v>3</v>
      </c>
      <c r="C2226" s="2" t="s">
        <v>82</v>
      </c>
    </row>
    <row r="2227">
      <c r="A2227" s="28">
        <v>45672.0</v>
      </c>
      <c r="B2227" s="29">
        <f t="shared" si="1"/>
        <v>3</v>
      </c>
      <c r="C2227" s="2" t="s">
        <v>83</v>
      </c>
      <c r="D2227" s="2">
        <v>2384.0</v>
      </c>
    </row>
    <row r="2228">
      <c r="A2228" s="28">
        <v>45672.0</v>
      </c>
      <c r="B2228" s="29">
        <f t="shared" si="1"/>
        <v>3</v>
      </c>
      <c r="C2228" s="2" t="s">
        <v>84</v>
      </c>
      <c r="D2228" s="2">
        <v>1776.0</v>
      </c>
    </row>
    <row r="2229">
      <c r="A2229" s="28">
        <v>45672.0</v>
      </c>
      <c r="B2229" s="29">
        <f t="shared" si="1"/>
        <v>3</v>
      </c>
      <c r="C2229" s="2" t="s">
        <v>85</v>
      </c>
      <c r="D2229" s="2">
        <v>0.0</v>
      </c>
    </row>
    <row r="2230">
      <c r="A2230" s="28">
        <v>45672.0</v>
      </c>
      <c r="B2230" s="29">
        <f t="shared" si="1"/>
        <v>3</v>
      </c>
      <c r="C2230" s="2" t="s">
        <v>86</v>
      </c>
      <c r="D2230" s="2" t="s">
        <v>104</v>
      </c>
    </row>
    <row r="2231">
      <c r="A2231" s="28">
        <v>45672.0</v>
      </c>
      <c r="B2231" s="29">
        <f t="shared" si="1"/>
        <v>3</v>
      </c>
      <c r="C2231" s="2" t="s">
        <v>87</v>
      </c>
    </row>
    <row r="2232">
      <c r="A2232" s="28">
        <v>45672.0</v>
      </c>
      <c r="B2232" s="29">
        <f t="shared" si="1"/>
        <v>3</v>
      </c>
      <c r="C2232" s="2" t="s">
        <v>88</v>
      </c>
      <c r="D2232" s="2">
        <v>664.0</v>
      </c>
    </row>
    <row r="2233">
      <c r="A2233" s="28">
        <v>45672.0</v>
      </c>
      <c r="B2233" s="29">
        <f t="shared" si="1"/>
        <v>3</v>
      </c>
      <c r="C2233" s="2" t="s">
        <v>89</v>
      </c>
      <c r="D2233" s="2">
        <v>727.0</v>
      </c>
    </row>
    <row r="2234">
      <c r="A2234" s="28">
        <v>45672.0</v>
      </c>
      <c r="B2234" s="29">
        <f t="shared" si="1"/>
        <v>3</v>
      </c>
      <c r="C2234" s="2" t="s">
        <v>90</v>
      </c>
      <c r="D2234" s="2">
        <v>0.0</v>
      </c>
    </row>
    <row r="2235">
      <c r="A2235" s="28">
        <v>45672.0</v>
      </c>
      <c r="B2235" s="29">
        <f t="shared" si="1"/>
        <v>3</v>
      </c>
      <c r="C2235" s="2" t="s">
        <v>91</v>
      </c>
    </row>
    <row r="2236">
      <c r="A2236" s="28">
        <v>45672.0</v>
      </c>
      <c r="B2236" s="29">
        <f t="shared" si="1"/>
        <v>3</v>
      </c>
      <c r="C2236" s="2" t="s">
        <v>92</v>
      </c>
    </row>
    <row r="2237">
      <c r="A2237" s="28">
        <v>45672.0</v>
      </c>
      <c r="B2237" s="29">
        <f t="shared" si="1"/>
        <v>3</v>
      </c>
      <c r="C2237" s="2" t="s">
        <v>93</v>
      </c>
    </row>
    <row r="2238">
      <c r="A2238" s="28">
        <v>45672.0</v>
      </c>
      <c r="B2238" s="29">
        <f t="shared" si="1"/>
        <v>3</v>
      </c>
      <c r="C2238" s="2" t="s">
        <v>94</v>
      </c>
    </row>
    <row r="2239">
      <c r="A2239" s="28">
        <v>45672.0</v>
      </c>
      <c r="B2239" s="29">
        <f t="shared" si="1"/>
        <v>3</v>
      </c>
      <c r="C2239" s="2" t="s">
        <v>95</v>
      </c>
    </row>
    <row r="2240">
      <c r="A2240" s="28">
        <v>45672.0</v>
      </c>
      <c r="B2240" s="29">
        <f t="shared" si="1"/>
        <v>3</v>
      </c>
      <c r="C2240" s="2" t="s">
        <v>96</v>
      </c>
      <c r="D2240" s="2">
        <v>230.0</v>
      </c>
    </row>
    <row r="2241">
      <c r="A2241" s="28">
        <v>45672.0</v>
      </c>
      <c r="B2241" s="29">
        <f t="shared" si="1"/>
        <v>3</v>
      </c>
      <c r="C2241" s="2" t="s">
        <v>97</v>
      </c>
      <c r="D2241" s="2">
        <v>1730.0</v>
      </c>
    </row>
    <row r="2242">
      <c r="A2242" s="28">
        <v>45672.0</v>
      </c>
      <c r="B2242" s="29">
        <f t="shared" si="1"/>
        <v>3</v>
      </c>
      <c r="C2242" s="2" t="s">
        <v>98</v>
      </c>
    </row>
    <row r="2243">
      <c r="A2243" s="28">
        <v>45672.0</v>
      </c>
      <c r="B2243" s="29">
        <f t="shared" si="1"/>
        <v>3</v>
      </c>
      <c r="C2243" s="2" t="s">
        <v>99</v>
      </c>
    </row>
    <row r="2244">
      <c r="A2244" s="28">
        <v>45672.0</v>
      </c>
      <c r="B2244" s="29">
        <f t="shared" si="1"/>
        <v>3</v>
      </c>
      <c r="C2244" s="2" t="s">
        <v>100</v>
      </c>
    </row>
    <row r="2245">
      <c r="A2245" s="28">
        <v>45677.0</v>
      </c>
      <c r="B2245" s="29">
        <f t="shared" si="1"/>
        <v>4</v>
      </c>
      <c r="C2245" s="2" t="s">
        <v>101</v>
      </c>
      <c r="D2245" s="2">
        <v>4076.0</v>
      </c>
    </row>
    <row r="2246">
      <c r="A2246" s="28">
        <v>45677.0</v>
      </c>
      <c r="B2246" s="29">
        <f t="shared" si="1"/>
        <v>4</v>
      </c>
      <c r="C2246" s="2" t="s">
        <v>80</v>
      </c>
      <c r="D2246" s="2">
        <v>436.0</v>
      </c>
    </row>
    <row r="2247">
      <c r="A2247" s="28">
        <v>45677.0</v>
      </c>
      <c r="B2247" s="29">
        <f t="shared" si="1"/>
        <v>4</v>
      </c>
      <c r="C2247" s="2" t="s">
        <v>81</v>
      </c>
    </row>
    <row r="2248">
      <c r="A2248" s="28">
        <v>45677.0</v>
      </c>
      <c r="B2248" s="29">
        <f t="shared" si="1"/>
        <v>4</v>
      </c>
      <c r="C2248" s="2" t="s">
        <v>82</v>
      </c>
    </row>
    <row r="2249">
      <c r="A2249" s="28">
        <v>45677.0</v>
      </c>
      <c r="B2249" s="29">
        <f t="shared" si="1"/>
        <v>4</v>
      </c>
      <c r="C2249" s="2" t="s">
        <v>83</v>
      </c>
      <c r="D2249" s="2">
        <v>792.0</v>
      </c>
    </row>
    <row r="2250">
      <c r="A2250" s="28">
        <v>45677.0</v>
      </c>
      <c r="B2250" s="29">
        <f t="shared" si="1"/>
        <v>4</v>
      </c>
      <c r="C2250" s="2" t="s">
        <v>84</v>
      </c>
      <c r="D2250" s="2">
        <v>400.0</v>
      </c>
    </row>
    <row r="2251">
      <c r="A2251" s="28">
        <v>45677.0</v>
      </c>
      <c r="B2251" s="29">
        <f t="shared" si="1"/>
        <v>4</v>
      </c>
      <c r="C2251" s="2" t="s">
        <v>85</v>
      </c>
      <c r="D2251" s="2">
        <v>0.0</v>
      </c>
    </row>
    <row r="2252">
      <c r="A2252" s="28">
        <v>45677.0</v>
      </c>
      <c r="B2252" s="29">
        <f t="shared" si="1"/>
        <v>4</v>
      </c>
      <c r="C2252" s="2" t="s">
        <v>86</v>
      </c>
      <c r="D2252" s="2" t="s">
        <v>104</v>
      </c>
    </row>
    <row r="2253">
      <c r="A2253" s="28">
        <v>45677.0</v>
      </c>
      <c r="B2253" s="29">
        <f t="shared" si="1"/>
        <v>4</v>
      </c>
      <c r="C2253" s="2" t="s">
        <v>87</v>
      </c>
    </row>
    <row r="2254">
      <c r="A2254" s="28">
        <v>45677.0</v>
      </c>
      <c r="B2254" s="29">
        <f t="shared" si="1"/>
        <v>4</v>
      </c>
      <c r="C2254" s="2" t="s">
        <v>88</v>
      </c>
      <c r="D2254" s="2">
        <v>328.0</v>
      </c>
    </row>
    <row r="2255">
      <c r="A2255" s="28">
        <v>45677.0</v>
      </c>
      <c r="B2255" s="29">
        <f t="shared" si="1"/>
        <v>4</v>
      </c>
      <c r="C2255" s="2" t="s">
        <v>89</v>
      </c>
      <c r="D2255" s="2">
        <v>2120.0</v>
      </c>
    </row>
    <row r="2256">
      <c r="A2256" s="28">
        <v>45677.0</v>
      </c>
      <c r="B2256" s="29">
        <f t="shared" si="1"/>
        <v>4</v>
      </c>
      <c r="C2256" s="2" t="s">
        <v>90</v>
      </c>
      <c r="D2256" s="2">
        <v>0.0</v>
      </c>
    </row>
    <row r="2257">
      <c r="A2257" s="28">
        <v>45677.0</v>
      </c>
      <c r="B2257" s="29">
        <f t="shared" si="1"/>
        <v>4</v>
      </c>
      <c r="C2257" s="2" t="s">
        <v>91</v>
      </c>
    </row>
    <row r="2258">
      <c r="A2258" s="28">
        <v>45677.0</v>
      </c>
      <c r="B2258" s="29">
        <f t="shared" si="1"/>
        <v>4</v>
      </c>
      <c r="C2258" s="2" t="s">
        <v>92</v>
      </c>
    </row>
    <row r="2259">
      <c r="A2259" s="28">
        <v>45677.0</v>
      </c>
      <c r="B2259" s="29">
        <f t="shared" si="1"/>
        <v>4</v>
      </c>
      <c r="C2259" s="2" t="s">
        <v>93</v>
      </c>
    </row>
    <row r="2260">
      <c r="A2260" s="28">
        <v>45677.0</v>
      </c>
      <c r="B2260" s="29">
        <f t="shared" si="1"/>
        <v>4</v>
      </c>
      <c r="C2260" s="2" t="s">
        <v>94</v>
      </c>
    </row>
    <row r="2261">
      <c r="A2261" s="28">
        <v>45677.0</v>
      </c>
      <c r="B2261" s="29">
        <f t="shared" si="1"/>
        <v>4</v>
      </c>
      <c r="C2261" s="2" t="s">
        <v>95</v>
      </c>
    </row>
    <row r="2262">
      <c r="A2262" s="28">
        <v>45677.0</v>
      </c>
      <c r="B2262" s="29">
        <f t="shared" si="1"/>
        <v>4</v>
      </c>
      <c r="C2262" s="2" t="s">
        <v>96</v>
      </c>
      <c r="D2262" s="2" t="s">
        <v>108</v>
      </c>
    </row>
    <row r="2263">
      <c r="A2263" s="28">
        <v>45677.0</v>
      </c>
      <c r="B2263" s="29">
        <f t="shared" si="1"/>
        <v>4</v>
      </c>
      <c r="C2263" s="2" t="s">
        <v>97</v>
      </c>
    </row>
    <row r="2264">
      <c r="A2264" s="28">
        <v>45677.0</v>
      </c>
      <c r="B2264" s="29">
        <f t="shared" si="1"/>
        <v>4</v>
      </c>
      <c r="C2264" s="2" t="s">
        <v>98</v>
      </c>
    </row>
    <row r="2265">
      <c r="A2265" s="28">
        <v>45677.0</v>
      </c>
      <c r="B2265" s="29">
        <f t="shared" si="1"/>
        <v>4</v>
      </c>
      <c r="C2265" s="2" t="s">
        <v>99</v>
      </c>
    </row>
    <row r="2266">
      <c r="A2266" s="28">
        <v>45677.0</v>
      </c>
      <c r="B2266" s="29">
        <f t="shared" si="1"/>
        <v>4</v>
      </c>
      <c r="C2266" s="2" t="s">
        <v>100</v>
      </c>
      <c r="D2266" s="2" t="s">
        <v>109</v>
      </c>
    </row>
    <row r="2267">
      <c r="A2267" s="28">
        <v>45677.0</v>
      </c>
      <c r="B2267" s="29">
        <f t="shared" si="1"/>
        <v>4</v>
      </c>
      <c r="C2267" s="2" t="s">
        <v>101</v>
      </c>
      <c r="D2267" s="2">
        <v>0.0</v>
      </c>
    </row>
    <row r="2268">
      <c r="A2268" s="28">
        <v>45677.0</v>
      </c>
      <c r="B2268" s="29">
        <f t="shared" si="1"/>
        <v>4</v>
      </c>
      <c r="C2268" s="2" t="s">
        <v>80</v>
      </c>
    </row>
    <row r="2269">
      <c r="A2269" s="28">
        <v>45677.0</v>
      </c>
      <c r="B2269" s="29">
        <f t="shared" si="1"/>
        <v>4</v>
      </c>
      <c r="C2269" s="2" t="s">
        <v>81</v>
      </c>
    </row>
    <row r="2270">
      <c r="A2270" s="28">
        <v>45677.0</v>
      </c>
      <c r="B2270" s="29">
        <f t="shared" si="1"/>
        <v>4</v>
      </c>
      <c r="C2270" s="2" t="s">
        <v>82</v>
      </c>
    </row>
    <row r="2271">
      <c r="A2271" s="28">
        <v>45677.0</v>
      </c>
      <c r="B2271" s="29">
        <f t="shared" si="1"/>
        <v>4</v>
      </c>
      <c r="C2271" s="2" t="s">
        <v>83</v>
      </c>
    </row>
    <row r="2272">
      <c r="A2272" s="28">
        <v>45677.0</v>
      </c>
      <c r="B2272" s="29">
        <f t="shared" si="1"/>
        <v>4</v>
      </c>
      <c r="C2272" s="2" t="s">
        <v>84</v>
      </c>
    </row>
    <row r="2273">
      <c r="A2273" s="28">
        <v>45677.0</v>
      </c>
      <c r="B2273" s="29">
        <f t="shared" si="1"/>
        <v>4</v>
      </c>
      <c r="C2273" s="2" t="s">
        <v>85</v>
      </c>
      <c r="D2273" s="2">
        <v>0.0</v>
      </c>
    </row>
    <row r="2274">
      <c r="A2274" s="28">
        <v>45677.0</v>
      </c>
      <c r="B2274" s="29">
        <f t="shared" si="1"/>
        <v>4</v>
      </c>
      <c r="C2274" s="2" t="s">
        <v>86</v>
      </c>
      <c r="D2274" s="2" t="s">
        <v>104</v>
      </c>
    </row>
    <row r="2275">
      <c r="A2275" s="28">
        <v>45677.0</v>
      </c>
      <c r="B2275" s="29">
        <f t="shared" si="1"/>
        <v>4</v>
      </c>
      <c r="C2275" s="2" t="s">
        <v>87</v>
      </c>
    </row>
    <row r="2276">
      <c r="A2276" s="28">
        <v>45677.0</v>
      </c>
      <c r="B2276" s="29">
        <f t="shared" si="1"/>
        <v>4</v>
      </c>
      <c r="C2276" s="2" t="s">
        <v>88</v>
      </c>
    </row>
    <row r="2277">
      <c r="A2277" s="28">
        <v>45677.0</v>
      </c>
      <c r="B2277" s="29">
        <f t="shared" si="1"/>
        <v>4</v>
      </c>
      <c r="C2277" s="2" t="s">
        <v>89</v>
      </c>
    </row>
    <row r="2278">
      <c r="A2278" s="28">
        <v>45677.0</v>
      </c>
      <c r="B2278" s="29">
        <f t="shared" si="1"/>
        <v>4</v>
      </c>
      <c r="C2278" s="2" t="s">
        <v>90</v>
      </c>
    </row>
    <row r="2279">
      <c r="A2279" s="28">
        <v>45677.0</v>
      </c>
      <c r="B2279" s="29">
        <f t="shared" si="1"/>
        <v>4</v>
      </c>
      <c r="C2279" s="2" t="s">
        <v>91</v>
      </c>
    </row>
    <row r="2280">
      <c r="A2280" s="28">
        <v>45677.0</v>
      </c>
      <c r="B2280" s="29">
        <f t="shared" si="1"/>
        <v>4</v>
      </c>
      <c r="C2280" s="2" t="s">
        <v>92</v>
      </c>
    </row>
    <row r="2281">
      <c r="A2281" s="28">
        <v>45677.0</v>
      </c>
      <c r="B2281" s="29">
        <f t="shared" si="1"/>
        <v>4</v>
      </c>
      <c r="C2281" s="2" t="s">
        <v>93</v>
      </c>
    </row>
    <row r="2282">
      <c r="A2282" s="28">
        <v>45677.0</v>
      </c>
      <c r="B2282" s="29">
        <f t="shared" si="1"/>
        <v>4</v>
      </c>
      <c r="C2282" s="2" t="s">
        <v>94</v>
      </c>
    </row>
    <row r="2283">
      <c r="A2283" s="28">
        <v>45677.0</v>
      </c>
      <c r="B2283" s="29">
        <f t="shared" si="1"/>
        <v>4</v>
      </c>
      <c r="C2283" s="2" t="s">
        <v>95</v>
      </c>
    </row>
    <row r="2284">
      <c r="A2284" s="28">
        <v>45677.0</v>
      </c>
      <c r="B2284" s="29">
        <f t="shared" si="1"/>
        <v>4</v>
      </c>
      <c r="C2284" s="2" t="s">
        <v>96</v>
      </c>
    </row>
    <row r="2285">
      <c r="A2285" s="28">
        <v>45677.0</v>
      </c>
      <c r="B2285" s="29">
        <f t="shared" si="1"/>
        <v>4</v>
      </c>
      <c r="C2285" s="2" t="s">
        <v>97</v>
      </c>
    </row>
    <row r="2286">
      <c r="A2286" s="28">
        <v>45677.0</v>
      </c>
      <c r="B2286" s="29">
        <f t="shared" si="1"/>
        <v>4</v>
      </c>
      <c r="C2286" s="2" t="s">
        <v>98</v>
      </c>
    </row>
    <row r="2287">
      <c r="A2287" s="28">
        <v>45677.0</v>
      </c>
      <c r="B2287" s="29">
        <f t="shared" si="1"/>
        <v>4</v>
      </c>
      <c r="C2287" s="2" t="s">
        <v>99</v>
      </c>
    </row>
    <row r="2288">
      <c r="A2288" s="28">
        <v>45677.0</v>
      </c>
      <c r="B2288" s="29">
        <f t="shared" si="1"/>
        <v>4</v>
      </c>
      <c r="C2288" s="2" t="s">
        <v>100</v>
      </c>
      <c r="D2288" s="2" t="s">
        <v>110</v>
      </c>
    </row>
    <row r="2289">
      <c r="A2289" s="28">
        <v>45679.0</v>
      </c>
      <c r="B2289" s="29">
        <f t="shared" si="1"/>
        <v>4</v>
      </c>
      <c r="C2289" s="2" t="s">
        <v>101</v>
      </c>
      <c r="D2289" s="2">
        <v>4507.0</v>
      </c>
    </row>
    <row r="2290">
      <c r="A2290" s="28">
        <v>45679.0</v>
      </c>
      <c r="B2290" s="29">
        <f t="shared" si="1"/>
        <v>4</v>
      </c>
      <c r="C2290" s="2" t="s">
        <v>80</v>
      </c>
      <c r="D2290" s="2">
        <v>864.0</v>
      </c>
    </row>
    <row r="2291">
      <c r="A2291" s="28">
        <v>45679.0</v>
      </c>
      <c r="B2291" s="29">
        <f t="shared" si="1"/>
        <v>4</v>
      </c>
      <c r="C2291" s="2" t="s">
        <v>81</v>
      </c>
    </row>
    <row r="2292">
      <c r="A2292" s="28">
        <v>45679.0</v>
      </c>
      <c r="B2292" s="29">
        <f t="shared" si="1"/>
        <v>4</v>
      </c>
      <c r="C2292" s="2" t="s">
        <v>82</v>
      </c>
    </row>
    <row r="2293">
      <c r="A2293" s="28">
        <v>45679.0</v>
      </c>
      <c r="B2293" s="29">
        <f t="shared" si="1"/>
        <v>4</v>
      </c>
      <c r="C2293" s="2" t="s">
        <v>83</v>
      </c>
      <c r="D2293" s="2">
        <v>986.0</v>
      </c>
    </row>
    <row r="2294">
      <c r="A2294" s="28">
        <v>45679.0</v>
      </c>
      <c r="B2294" s="29">
        <f t="shared" si="1"/>
        <v>4</v>
      </c>
      <c r="C2294" s="2" t="s">
        <v>84</v>
      </c>
      <c r="D2294" s="2">
        <v>1192.0</v>
      </c>
    </row>
    <row r="2295">
      <c r="A2295" s="28">
        <v>45679.0</v>
      </c>
      <c r="B2295" s="29">
        <f t="shared" si="1"/>
        <v>4</v>
      </c>
      <c r="C2295" s="2" t="s">
        <v>85</v>
      </c>
    </row>
    <row r="2296">
      <c r="A2296" s="28">
        <v>45679.0</v>
      </c>
      <c r="B2296" s="29">
        <f t="shared" si="1"/>
        <v>4</v>
      </c>
      <c r="C2296" s="2" t="s">
        <v>86</v>
      </c>
      <c r="D2296" s="2" t="s">
        <v>104</v>
      </c>
    </row>
    <row r="2297">
      <c r="A2297" s="28">
        <v>45679.0</v>
      </c>
      <c r="B2297" s="29">
        <f t="shared" si="1"/>
        <v>4</v>
      </c>
      <c r="C2297" s="2" t="s">
        <v>87</v>
      </c>
    </row>
    <row r="2298">
      <c r="A2298" s="28">
        <v>45679.0</v>
      </c>
      <c r="B2298" s="29">
        <f t="shared" si="1"/>
        <v>4</v>
      </c>
      <c r="C2298" s="2" t="s">
        <v>88</v>
      </c>
      <c r="D2298" s="2">
        <v>545.0</v>
      </c>
    </row>
    <row r="2299">
      <c r="A2299" s="28">
        <v>45679.0</v>
      </c>
      <c r="B2299" s="29">
        <f t="shared" si="1"/>
        <v>4</v>
      </c>
      <c r="C2299" s="2" t="s">
        <v>89</v>
      </c>
      <c r="D2299" s="2">
        <v>662.0</v>
      </c>
    </row>
    <row r="2300">
      <c r="A2300" s="28">
        <v>45679.0</v>
      </c>
      <c r="B2300" s="29">
        <f t="shared" si="1"/>
        <v>4</v>
      </c>
      <c r="C2300" s="2" t="s">
        <v>90</v>
      </c>
    </row>
    <row r="2301">
      <c r="A2301" s="28">
        <v>45679.0</v>
      </c>
      <c r="B2301" s="29">
        <f t="shared" si="1"/>
        <v>4</v>
      </c>
      <c r="C2301" s="2" t="s">
        <v>91</v>
      </c>
    </row>
    <row r="2302">
      <c r="A2302" s="28">
        <v>45679.0</v>
      </c>
      <c r="B2302" s="29">
        <f t="shared" si="1"/>
        <v>4</v>
      </c>
      <c r="C2302" s="2" t="s">
        <v>92</v>
      </c>
    </row>
    <row r="2303">
      <c r="A2303" s="28">
        <v>45679.0</v>
      </c>
      <c r="B2303" s="29">
        <f t="shared" si="1"/>
        <v>4</v>
      </c>
      <c r="C2303" s="2" t="s">
        <v>93</v>
      </c>
    </row>
    <row r="2304">
      <c r="A2304" s="28">
        <v>45679.0</v>
      </c>
      <c r="B2304" s="29">
        <f t="shared" si="1"/>
        <v>4</v>
      </c>
      <c r="C2304" s="2" t="s">
        <v>94</v>
      </c>
    </row>
    <row r="2305">
      <c r="A2305" s="28">
        <v>45679.0</v>
      </c>
      <c r="B2305" s="29">
        <f t="shared" si="1"/>
        <v>4</v>
      </c>
      <c r="C2305" s="2" t="s">
        <v>95</v>
      </c>
    </row>
    <row r="2306">
      <c r="A2306" s="28">
        <v>45679.0</v>
      </c>
      <c r="B2306" s="29">
        <f t="shared" si="1"/>
        <v>4</v>
      </c>
      <c r="C2306" s="2" t="s">
        <v>96</v>
      </c>
      <c r="D2306" s="2">
        <v>258.0</v>
      </c>
    </row>
    <row r="2307">
      <c r="A2307" s="28">
        <v>45679.0</v>
      </c>
      <c r="B2307" s="29">
        <f t="shared" si="1"/>
        <v>4</v>
      </c>
      <c r="C2307" s="2" t="s">
        <v>97</v>
      </c>
    </row>
    <row r="2308">
      <c r="A2308" s="28">
        <v>45679.0</v>
      </c>
      <c r="B2308" s="29">
        <f t="shared" si="1"/>
        <v>4</v>
      </c>
      <c r="C2308" s="2" t="s">
        <v>98</v>
      </c>
    </row>
    <row r="2309">
      <c r="A2309" s="28">
        <v>45679.0</v>
      </c>
      <c r="B2309" s="29">
        <f t="shared" si="1"/>
        <v>4</v>
      </c>
      <c r="C2309" s="2" t="s">
        <v>99</v>
      </c>
    </row>
    <row r="2310">
      <c r="A2310" s="28">
        <v>45679.0</v>
      </c>
      <c r="B2310" s="29">
        <f t="shared" si="1"/>
        <v>4</v>
      </c>
      <c r="C2310" s="2" t="s">
        <v>100</v>
      </c>
    </row>
    <row r="2311">
      <c r="A2311" s="28">
        <v>45686.0</v>
      </c>
      <c r="B2311" s="29">
        <f t="shared" si="1"/>
        <v>5</v>
      </c>
      <c r="C2311" s="2" t="s">
        <v>101</v>
      </c>
      <c r="D2311" s="2">
        <v>12130.0</v>
      </c>
    </row>
    <row r="2312">
      <c r="A2312" s="28">
        <v>45686.0</v>
      </c>
      <c r="B2312" s="29">
        <f t="shared" si="1"/>
        <v>5</v>
      </c>
      <c r="C2312" s="2" t="s">
        <v>80</v>
      </c>
      <c r="D2312" s="2" t="s">
        <v>111</v>
      </c>
    </row>
    <row r="2313">
      <c r="A2313" s="28">
        <v>45686.0</v>
      </c>
      <c r="B2313" s="29">
        <f t="shared" si="1"/>
        <v>5</v>
      </c>
      <c r="C2313" s="2" t="s">
        <v>81</v>
      </c>
    </row>
    <row r="2314">
      <c r="A2314" s="28">
        <v>45686.0</v>
      </c>
      <c r="B2314" s="29">
        <f t="shared" si="1"/>
        <v>5</v>
      </c>
      <c r="C2314" s="2" t="s">
        <v>82</v>
      </c>
    </row>
    <row r="2315">
      <c r="A2315" s="28">
        <v>45686.0</v>
      </c>
      <c r="B2315" s="29">
        <f t="shared" si="1"/>
        <v>5</v>
      </c>
      <c r="C2315" s="2" t="s">
        <v>83</v>
      </c>
      <c r="D2315" s="2" t="s">
        <v>112</v>
      </c>
    </row>
    <row r="2316">
      <c r="A2316" s="28">
        <v>45686.0</v>
      </c>
      <c r="B2316" s="29">
        <f t="shared" si="1"/>
        <v>5</v>
      </c>
      <c r="C2316" s="2" t="s">
        <v>84</v>
      </c>
      <c r="D2316" s="2">
        <v>1890.0</v>
      </c>
    </row>
    <row r="2317">
      <c r="A2317" s="28">
        <v>45686.0</v>
      </c>
      <c r="B2317" s="29">
        <f t="shared" si="1"/>
        <v>5</v>
      </c>
      <c r="C2317" s="2" t="s">
        <v>85</v>
      </c>
    </row>
    <row r="2318">
      <c r="A2318" s="28">
        <v>45686.0</v>
      </c>
      <c r="B2318" s="29">
        <f t="shared" si="1"/>
        <v>5</v>
      </c>
      <c r="C2318" s="2" t="s">
        <v>86</v>
      </c>
    </row>
    <row r="2319">
      <c r="A2319" s="28">
        <v>45686.0</v>
      </c>
      <c r="B2319" s="29">
        <f t="shared" si="1"/>
        <v>5</v>
      </c>
      <c r="C2319" s="2" t="s">
        <v>87</v>
      </c>
    </row>
    <row r="2320">
      <c r="A2320" s="28">
        <v>45686.0</v>
      </c>
      <c r="B2320" s="29">
        <f t="shared" si="1"/>
        <v>5</v>
      </c>
      <c r="C2320" s="2" t="s">
        <v>88</v>
      </c>
      <c r="D2320" s="2">
        <v>706.0</v>
      </c>
    </row>
    <row r="2321">
      <c r="A2321" s="28">
        <v>45686.0</v>
      </c>
      <c r="B2321" s="29">
        <f t="shared" si="1"/>
        <v>5</v>
      </c>
      <c r="C2321" s="2" t="s">
        <v>89</v>
      </c>
      <c r="D2321" s="2">
        <v>1992.0</v>
      </c>
    </row>
    <row r="2322">
      <c r="A2322" s="28">
        <v>45686.0</v>
      </c>
      <c r="B2322" s="29">
        <f t="shared" si="1"/>
        <v>5</v>
      </c>
      <c r="C2322" s="2" t="s">
        <v>90</v>
      </c>
    </row>
    <row r="2323">
      <c r="A2323" s="28">
        <v>45686.0</v>
      </c>
      <c r="B2323" s="29">
        <f t="shared" si="1"/>
        <v>5</v>
      </c>
      <c r="C2323" s="2" t="s">
        <v>91</v>
      </c>
    </row>
    <row r="2324">
      <c r="A2324" s="28">
        <v>45686.0</v>
      </c>
      <c r="B2324" s="29">
        <f t="shared" si="1"/>
        <v>5</v>
      </c>
      <c r="C2324" s="2" t="s">
        <v>92</v>
      </c>
    </row>
    <row r="2325">
      <c r="A2325" s="28">
        <v>45686.0</v>
      </c>
      <c r="B2325" s="29">
        <f t="shared" si="1"/>
        <v>5</v>
      </c>
      <c r="C2325" s="2" t="s">
        <v>93</v>
      </c>
    </row>
    <row r="2326">
      <c r="A2326" s="28">
        <v>45686.0</v>
      </c>
      <c r="B2326" s="29">
        <f t="shared" si="1"/>
        <v>5</v>
      </c>
      <c r="C2326" s="2" t="s">
        <v>94</v>
      </c>
    </row>
    <row r="2327">
      <c r="A2327" s="28">
        <v>45686.0</v>
      </c>
      <c r="B2327" s="29">
        <f t="shared" si="1"/>
        <v>5</v>
      </c>
      <c r="C2327" s="2" t="s">
        <v>95</v>
      </c>
    </row>
    <row r="2328">
      <c r="A2328" s="28">
        <v>45686.0</v>
      </c>
      <c r="B2328" s="29">
        <f t="shared" si="1"/>
        <v>5</v>
      </c>
      <c r="C2328" s="2" t="s">
        <v>96</v>
      </c>
      <c r="D2328" s="2">
        <v>402.0</v>
      </c>
    </row>
    <row r="2329">
      <c r="A2329" s="28">
        <v>45686.0</v>
      </c>
      <c r="B2329" s="29">
        <f t="shared" si="1"/>
        <v>5</v>
      </c>
      <c r="C2329" s="2" t="s">
        <v>97</v>
      </c>
      <c r="D2329" s="2">
        <v>7140.0</v>
      </c>
    </row>
    <row r="2330">
      <c r="A2330" s="28">
        <v>45686.0</v>
      </c>
      <c r="B2330" s="29">
        <f t="shared" si="1"/>
        <v>5</v>
      </c>
      <c r="C2330" s="2" t="s">
        <v>98</v>
      </c>
    </row>
    <row r="2331">
      <c r="A2331" s="28">
        <v>45686.0</v>
      </c>
      <c r="B2331" s="29">
        <f t="shared" si="1"/>
        <v>5</v>
      </c>
      <c r="C2331" s="2" t="s">
        <v>99</v>
      </c>
    </row>
    <row r="2332">
      <c r="A2332" s="28">
        <v>45686.0</v>
      </c>
      <c r="B2332" s="29">
        <f t="shared" si="1"/>
        <v>5</v>
      </c>
      <c r="C2332" s="2" t="s">
        <v>100</v>
      </c>
    </row>
    <row r="2333">
      <c r="A2333" s="28">
        <v>45693.0</v>
      </c>
      <c r="B2333" s="29">
        <f t="shared" si="1"/>
        <v>6</v>
      </c>
      <c r="C2333" s="2" t="s">
        <v>101</v>
      </c>
      <c r="D2333" s="2">
        <v>8693.0</v>
      </c>
    </row>
    <row r="2334">
      <c r="A2334" s="28">
        <v>45693.0</v>
      </c>
      <c r="B2334" s="29">
        <f t="shared" si="1"/>
        <v>6</v>
      </c>
      <c r="C2334" s="2" t="s">
        <v>80</v>
      </c>
      <c r="D2334" s="2">
        <v>1252.0</v>
      </c>
    </row>
    <row r="2335">
      <c r="A2335" s="28">
        <v>45693.0</v>
      </c>
      <c r="B2335" s="29">
        <f t="shared" si="1"/>
        <v>6</v>
      </c>
      <c r="C2335" s="2" t="s">
        <v>81</v>
      </c>
    </row>
    <row r="2336">
      <c r="A2336" s="28">
        <v>45693.0</v>
      </c>
      <c r="B2336" s="29">
        <f t="shared" si="1"/>
        <v>6</v>
      </c>
      <c r="C2336" s="2" t="s">
        <v>82</v>
      </c>
    </row>
    <row r="2337">
      <c r="A2337" s="28">
        <v>45693.0</v>
      </c>
      <c r="B2337" s="29">
        <f t="shared" si="1"/>
        <v>6</v>
      </c>
      <c r="C2337" s="2" t="s">
        <v>83</v>
      </c>
      <c r="D2337" s="2">
        <v>2173.0</v>
      </c>
    </row>
    <row r="2338">
      <c r="A2338" s="28">
        <v>45693.0</v>
      </c>
      <c r="B2338" s="29">
        <f t="shared" si="1"/>
        <v>6</v>
      </c>
      <c r="C2338" s="2" t="s">
        <v>84</v>
      </c>
      <c r="D2338" s="2">
        <v>1265.0</v>
      </c>
    </row>
    <row r="2339">
      <c r="A2339" s="28">
        <v>45693.0</v>
      </c>
      <c r="B2339" s="29">
        <f t="shared" si="1"/>
        <v>6</v>
      </c>
      <c r="C2339" s="2" t="s">
        <v>85</v>
      </c>
    </row>
    <row r="2340">
      <c r="A2340" s="28">
        <v>45693.0</v>
      </c>
      <c r="B2340" s="29">
        <f t="shared" si="1"/>
        <v>6</v>
      </c>
      <c r="C2340" s="2" t="s">
        <v>86</v>
      </c>
    </row>
    <row r="2341">
      <c r="A2341" s="28">
        <v>45693.0</v>
      </c>
      <c r="B2341" s="29">
        <f t="shared" si="1"/>
        <v>6</v>
      </c>
      <c r="C2341" s="2" t="s">
        <v>87</v>
      </c>
    </row>
    <row r="2342">
      <c r="A2342" s="28">
        <v>45693.0</v>
      </c>
      <c r="B2342" s="29">
        <f t="shared" si="1"/>
        <v>6</v>
      </c>
      <c r="C2342" s="2" t="s">
        <v>88</v>
      </c>
      <c r="D2342" s="2">
        <v>549.0</v>
      </c>
    </row>
    <row r="2343">
      <c r="A2343" s="28">
        <v>45693.0</v>
      </c>
      <c r="B2343" s="29">
        <f t="shared" si="1"/>
        <v>6</v>
      </c>
      <c r="C2343" s="2" t="s">
        <v>89</v>
      </c>
      <c r="D2343" s="2">
        <v>854.0</v>
      </c>
    </row>
    <row r="2344">
      <c r="A2344" s="28">
        <v>45693.0</v>
      </c>
      <c r="B2344" s="29">
        <f t="shared" si="1"/>
        <v>6</v>
      </c>
      <c r="C2344" s="2" t="s">
        <v>90</v>
      </c>
    </row>
    <row r="2345">
      <c r="A2345" s="28">
        <v>45693.0</v>
      </c>
      <c r="B2345" s="29">
        <f t="shared" si="1"/>
        <v>6</v>
      </c>
      <c r="C2345" s="2" t="s">
        <v>91</v>
      </c>
    </row>
    <row r="2346">
      <c r="A2346" s="28">
        <v>45693.0</v>
      </c>
      <c r="B2346" s="29">
        <f t="shared" si="1"/>
        <v>6</v>
      </c>
      <c r="C2346" s="2" t="s">
        <v>92</v>
      </c>
    </row>
    <row r="2347">
      <c r="A2347" s="28">
        <v>45693.0</v>
      </c>
      <c r="B2347" s="29">
        <f t="shared" si="1"/>
        <v>6</v>
      </c>
      <c r="C2347" s="2" t="s">
        <v>93</v>
      </c>
    </row>
    <row r="2348">
      <c r="A2348" s="28">
        <v>45693.0</v>
      </c>
      <c r="B2348" s="29">
        <f t="shared" si="1"/>
        <v>6</v>
      </c>
      <c r="C2348" s="2" t="s">
        <v>94</v>
      </c>
    </row>
    <row r="2349">
      <c r="A2349" s="28">
        <v>45693.0</v>
      </c>
      <c r="B2349" s="29">
        <f t="shared" si="1"/>
        <v>6</v>
      </c>
      <c r="C2349" s="2" t="s">
        <v>95</v>
      </c>
    </row>
    <row r="2350">
      <c r="A2350" s="28">
        <v>45693.0</v>
      </c>
      <c r="B2350" s="29">
        <f t="shared" si="1"/>
        <v>6</v>
      </c>
      <c r="C2350" s="2" t="s">
        <v>96</v>
      </c>
      <c r="D2350" s="2">
        <v>0.0</v>
      </c>
    </row>
    <row r="2351">
      <c r="A2351" s="28">
        <v>45693.0</v>
      </c>
      <c r="B2351" s="29">
        <f t="shared" si="1"/>
        <v>6</v>
      </c>
      <c r="C2351" s="2" t="s">
        <v>97</v>
      </c>
      <c r="D2351" s="2">
        <v>2600.0</v>
      </c>
    </row>
    <row r="2352">
      <c r="A2352" s="28">
        <v>45693.0</v>
      </c>
      <c r="B2352" s="29">
        <f t="shared" si="1"/>
        <v>6</v>
      </c>
      <c r="C2352" s="2" t="s">
        <v>98</v>
      </c>
    </row>
    <row r="2353">
      <c r="A2353" s="28">
        <v>45693.0</v>
      </c>
      <c r="B2353" s="29">
        <f t="shared" si="1"/>
        <v>6</v>
      </c>
      <c r="C2353" s="2" t="s">
        <v>99</v>
      </c>
      <c r="D2353" s="2">
        <v>50.0</v>
      </c>
    </row>
    <row r="2354">
      <c r="A2354" s="28">
        <v>45693.0</v>
      </c>
      <c r="B2354" s="29">
        <f t="shared" si="1"/>
        <v>6</v>
      </c>
      <c r="C2354" s="2" t="s">
        <v>100</v>
      </c>
    </row>
    <row r="2355">
      <c r="A2355" s="28">
        <v>45700.0</v>
      </c>
      <c r="B2355" s="29">
        <f t="shared" si="1"/>
        <v>7</v>
      </c>
      <c r="C2355" s="2" t="s">
        <v>101</v>
      </c>
      <c r="D2355" s="2">
        <v>8500.0</v>
      </c>
    </row>
    <row r="2356">
      <c r="A2356" s="28">
        <v>45700.0</v>
      </c>
      <c r="B2356" s="29">
        <f t="shared" si="1"/>
        <v>7</v>
      </c>
      <c r="C2356" s="2" t="s">
        <v>80</v>
      </c>
      <c r="D2356" s="2">
        <v>1852.0</v>
      </c>
    </row>
    <row r="2357">
      <c r="A2357" s="28">
        <v>45700.0</v>
      </c>
      <c r="B2357" s="29">
        <f t="shared" si="1"/>
        <v>7</v>
      </c>
      <c r="C2357" s="2" t="s">
        <v>81</v>
      </c>
    </row>
    <row r="2358">
      <c r="A2358" s="28">
        <v>45700.0</v>
      </c>
      <c r="B2358" s="29">
        <f t="shared" si="1"/>
        <v>7</v>
      </c>
      <c r="C2358" s="2" t="s">
        <v>82</v>
      </c>
    </row>
    <row r="2359">
      <c r="A2359" s="28">
        <v>45700.0</v>
      </c>
      <c r="B2359" s="29">
        <f t="shared" si="1"/>
        <v>7</v>
      </c>
      <c r="C2359" s="2" t="s">
        <v>83</v>
      </c>
      <c r="D2359" s="2">
        <v>1272.0</v>
      </c>
    </row>
    <row r="2360">
      <c r="A2360" s="28">
        <v>45700.0</v>
      </c>
      <c r="B2360" s="29">
        <f t="shared" si="1"/>
        <v>7</v>
      </c>
      <c r="C2360" s="2" t="s">
        <v>84</v>
      </c>
      <c r="D2360" s="2">
        <v>976.0</v>
      </c>
    </row>
    <row r="2361">
      <c r="A2361" s="28">
        <v>45700.0</v>
      </c>
      <c r="B2361" s="29">
        <f t="shared" si="1"/>
        <v>7</v>
      </c>
      <c r="C2361" s="2" t="s">
        <v>85</v>
      </c>
    </row>
    <row r="2362">
      <c r="A2362" s="28">
        <v>45700.0</v>
      </c>
      <c r="B2362" s="29">
        <f t="shared" si="1"/>
        <v>7</v>
      </c>
      <c r="C2362" s="2" t="s">
        <v>86</v>
      </c>
    </row>
    <row r="2363">
      <c r="A2363" s="28">
        <v>45700.0</v>
      </c>
      <c r="B2363" s="29">
        <f t="shared" si="1"/>
        <v>7</v>
      </c>
      <c r="C2363" s="2" t="s">
        <v>87</v>
      </c>
    </row>
    <row r="2364">
      <c r="A2364" s="28">
        <v>45700.0</v>
      </c>
      <c r="B2364" s="29">
        <f t="shared" si="1"/>
        <v>7</v>
      </c>
      <c r="C2364" s="2" t="s">
        <v>88</v>
      </c>
      <c r="D2364" s="2">
        <v>538.0</v>
      </c>
    </row>
    <row r="2365">
      <c r="A2365" s="28">
        <v>45700.0</v>
      </c>
      <c r="B2365" s="29">
        <f t="shared" si="1"/>
        <v>7</v>
      </c>
      <c r="C2365" s="2" t="s">
        <v>89</v>
      </c>
      <c r="D2365" s="2">
        <v>719.0</v>
      </c>
    </row>
    <row r="2366">
      <c r="A2366" s="28">
        <v>45700.0</v>
      </c>
      <c r="B2366" s="29">
        <f t="shared" si="1"/>
        <v>7</v>
      </c>
      <c r="C2366" s="2" t="s">
        <v>90</v>
      </c>
    </row>
    <row r="2367">
      <c r="A2367" s="28">
        <v>45700.0</v>
      </c>
      <c r="B2367" s="29">
        <f t="shared" si="1"/>
        <v>7</v>
      </c>
      <c r="C2367" s="2" t="s">
        <v>91</v>
      </c>
    </row>
    <row r="2368">
      <c r="A2368" s="28">
        <v>45700.0</v>
      </c>
      <c r="B2368" s="29">
        <f t="shared" si="1"/>
        <v>7</v>
      </c>
      <c r="C2368" s="2" t="s">
        <v>92</v>
      </c>
    </row>
    <row r="2369">
      <c r="A2369" s="28">
        <v>45700.0</v>
      </c>
      <c r="B2369" s="29">
        <f t="shared" si="1"/>
        <v>7</v>
      </c>
      <c r="C2369" s="2" t="s">
        <v>93</v>
      </c>
    </row>
    <row r="2370">
      <c r="A2370" s="28">
        <v>45700.0</v>
      </c>
      <c r="B2370" s="29">
        <f t="shared" si="1"/>
        <v>7</v>
      </c>
      <c r="C2370" s="2" t="s">
        <v>94</v>
      </c>
    </row>
    <row r="2371">
      <c r="A2371" s="28">
        <v>45700.0</v>
      </c>
      <c r="B2371" s="29">
        <f t="shared" si="1"/>
        <v>7</v>
      </c>
      <c r="C2371" s="2" t="s">
        <v>95</v>
      </c>
    </row>
    <row r="2372">
      <c r="A2372" s="28">
        <v>45700.0</v>
      </c>
      <c r="B2372" s="29">
        <f t="shared" si="1"/>
        <v>7</v>
      </c>
      <c r="C2372" s="2" t="s">
        <v>96</v>
      </c>
      <c r="D2372" s="2">
        <v>141.0</v>
      </c>
    </row>
    <row r="2373">
      <c r="A2373" s="28">
        <v>45700.0</v>
      </c>
      <c r="B2373" s="29">
        <f t="shared" si="1"/>
        <v>7</v>
      </c>
      <c r="C2373" s="2" t="s">
        <v>97</v>
      </c>
      <c r="D2373" s="2">
        <v>4474.0</v>
      </c>
    </row>
    <row r="2374">
      <c r="A2374" s="28">
        <v>45700.0</v>
      </c>
      <c r="B2374" s="29">
        <f t="shared" si="1"/>
        <v>7</v>
      </c>
      <c r="C2374" s="2" t="s">
        <v>98</v>
      </c>
    </row>
    <row r="2375">
      <c r="A2375" s="28">
        <v>45700.0</v>
      </c>
      <c r="B2375" s="29">
        <f t="shared" si="1"/>
        <v>7</v>
      </c>
      <c r="C2375" s="2" t="s">
        <v>99</v>
      </c>
      <c r="D2375" s="2">
        <v>50.0</v>
      </c>
    </row>
    <row r="2376">
      <c r="A2376" s="28">
        <v>45700.0</v>
      </c>
      <c r="B2376" s="29">
        <f t="shared" si="1"/>
        <v>7</v>
      </c>
      <c r="C2376" s="2" t="s">
        <v>100</v>
      </c>
    </row>
    <row r="2377">
      <c r="A2377" s="28">
        <v>45707.0</v>
      </c>
      <c r="B2377" s="29">
        <f t="shared" si="1"/>
        <v>8</v>
      </c>
      <c r="C2377" s="2" t="s">
        <v>101</v>
      </c>
      <c r="D2377" s="2">
        <v>9446.0</v>
      </c>
    </row>
    <row r="2378">
      <c r="A2378" s="28">
        <v>45707.0</v>
      </c>
      <c r="B2378" s="29">
        <f t="shared" si="1"/>
        <v>8</v>
      </c>
      <c r="C2378" s="2" t="s">
        <v>80</v>
      </c>
      <c r="D2378" s="2">
        <v>900.0</v>
      </c>
    </row>
    <row r="2379">
      <c r="A2379" s="28">
        <v>45707.0</v>
      </c>
      <c r="B2379" s="29">
        <f t="shared" si="1"/>
        <v>8</v>
      </c>
      <c r="C2379" s="2" t="s">
        <v>81</v>
      </c>
    </row>
    <row r="2380">
      <c r="A2380" s="28">
        <v>45707.0</v>
      </c>
      <c r="B2380" s="29">
        <f t="shared" si="1"/>
        <v>8</v>
      </c>
      <c r="C2380" s="2" t="s">
        <v>82</v>
      </c>
    </row>
    <row r="2381">
      <c r="A2381" s="28">
        <v>45707.0</v>
      </c>
      <c r="B2381" s="29">
        <f t="shared" si="1"/>
        <v>8</v>
      </c>
      <c r="C2381" s="2" t="s">
        <v>83</v>
      </c>
      <c r="D2381" s="2">
        <v>2667.0</v>
      </c>
    </row>
    <row r="2382">
      <c r="A2382" s="28">
        <v>45707.0</v>
      </c>
      <c r="B2382" s="29">
        <f t="shared" si="1"/>
        <v>8</v>
      </c>
      <c r="C2382" s="2" t="s">
        <v>84</v>
      </c>
      <c r="D2382" s="2">
        <v>1381.0</v>
      </c>
    </row>
    <row r="2383">
      <c r="A2383" s="28">
        <v>45707.0</v>
      </c>
      <c r="B2383" s="29">
        <f t="shared" si="1"/>
        <v>8</v>
      </c>
      <c r="C2383" s="2" t="s">
        <v>85</v>
      </c>
    </row>
    <row r="2384">
      <c r="A2384" s="28">
        <v>45707.0</v>
      </c>
      <c r="B2384" s="29">
        <f t="shared" si="1"/>
        <v>8</v>
      </c>
      <c r="C2384" s="2" t="s">
        <v>86</v>
      </c>
    </row>
    <row r="2385">
      <c r="A2385" s="28">
        <v>45707.0</v>
      </c>
      <c r="B2385" s="29">
        <f t="shared" si="1"/>
        <v>8</v>
      </c>
      <c r="C2385" s="2" t="s">
        <v>87</v>
      </c>
    </row>
    <row r="2386">
      <c r="A2386" s="28">
        <v>45707.0</v>
      </c>
      <c r="B2386" s="29">
        <f t="shared" si="1"/>
        <v>8</v>
      </c>
      <c r="C2386" s="2" t="s">
        <v>88</v>
      </c>
      <c r="D2386" s="2">
        <v>677.0</v>
      </c>
    </row>
    <row r="2387">
      <c r="A2387" s="28">
        <v>45707.0</v>
      </c>
      <c r="B2387" s="29">
        <f t="shared" si="1"/>
        <v>8</v>
      </c>
      <c r="C2387" s="2" t="s">
        <v>89</v>
      </c>
      <c r="D2387" s="2">
        <v>1371.0</v>
      </c>
    </row>
    <row r="2388">
      <c r="A2388" s="28">
        <v>45707.0</v>
      </c>
      <c r="B2388" s="29">
        <f t="shared" si="1"/>
        <v>8</v>
      </c>
      <c r="C2388" s="2" t="s">
        <v>90</v>
      </c>
    </row>
    <row r="2389">
      <c r="A2389" s="28">
        <v>45707.0</v>
      </c>
      <c r="B2389" s="29">
        <f t="shared" si="1"/>
        <v>8</v>
      </c>
      <c r="C2389" s="2" t="s">
        <v>91</v>
      </c>
    </row>
    <row r="2390">
      <c r="A2390" s="28">
        <v>45707.0</v>
      </c>
      <c r="B2390" s="29">
        <f t="shared" si="1"/>
        <v>8</v>
      </c>
      <c r="C2390" s="2" t="s">
        <v>92</v>
      </c>
    </row>
    <row r="2391">
      <c r="A2391" s="28">
        <v>45707.0</v>
      </c>
      <c r="B2391" s="29">
        <f t="shared" si="1"/>
        <v>8</v>
      </c>
      <c r="C2391" s="2" t="s">
        <v>93</v>
      </c>
    </row>
    <row r="2392">
      <c r="A2392" s="28">
        <v>45707.0</v>
      </c>
      <c r="B2392" s="29">
        <f t="shared" si="1"/>
        <v>8</v>
      </c>
      <c r="C2392" s="2" t="s">
        <v>94</v>
      </c>
    </row>
    <row r="2393">
      <c r="A2393" s="28">
        <v>45707.0</v>
      </c>
      <c r="B2393" s="29">
        <f t="shared" si="1"/>
        <v>8</v>
      </c>
      <c r="C2393" s="2" t="s">
        <v>95</v>
      </c>
    </row>
    <row r="2394">
      <c r="A2394" s="28">
        <v>45707.0</v>
      </c>
      <c r="B2394" s="29">
        <f t="shared" si="1"/>
        <v>8</v>
      </c>
      <c r="C2394" s="2" t="s">
        <v>96</v>
      </c>
      <c r="D2394" s="2">
        <v>284.0</v>
      </c>
    </row>
    <row r="2395">
      <c r="A2395" s="28">
        <v>45707.0</v>
      </c>
      <c r="B2395" s="29">
        <f t="shared" si="1"/>
        <v>8</v>
      </c>
      <c r="C2395" s="2" t="s">
        <v>97</v>
      </c>
      <c r="D2395" s="2">
        <v>2650.0</v>
      </c>
    </row>
    <row r="2396">
      <c r="A2396" s="28">
        <v>45707.0</v>
      </c>
      <c r="B2396" s="29">
        <f t="shared" si="1"/>
        <v>8</v>
      </c>
      <c r="C2396" s="2" t="s">
        <v>98</v>
      </c>
    </row>
    <row r="2397">
      <c r="A2397" s="28">
        <v>45707.0</v>
      </c>
      <c r="B2397" s="29">
        <f t="shared" si="1"/>
        <v>8</v>
      </c>
      <c r="C2397" s="2" t="s">
        <v>99</v>
      </c>
      <c r="D2397" s="2">
        <v>50.0</v>
      </c>
    </row>
    <row r="2398">
      <c r="A2398" s="28">
        <v>45707.0</v>
      </c>
      <c r="B2398" s="29">
        <f t="shared" si="1"/>
        <v>8</v>
      </c>
      <c r="C2398" s="2" t="s">
        <v>100</v>
      </c>
    </row>
    <row r="2399">
      <c r="A2399" s="28">
        <v>45714.0</v>
      </c>
      <c r="B2399" s="29">
        <f t="shared" si="1"/>
        <v>9</v>
      </c>
      <c r="C2399" s="2" t="s">
        <v>101</v>
      </c>
      <c r="D2399" s="2">
        <v>5363.0</v>
      </c>
    </row>
    <row r="2400">
      <c r="A2400" s="28">
        <v>45714.0</v>
      </c>
      <c r="B2400" s="29">
        <f t="shared" si="1"/>
        <v>9</v>
      </c>
      <c r="C2400" s="2" t="s">
        <v>80</v>
      </c>
      <c r="D2400" s="2">
        <v>1010.0</v>
      </c>
    </row>
    <row r="2401">
      <c r="A2401" s="28">
        <v>45714.0</v>
      </c>
      <c r="B2401" s="29">
        <f t="shared" si="1"/>
        <v>9</v>
      </c>
      <c r="C2401" s="2" t="s">
        <v>81</v>
      </c>
    </row>
    <row r="2402">
      <c r="A2402" s="28">
        <v>45714.0</v>
      </c>
      <c r="B2402" s="29">
        <f t="shared" si="1"/>
        <v>9</v>
      </c>
      <c r="C2402" s="2" t="s">
        <v>82</v>
      </c>
    </row>
    <row r="2403">
      <c r="A2403" s="28">
        <v>45714.0</v>
      </c>
      <c r="B2403" s="29">
        <f t="shared" si="1"/>
        <v>9</v>
      </c>
      <c r="C2403" s="2" t="s">
        <v>83</v>
      </c>
      <c r="D2403" s="2">
        <v>1153.0</v>
      </c>
    </row>
    <row r="2404">
      <c r="A2404" s="28">
        <v>45714.0</v>
      </c>
      <c r="B2404" s="29">
        <f t="shared" si="1"/>
        <v>9</v>
      </c>
      <c r="C2404" s="2" t="s">
        <v>84</v>
      </c>
      <c r="D2404" s="2">
        <v>854.0</v>
      </c>
    </row>
    <row r="2405">
      <c r="A2405" s="28">
        <v>45714.0</v>
      </c>
      <c r="B2405" s="29">
        <f t="shared" si="1"/>
        <v>9</v>
      </c>
      <c r="C2405" s="2" t="s">
        <v>85</v>
      </c>
    </row>
    <row r="2406">
      <c r="A2406" s="28">
        <v>45714.0</v>
      </c>
      <c r="B2406" s="29">
        <f t="shared" si="1"/>
        <v>9</v>
      </c>
      <c r="C2406" s="2" t="s">
        <v>86</v>
      </c>
    </row>
    <row r="2407">
      <c r="A2407" s="28">
        <v>45714.0</v>
      </c>
      <c r="B2407" s="29">
        <f t="shared" si="1"/>
        <v>9</v>
      </c>
      <c r="C2407" s="2" t="s">
        <v>87</v>
      </c>
    </row>
    <row r="2408">
      <c r="A2408" s="28">
        <v>45714.0</v>
      </c>
      <c r="B2408" s="29">
        <f t="shared" si="1"/>
        <v>9</v>
      </c>
      <c r="C2408" s="2" t="s">
        <v>88</v>
      </c>
      <c r="D2408" s="2">
        <v>650.0</v>
      </c>
    </row>
    <row r="2409">
      <c r="A2409" s="28">
        <v>45714.0</v>
      </c>
      <c r="B2409" s="29">
        <f t="shared" si="1"/>
        <v>9</v>
      </c>
      <c r="C2409" s="2" t="s">
        <v>89</v>
      </c>
      <c r="D2409" s="2">
        <v>605.0</v>
      </c>
    </row>
    <row r="2410">
      <c r="A2410" s="28">
        <v>45714.0</v>
      </c>
      <c r="B2410" s="29">
        <f t="shared" si="1"/>
        <v>9</v>
      </c>
      <c r="C2410" s="2" t="s">
        <v>90</v>
      </c>
    </row>
    <row r="2411">
      <c r="A2411" s="28">
        <v>45714.0</v>
      </c>
      <c r="B2411" s="29">
        <f t="shared" si="1"/>
        <v>9</v>
      </c>
      <c r="C2411" s="2" t="s">
        <v>91</v>
      </c>
    </row>
    <row r="2412">
      <c r="A2412" s="28">
        <v>45714.0</v>
      </c>
      <c r="B2412" s="29">
        <f t="shared" si="1"/>
        <v>9</v>
      </c>
      <c r="C2412" s="2" t="s">
        <v>92</v>
      </c>
    </row>
    <row r="2413">
      <c r="A2413" s="28">
        <v>45714.0</v>
      </c>
      <c r="B2413" s="29">
        <f t="shared" si="1"/>
        <v>9</v>
      </c>
      <c r="C2413" s="2" t="s">
        <v>93</v>
      </c>
    </row>
    <row r="2414">
      <c r="A2414" s="28">
        <v>45714.0</v>
      </c>
      <c r="B2414" s="29">
        <f t="shared" si="1"/>
        <v>9</v>
      </c>
      <c r="C2414" s="2" t="s">
        <v>94</v>
      </c>
    </row>
    <row r="2415">
      <c r="A2415" s="28">
        <v>45714.0</v>
      </c>
      <c r="B2415" s="29">
        <f t="shared" si="1"/>
        <v>9</v>
      </c>
      <c r="C2415" s="2" t="s">
        <v>95</v>
      </c>
    </row>
    <row r="2416">
      <c r="A2416" s="28">
        <v>45714.0</v>
      </c>
      <c r="B2416" s="29">
        <f t="shared" si="1"/>
        <v>9</v>
      </c>
      <c r="C2416" s="2" t="s">
        <v>96</v>
      </c>
      <c r="D2416" s="2">
        <v>516.0</v>
      </c>
    </row>
    <row r="2417">
      <c r="A2417" s="28">
        <v>45714.0</v>
      </c>
      <c r="B2417" s="29">
        <f t="shared" si="1"/>
        <v>9</v>
      </c>
      <c r="C2417" s="2" t="s">
        <v>97</v>
      </c>
      <c r="D2417" s="2">
        <v>1380.0</v>
      </c>
    </row>
    <row r="2418">
      <c r="A2418" s="28">
        <v>45714.0</v>
      </c>
      <c r="B2418" s="29">
        <f t="shared" si="1"/>
        <v>9</v>
      </c>
      <c r="C2418" s="2" t="s">
        <v>98</v>
      </c>
    </row>
    <row r="2419">
      <c r="A2419" s="28">
        <v>45714.0</v>
      </c>
      <c r="B2419" s="29">
        <f t="shared" si="1"/>
        <v>9</v>
      </c>
      <c r="C2419" s="2" t="s">
        <v>99</v>
      </c>
      <c r="D2419" s="2">
        <v>50.0</v>
      </c>
    </row>
    <row r="2420">
      <c r="A2420" s="28">
        <v>45714.0</v>
      </c>
      <c r="B2420" s="29">
        <f t="shared" si="1"/>
        <v>9</v>
      </c>
      <c r="C2420" s="2" t="s">
        <v>100</v>
      </c>
    </row>
    <row r="2421">
      <c r="A2421" s="28">
        <v>45721.0</v>
      </c>
      <c r="B2421" s="29">
        <f t="shared" si="1"/>
        <v>10</v>
      </c>
      <c r="C2421" s="2" t="s">
        <v>101</v>
      </c>
      <c r="D2421" s="2">
        <v>8722.0</v>
      </c>
    </row>
    <row r="2422">
      <c r="A2422" s="28">
        <v>45721.0</v>
      </c>
      <c r="B2422" s="29">
        <f t="shared" si="1"/>
        <v>10</v>
      </c>
      <c r="C2422" s="2" t="s">
        <v>80</v>
      </c>
      <c r="D2422" s="2">
        <v>1092.0</v>
      </c>
    </row>
    <row r="2423">
      <c r="A2423" s="28">
        <v>45721.0</v>
      </c>
      <c r="B2423" s="29">
        <f t="shared" si="1"/>
        <v>10</v>
      </c>
      <c r="C2423" s="2" t="s">
        <v>81</v>
      </c>
    </row>
    <row r="2424">
      <c r="A2424" s="28">
        <v>45721.0</v>
      </c>
      <c r="B2424" s="29">
        <f t="shared" si="1"/>
        <v>10</v>
      </c>
      <c r="C2424" s="2" t="s">
        <v>82</v>
      </c>
    </row>
    <row r="2425">
      <c r="A2425" s="28">
        <v>45721.0</v>
      </c>
      <c r="B2425" s="29">
        <f t="shared" si="1"/>
        <v>10</v>
      </c>
      <c r="C2425" s="2" t="s">
        <v>83</v>
      </c>
      <c r="D2425" s="2">
        <v>769.0</v>
      </c>
    </row>
    <row r="2426">
      <c r="A2426" s="28">
        <v>45721.0</v>
      </c>
      <c r="B2426" s="29">
        <f t="shared" si="1"/>
        <v>10</v>
      </c>
      <c r="C2426" s="2" t="s">
        <v>84</v>
      </c>
      <c r="D2426" s="2">
        <v>983.0</v>
      </c>
    </row>
    <row r="2427">
      <c r="A2427" s="28">
        <v>45721.0</v>
      </c>
      <c r="B2427" s="29">
        <f t="shared" si="1"/>
        <v>10</v>
      </c>
      <c r="C2427" s="2" t="s">
        <v>85</v>
      </c>
    </row>
    <row r="2428">
      <c r="A2428" s="28">
        <v>45721.0</v>
      </c>
      <c r="B2428" s="29">
        <f t="shared" si="1"/>
        <v>10</v>
      </c>
      <c r="C2428" s="2" t="s">
        <v>86</v>
      </c>
    </row>
    <row r="2429">
      <c r="A2429" s="28">
        <v>45721.0</v>
      </c>
      <c r="B2429" s="29">
        <f t="shared" si="1"/>
        <v>10</v>
      </c>
      <c r="C2429" s="2" t="s">
        <v>87</v>
      </c>
    </row>
    <row r="2430">
      <c r="A2430" s="28">
        <v>45721.0</v>
      </c>
      <c r="B2430" s="29">
        <f t="shared" si="1"/>
        <v>10</v>
      </c>
      <c r="C2430" s="2" t="s">
        <v>88</v>
      </c>
      <c r="D2430" s="2">
        <v>117.0</v>
      </c>
    </row>
    <row r="2431">
      <c r="A2431" s="28">
        <v>45721.0</v>
      </c>
      <c r="B2431" s="29">
        <f t="shared" si="1"/>
        <v>10</v>
      </c>
      <c r="C2431" s="2" t="s">
        <v>89</v>
      </c>
      <c r="D2431" s="2">
        <v>815.0</v>
      </c>
    </row>
    <row r="2432">
      <c r="A2432" s="28">
        <v>45721.0</v>
      </c>
      <c r="B2432" s="29">
        <f t="shared" si="1"/>
        <v>10</v>
      </c>
      <c r="C2432" s="2" t="s">
        <v>90</v>
      </c>
    </row>
    <row r="2433">
      <c r="A2433" s="28">
        <v>45721.0</v>
      </c>
      <c r="B2433" s="29">
        <f t="shared" si="1"/>
        <v>10</v>
      </c>
      <c r="C2433" s="2" t="s">
        <v>91</v>
      </c>
    </row>
    <row r="2434">
      <c r="A2434" s="28">
        <v>45721.0</v>
      </c>
      <c r="B2434" s="29">
        <f t="shared" si="1"/>
        <v>10</v>
      </c>
      <c r="C2434" s="2" t="s">
        <v>92</v>
      </c>
    </row>
    <row r="2435">
      <c r="A2435" s="28">
        <v>45721.0</v>
      </c>
      <c r="B2435" s="29">
        <f t="shared" si="1"/>
        <v>10</v>
      </c>
      <c r="C2435" s="2" t="s">
        <v>93</v>
      </c>
    </row>
    <row r="2436">
      <c r="A2436" s="28">
        <v>45721.0</v>
      </c>
      <c r="B2436" s="29">
        <f t="shared" si="1"/>
        <v>10</v>
      </c>
      <c r="C2436" s="2" t="s">
        <v>94</v>
      </c>
    </row>
    <row r="2437">
      <c r="A2437" s="28">
        <v>45721.0</v>
      </c>
      <c r="B2437" s="29">
        <f t="shared" si="1"/>
        <v>10</v>
      </c>
      <c r="C2437" s="2" t="s">
        <v>95</v>
      </c>
    </row>
    <row r="2438">
      <c r="A2438" s="28">
        <v>45721.0</v>
      </c>
      <c r="B2438" s="29">
        <f t="shared" si="1"/>
        <v>10</v>
      </c>
      <c r="C2438" s="2" t="s">
        <v>96</v>
      </c>
      <c r="D2438" s="2">
        <v>351.0</v>
      </c>
    </row>
    <row r="2439">
      <c r="A2439" s="28">
        <v>45721.0</v>
      </c>
      <c r="B2439" s="29">
        <f t="shared" si="1"/>
        <v>10</v>
      </c>
      <c r="C2439" s="2" t="s">
        <v>97</v>
      </c>
      <c r="D2439" s="2">
        <v>4795.0</v>
      </c>
    </row>
    <row r="2440">
      <c r="A2440" s="28">
        <v>45721.0</v>
      </c>
      <c r="B2440" s="29">
        <f t="shared" si="1"/>
        <v>10</v>
      </c>
      <c r="C2440" s="2" t="s">
        <v>98</v>
      </c>
    </row>
    <row r="2441">
      <c r="A2441" s="28">
        <v>45721.0</v>
      </c>
      <c r="B2441" s="29">
        <f t="shared" si="1"/>
        <v>10</v>
      </c>
      <c r="C2441" s="2" t="s">
        <v>99</v>
      </c>
      <c r="D2441" s="2">
        <v>50.0</v>
      </c>
    </row>
    <row r="2442">
      <c r="A2442" s="28">
        <v>45721.0</v>
      </c>
      <c r="B2442" s="29">
        <f t="shared" si="1"/>
        <v>10</v>
      </c>
      <c r="C2442" s="2" t="s">
        <v>100</v>
      </c>
    </row>
    <row r="2443">
      <c r="A2443" s="28">
        <v>45728.0</v>
      </c>
      <c r="B2443" s="29">
        <f t="shared" si="1"/>
        <v>11</v>
      </c>
      <c r="C2443" s="2" t="s">
        <v>101</v>
      </c>
      <c r="D2443" s="2">
        <v>9874.0</v>
      </c>
    </row>
    <row r="2444">
      <c r="A2444" s="28">
        <v>45728.0</v>
      </c>
      <c r="B2444" s="29">
        <f t="shared" si="1"/>
        <v>11</v>
      </c>
      <c r="C2444" s="2" t="s">
        <v>80</v>
      </c>
      <c r="D2444" s="2">
        <v>1301.0</v>
      </c>
    </row>
    <row r="2445">
      <c r="A2445" s="28">
        <v>45728.0</v>
      </c>
      <c r="B2445" s="29">
        <f t="shared" si="1"/>
        <v>11</v>
      </c>
      <c r="C2445" s="2" t="s">
        <v>81</v>
      </c>
    </row>
    <row r="2446">
      <c r="A2446" s="28">
        <v>45728.0</v>
      </c>
      <c r="B2446" s="29">
        <f t="shared" si="1"/>
        <v>11</v>
      </c>
      <c r="C2446" s="2" t="s">
        <v>82</v>
      </c>
    </row>
    <row r="2447">
      <c r="A2447" s="28">
        <v>45728.0</v>
      </c>
      <c r="B2447" s="29">
        <f t="shared" si="1"/>
        <v>11</v>
      </c>
      <c r="C2447" s="2" t="s">
        <v>83</v>
      </c>
      <c r="D2447" s="2">
        <v>840.0</v>
      </c>
    </row>
    <row r="2448">
      <c r="A2448" s="28">
        <v>45728.0</v>
      </c>
      <c r="B2448" s="29">
        <f t="shared" si="1"/>
        <v>11</v>
      </c>
      <c r="C2448" s="2" t="s">
        <v>84</v>
      </c>
      <c r="D2448" s="2">
        <v>1597.0</v>
      </c>
    </row>
    <row r="2449">
      <c r="A2449" s="28">
        <v>45728.0</v>
      </c>
      <c r="B2449" s="29">
        <f t="shared" si="1"/>
        <v>11</v>
      </c>
      <c r="C2449" s="2" t="s">
        <v>85</v>
      </c>
    </row>
    <row r="2450">
      <c r="A2450" s="28">
        <v>45728.0</v>
      </c>
      <c r="B2450" s="29">
        <f t="shared" si="1"/>
        <v>11</v>
      </c>
      <c r="C2450" s="2" t="s">
        <v>86</v>
      </c>
    </row>
    <row r="2451">
      <c r="A2451" s="28">
        <v>45728.0</v>
      </c>
      <c r="B2451" s="29">
        <f t="shared" si="1"/>
        <v>11</v>
      </c>
      <c r="C2451" s="2" t="s">
        <v>87</v>
      </c>
    </row>
    <row r="2452">
      <c r="A2452" s="28">
        <v>45728.0</v>
      </c>
      <c r="B2452" s="29">
        <f t="shared" si="1"/>
        <v>11</v>
      </c>
      <c r="C2452" s="2" t="s">
        <v>88</v>
      </c>
      <c r="D2452" s="2">
        <v>485.0</v>
      </c>
    </row>
    <row r="2453">
      <c r="A2453" s="28">
        <v>45728.0</v>
      </c>
      <c r="B2453" s="29">
        <f t="shared" si="1"/>
        <v>11</v>
      </c>
      <c r="C2453" s="2" t="s">
        <v>89</v>
      </c>
      <c r="D2453" s="2">
        <v>796.0</v>
      </c>
    </row>
    <row r="2454">
      <c r="A2454" s="28">
        <v>45728.0</v>
      </c>
      <c r="B2454" s="29">
        <f t="shared" si="1"/>
        <v>11</v>
      </c>
      <c r="C2454" s="2" t="s">
        <v>90</v>
      </c>
    </row>
    <row r="2455">
      <c r="A2455" s="28">
        <v>45728.0</v>
      </c>
      <c r="B2455" s="29">
        <f t="shared" si="1"/>
        <v>11</v>
      </c>
      <c r="C2455" s="2" t="s">
        <v>91</v>
      </c>
    </row>
    <row r="2456">
      <c r="A2456" s="28">
        <v>45728.0</v>
      </c>
      <c r="B2456" s="29">
        <f t="shared" si="1"/>
        <v>11</v>
      </c>
      <c r="C2456" s="2" t="s">
        <v>92</v>
      </c>
    </row>
    <row r="2457">
      <c r="A2457" s="28">
        <v>45728.0</v>
      </c>
      <c r="B2457" s="29">
        <f t="shared" si="1"/>
        <v>11</v>
      </c>
      <c r="C2457" s="2" t="s">
        <v>93</v>
      </c>
    </row>
    <row r="2458">
      <c r="A2458" s="28">
        <v>45728.0</v>
      </c>
      <c r="B2458" s="29">
        <f t="shared" si="1"/>
        <v>11</v>
      </c>
      <c r="C2458" s="2" t="s">
        <v>94</v>
      </c>
    </row>
    <row r="2459">
      <c r="A2459" s="28">
        <v>45728.0</v>
      </c>
      <c r="B2459" s="29">
        <f t="shared" si="1"/>
        <v>11</v>
      </c>
      <c r="C2459" s="2" t="s">
        <v>95</v>
      </c>
    </row>
    <row r="2460">
      <c r="A2460" s="28">
        <v>45728.0</v>
      </c>
      <c r="B2460" s="29">
        <f t="shared" si="1"/>
        <v>11</v>
      </c>
      <c r="C2460" s="2" t="s">
        <v>96</v>
      </c>
      <c r="D2460" s="2">
        <v>275.0</v>
      </c>
    </row>
    <row r="2461">
      <c r="A2461" s="28">
        <v>45728.0</v>
      </c>
      <c r="B2461" s="29">
        <f t="shared" si="1"/>
        <v>11</v>
      </c>
      <c r="C2461" s="2" t="s">
        <v>97</v>
      </c>
      <c r="D2461" s="2">
        <v>4780.0</v>
      </c>
    </row>
    <row r="2462">
      <c r="A2462" s="28">
        <v>45728.0</v>
      </c>
      <c r="B2462" s="29">
        <f t="shared" si="1"/>
        <v>11</v>
      </c>
      <c r="C2462" s="2" t="s">
        <v>98</v>
      </c>
    </row>
    <row r="2463">
      <c r="A2463" s="28">
        <v>45728.0</v>
      </c>
      <c r="B2463" s="29">
        <f t="shared" si="1"/>
        <v>11</v>
      </c>
      <c r="C2463" s="2" t="s">
        <v>99</v>
      </c>
      <c r="D2463" s="2">
        <v>50.0</v>
      </c>
    </row>
    <row r="2464">
      <c r="A2464" s="28">
        <v>45728.0</v>
      </c>
      <c r="B2464" s="29">
        <f t="shared" si="1"/>
        <v>11</v>
      </c>
      <c r="C2464" s="2" t="s">
        <v>100</v>
      </c>
    </row>
    <row r="2465">
      <c r="A2465" s="28">
        <v>45735.0</v>
      </c>
      <c r="B2465" s="29">
        <f t="shared" si="1"/>
        <v>12</v>
      </c>
      <c r="C2465" s="2" t="s">
        <v>101</v>
      </c>
      <c r="D2465" s="2">
        <v>7974.0</v>
      </c>
    </row>
    <row r="2466">
      <c r="A2466" s="28">
        <v>45735.0</v>
      </c>
      <c r="B2466" s="29">
        <f t="shared" si="1"/>
        <v>12</v>
      </c>
      <c r="C2466" s="2" t="s">
        <v>80</v>
      </c>
      <c r="D2466" s="2">
        <v>1106.0</v>
      </c>
    </row>
    <row r="2467">
      <c r="A2467" s="28">
        <v>45735.0</v>
      </c>
      <c r="B2467" s="29">
        <f t="shared" si="1"/>
        <v>12</v>
      </c>
      <c r="C2467" s="2" t="s">
        <v>81</v>
      </c>
    </row>
    <row r="2468">
      <c r="A2468" s="28">
        <v>45735.0</v>
      </c>
      <c r="B2468" s="29">
        <f t="shared" si="1"/>
        <v>12</v>
      </c>
      <c r="C2468" s="2" t="s">
        <v>82</v>
      </c>
    </row>
    <row r="2469">
      <c r="A2469" s="28">
        <v>45735.0</v>
      </c>
      <c r="B2469" s="29">
        <f t="shared" si="1"/>
        <v>12</v>
      </c>
      <c r="C2469" s="2" t="s">
        <v>83</v>
      </c>
      <c r="D2469" s="2">
        <v>1097.0</v>
      </c>
    </row>
    <row r="2470">
      <c r="A2470" s="28">
        <v>45735.0</v>
      </c>
      <c r="B2470" s="29">
        <f t="shared" si="1"/>
        <v>12</v>
      </c>
      <c r="C2470" s="2" t="s">
        <v>84</v>
      </c>
      <c r="D2470" s="2">
        <v>1270.0</v>
      </c>
    </row>
    <row r="2471">
      <c r="A2471" s="28">
        <v>45735.0</v>
      </c>
      <c r="B2471" s="29">
        <f t="shared" si="1"/>
        <v>12</v>
      </c>
      <c r="C2471" s="2" t="s">
        <v>85</v>
      </c>
    </row>
    <row r="2472">
      <c r="A2472" s="28">
        <v>45735.0</v>
      </c>
      <c r="B2472" s="29">
        <f t="shared" si="1"/>
        <v>12</v>
      </c>
      <c r="C2472" s="2" t="s">
        <v>86</v>
      </c>
    </row>
    <row r="2473">
      <c r="A2473" s="28">
        <v>45735.0</v>
      </c>
      <c r="B2473" s="29">
        <f t="shared" si="1"/>
        <v>12</v>
      </c>
      <c r="C2473" s="2" t="s">
        <v>87</v>
      </c>
    </row>
    <row r="2474">
      <c r="A2474" s="28">
        <v>45735.0</v>
      </c>
      <c r="B2474" s="29">
        <f t="shared" si="1"/>
        <v>12</v>
      </c>
      <c r="C2474" s="2" t="s">
        <v>88</v>
      </c>
      <c r="D2474" s="2">
        <v>601.0</v>
      </c>
    </row>
    <row r="2475">
      <c r="A2475" s="28">
        <v>45735.0</v>
      </c>
      <c r="B2475" s="29">
        <f t="shared" si="1"/>
        <v>12</v>
      </c>
      <c r="C2475" s="2" t="s">
        <v>89</v>
      </c>
      <c r="D2475" s="2">
        <v>882.0</v>
      </c>
    </row>
    <row r="2476">
      <c r="A2476" s="28">
        <v>45735.0</v>
      </c>
      <c r="B2476" s="29">
        <f t="shared" si="1"/>
        <v>12</v>
      </c>
      <c r="C2476" s="2" t="s">
        <v>90</v>
      </c>
    </row>
    <row r="2477">
      <c r="A2477" s="28">
        <v>45735.0</v>
      </c>
      <c r="B2477" s="29">
        <f t="shared" si="1"/>
        <v>12</v>
      </c>
      <c r="C2477" s="2" t="s">
        <v>91</v>
      </c>
    </row>
    <row r="2478">
      <c r="A2478" s="28">
        <v>45735.0</v>
      </c>
      <c r="B2478" s="29">
        <f t="shared" si="1"/>
        <v>12</v>
      </c>
      <c r="C2478" s="2" t="s">
        <v>92</v>
      </c>
    </row>
    <row r="2479">
      <c r="A2479" s="28">
        <v>45735.0</v>
      </c>
      <c r="B2479" s="29">
        <f t="shared" si="1"/>
        <v>12</v>
      </c>
      <c r="C2479" s="2" t="s">
        <v>93</v>
      </c>
    </row>
    <row r="2480">
      <c r="A2480" s="28">
        <v>45735.0</v>
      </c>
      <c r="B2480" s="29">
        <f t="shared" si="1"/>
        <v>12</v>
      </c>
      <c r="C2480" s="2" t="s">
        <v>94</v>
      </c>
    </row>
    <row r="2481">
      <c r="A2481" s="28">
        <v>45735.0</v>
      </c>
      <c r="B2481" s="29">
        <f t="shared" si="1"/>
        <v>12</v>
      </c>
      <c r="C2481" s="2" t="s">
        <v>95</v>
      </c>
    </row>
    <row r="2482">
      <c r="A2482" s="28">
        <v>45735.0</v>
      </c>
      <c r="B2482" s="29">
        <f t="shared" si="1"/>
        <v>12</v>
      </c>
      <c r="C2482" s="2" t="s">
        <v>96</v>
      </c>
      <c r="D2482" s="2">
        <v>400.0</v>
      </c>
    </row>
    <row r="2483">
      <c r="A2483" s="28">
        <v>45735.0</v>
      </c>
      <c r="B2483" s="29">
        <f t="shared" si="1"/>
        <v>12</v>
      </c>
      <c r="C2483" s="2" t="s">
        <v>97</v>
      </c>
      <c r="D2483" s="2">
        <v>2618.0</v>
      </c>
    </row>
    <row r="2484">
      <c r="A2484" s="28">
        <v>45735.0</v>
      </c>
      <c r="B2484" s="29">
        <f t="shared" si="1"/>
        <v>12</v>
      </c>
      <c r="C2484" s="2" t="s">
        <v>98</v>
      </c>
    </row>
    <row r="2485">
      <c r="A2485" s="28">
        <v>45735.0</v>
      </c>
      <c r="B2485" s="29">
        <f t="shared" si="1"/>
        <v>12</v>
      </c>
      <c r="C2485" s="2" t="s">
        <v>99</v>
      </c>
      <c r="D2485" s="2">
        <v>50.0</v>
      </c>
    </row>
    <row r="2486">
      <c r="A2486" s="28">
        <v>45735.0</v>
      </c>
      <c r="B2486" s="29">
        <f t="shared" si="1"/>
        <v>12</v>
      </c>
      <c r="C2486" s="2" t="s">
        <v>100</v>
      </c>
    </row>
    <row r="2487">
      <c r="A2487" s="28">
        <v>45743.0</v>
      </c>
      <c r="B2487" s="29">
        <f t="shared" si="1"/>
        <v>13</v>
      </c>
      <c r="C2487" s="2" t="s">
        <v>101</v>
      </c>
      <c r="D2487" s="2">
        <v>7297.0</v>
      </c>
    </row>
    <row r="2488">
      <c r="A2488" s="28">
        <v>45743.0</v>
      </c>
      <c r="B2488" s="29">
        <f t="shared" si="1"/>
        <v>13</v>
      </c>
      <c r="C2488" s="2" t="s">
        <v>80</v>
      </c>
      <c r="D2488" s="2">
        <v>1100.0</v>
      </c>
    </row>
    <row r="2489">
      <c r="A2489" s="28">
        <v>45743.0</v>
      </c>
      <c r="B2489" s="29">
        <f t="shared" si="1"/>
        <v>13</v>
      </c>
      <c r="C2489" s="2" t="s">
        <v>81</v>
      </c>
    </row>
    <row r="2490">
      <c r="A2490" s="28">
        <v>45743.0</v>
      </c>
      <c r="B2490" s="29">
        <f t="shared" si="1"/>
        <v>13</v>
      </c>
      <c r="C2490" s="2" t="s">
        <v>82</v>
      </c>
    </row>
    <row r="2491">
      <c r="A2491" s="28">
        <v>45743.0</v>
      </c>
      <c r="B2491" s="29">
        <f t="shared" si="1"/>
        <v>13</v>
      </c>
      <c r="C2491" s="2" t="s">
        <v>83</v>
      </c>
      <c r="D2491" s="2">
        <v>1503.0</v>
      </c>
    </row>
    <row r="2492">
      <c r="A2492" s="28">
        <v>45743.0</v>
      </c>
      <c r="B2492" s="29">
        <f t="shared" si="1"/>
        <v>13</v>
      </c>
      <c r="C2492" s="2" t="s">
        <v>84</v>
      </c>
      <c r="D2492" s="2">
        <v>907.0</v>
      </c>
    </row>
    <row r="2493">
      <c r="A2493" s="28">
        <v>45743.0</v>
      </c>
      <c r="B2493" s="29">
        <f t="shared" si="1"/>
        <v>13</v>
      </c>
      <c r="C2493" s="2" t="s">
        <v>85</v>
      </c>
    </row>
    <row r="2494">
      <c r="A2494" s="28">
        <v>45743.0</v>
      </c>
      <c r="B2494" s="29">
        <f t="shared" si="1"/>
        <v>13</v>
      </c>
      <c r="C2494" s="2" t="s">
        <v>86</v>
      </c>
    </row>
    <row r="2495">
      <c r="A2495" s="28">
        <v>45743.0</v>
      </c>
      <c r="B2495" s="29">
        <f t="shared" si="1"/>
        <v>13</v>
      </c>
      <c r="C2495" s="2" t="s">
        <v>87</v>
      </c>
    </row>
    <row r="2496">
      <c r="A2496" s="28">
        <v>45743.0</v>
      </c>
      <c r="B2496" s="29">
        <f t="shared" si="1"/>
        <v>13</v>
      </c>
      <c r="C2496" s="2" t="s">
        <v>88</v>
      </c>
      <c r="D2496" s="2">
        <v>649.0</v>
      </c>
    </row>
    <row r="2497">
      <c r="A2497" s="28">
        <v>45743.0</v>
      </c>
      <c r="B2497" s="29">
        <f t="shared" si="1"/>
        <v>13</v>
      </c>
      <c r="C2497" s="2" t="s">
        <v>89</v>
      </c>
      <c r="D2497" s="2">
        <v>884.0</v>
      </c>
    </row>
    <row r="2498">
      <c r="A2498" s="28">
        <v>45743.0</v>
      </c>
      <c r="B2498" s="29">
        <f t="shared" si="1"/>
        <v>13</v>
      </c>
      <c r="C2498" s="2" t="s">
        <v>90</v>
      </c>
    </row>
    <row r="2499">
      <c r="A2499" s="28">
        <v>45743.0</v>
      </c>
      <c r="B2499" s="29">
        <f t="shared" si="1"/>
        <v>13</v>
      </c>
      <c r="C2499" s="2" t="s">
        <v>91</v>
      </c>
    </row>
    <row r="2500">
      <c r="A2500" s="28">
        <v>45743.0</v>
      </c>
      <c r="B2500" s="29">
        <f t="shared" si="1"/>
        <v>13</v>
      </c>
      <c r="C2500" s="2" t="s">
        <v>92</v>
      </c>
    </row>
    <row r="2501">
      <c r="A2501" s="28">
        <v>45743.0</v>
      </c>
      <c r="B2501" s="29">
        <f t="shared" si="1"/>
        <v>13</v>
      </c>
      <c r="C2501" s="2" t="s">
        <v>93</v>
      </c>
    </row>
    <row r="2502">
      <c r="A2502" s="28">
        <v>45743.0</v>
      </c>
      <c r="B2502" s="29">
        <f t="shared" si="1"/>
        <v>13</v>
      </c>
      <c r="C2502" s="2" t="s">
        <v>94</v>
      </c>
    </row>
    <row r="2503">
      <c r="A2503" s="28">
        <v>45743.0</v>
      </c>
      <c r="B2503" s="29">
        <f t="shared" si="1"/>
        <v>13</v>
      </c>
      <c r="C2503" s="2" t="s">
        <v>95</v>
      </c>
    </row>
    <row r="2504">
      <c r="A2504" s="28">
        <v>45743.0</v>
      </c>
      <c r="B2504" s="29">
        <f t="shared" si="1"/>
        <v>13</v>
      </c>
      <c r="C2504" s="2" t="s">
        <v>96</v>
      </c>
      <c r="D2504" s="2">
        <v>256.0</v>
      </c>
    </row>
    <row r="2505">
      <c r="A2505" s="28">
        <v>45743.0</v>
      </c>
      <c r="B2505" s="29">
        <f t="shared" si="1"/>
        <v>13</v>
      </c>
      <c r="C2505" s="2" t="s">
        <v>97</v>
      </c>
      <c r="D2505" s="2">
        <v>3278.0</v>
      </c>
    </row>
    <row r="2506">
      <c r="A2506" s="28">
        <v>45743.0</v>
      </c>
      <c r="B2506" s="29">
        <f t="shared" si="1"/>
        <v>13</v>
      </c>
      <c r="C2506" s="2" t="s">
        <v>98</v>
      </c>
    </row>
    <row r="2507">
      <c r="A2507" s="28">
        <v>45743.0</v>
      </c>
      <c r="B2507" s="29">
        <f t="shared" si="1"/>
        <v>13</v>
      </c>
      <c r="C2507" s="2" t="s">
        <v>99</v>
      </c>
      <c r="D2507" s="2">
        <v>50.0</v>
      </c>
    </row>
    <row r="2508">
      <c r="A2508" s="28">
        <v>45743.0</v>
      </c>
      <c r="B2508" s="29">
        <f t="shared" si="1"/>
        <v>13</v>
      </c>
      <c r="C2508" s="2" t="s">
        <v>100</v>
      </c>
    </row>
    <row r="2509">
      <c r="A2509" s="28">
        <v>45749.0</v>
      </c>
      <c r="B2509" s="29">
        <f t="shared" si="1"/>
        <v>14</v>
      </c>
      <c r="C2509" s="2" t="s">
        <v>101</v>
      </c>
      <c r="D2509" s="2">
        <v>12057.0</v>
      </c>
    </row>
    <row r="2510">
      <c r="A2510" s="28">
        <v>45749.0</v>
      </c>
      <c r="B2510" s="29">
        <f t="shared" si="1"/>
        <v>14</v>
      </c>
      <c r="C2510" s="2" t="s">
        <v>80</v>
      </c>
      <c r="D2510" s="2">
        <v>850.0</v>
      </c>
    </row>
    <row r="2511">
      <c r="A2511" s="28">
        <v>45749.0</v>
      </c>
      <c r="B2511" s="29">
        <f t="shared" si="1"/>
        <v>14</v>
      </c>
      <c r="C2511" s="2" t="s">
        <v>81</v>
      </c>
    </row>
    <row r="2512">
      <c r="A2512" s="28">
        <v>45749.0</v>
      </c>
      <c r="B2512" s="29">
        <f t="shared" si="1"/>
        <v>14</v>
      </c>
      <c r="C2512" s="2" t="s">
        <v>82</v>
      </c>
    </row>
    <row r="2513">
      <c r="A2513" s="28">
        <v>45749.0</v>
      </c>
      <c r="B2513" s="29">
        <f t="shared" si="1"/>
        <v>14</v>
      </c>
      <c r="C2513" s="2" t="s">
        <v>83</v>
      </c>
      <c r="D2513" s="2">
        <v>2053.0</v>
      </c>
    </row>
    <row r="2514">
      <c r="A2514" s="28">
        <v>45749.0</v>
      </c>
      <c r="B2514" s="29">
        <f t="shared" si="1"/>
        <v>14</v>
      </c>
      <c r="C2514" s="2" t="s">
        <v>84</v>
      </c>
      <c r="D2514" s="2">
        <v>878.0</v>
      </c>
    </row>
    <row r="2515">
      <c r="A2515" s="28">
        <v>45749.0</v>
      </c>
      <c r="B2515" s="29">
        <f t="shared" si="1"/>
        <v>14</v>
      </c>
      <c r="C2515" s="2" t="s">
        <v>85</v>
      </c>
    </row>
    <row r="2516">
      <c r="A2516" s="28">
        <v>45749.0</v>
      </c>
      <c r="B2516" s="29">
        <f t="shared" si="1"/>
        <v>14</v>
      </c>
      <c r="C2516" s="2" t="s">
        <v>86</v>
      </c>
    </row>
    <row r="2517">
      <c r="A2517" s="28">
        <v>45749.0</v>
      </c>
      <c r="B2517" s="29">
        <f t="shared" si="1"/>
        <v>14</v>
      </c>
      <c r="C2517" s="2" t="s">
        <v>87</v>
      </c>
    </row>
    <row r="2518">
      <c r="A2518" s="28">
        <v>45749.0</v>
      </c>
      <c r="B2518" s="29">
        <f t="shared" si="1"/>
        <v>14</v>
      </c>
      <c r="C2518" s="2" t="s">
        <v>88</v>
      </c>
      <c r="D2518" s="2">
        <v>839.0</v>
      </c>
    </row>
    <row r="2519">
      <c r="A2519" s="28">
        <v>45749.0</v>
      </c>
      <c r="B2519" s="29">
        <f t="shared" si="1"/>
        <v>14</v>
      </c>
      <c r="C2519" s="2" t="s">
        <v>89</v>
      </c>
      <c r="D2519" s="2">
        <v>1647.0</v>
      </c>
    </row>
    <row r="2520">
      <c r="A2520" s="28">
        <v>45749.0</v>
      </c>
      <c r="B2520" s="29">
        <f t="shared" si="1"/>
        <v>14</v>
      </c>
      <c r="C2520" s="2" t="s">
        <v>90</v>
      </c>
    </row>
    <row r="2521">
      <c r="A2521" s="28">
        <v>45749.0</v>
      </c>
      <c r="B2521" s="29">
        <f t="shared" si="1"/>
        <v>14</v>
      </c>
      <c r="C2521" s="2" t="s">
        <v>91</v>
      </c>
    </row>
    <row r="2522">
      <c r="A2522" s="28">
        <v>45749.0</v>
      </c>
      <c r="B2522" s="29">
        <f t="shared" si="1"/>
        <v>14</v>
      </c>
      <c r="C2522" s="2" t="s">
        <v>92</v>
      </c>
    </row>
    <row r="2523">
      <c r="A2523" s="28">
        <v>45749.0</v>
      </c>
      <c r="B2523" s="29">
        <f t="shared" si="1"/>
        <v>14</v>
      </c>
      <c r="C2523" s="2" t="s">
        <v>93</v>
      </c>
    </row>
    <row r="2524">
      <c r="A2524" s="28">
        <v>45749.0</v>
      </c>
      <c r="B2524" s="29">
        <f t="shared" si="1"/>
        <v>14</v>
      </c>
      <c r="C2524" s="2" t="s">
        <v>94</v>
      </c>
    </row>
    <row r="2525">
      <c r="A2525" s="28">
        <v>45749.0</v>
      </c>
      <c r="B2525" s="29">
        <f t="shared" si="1"/>
        <v>14</v>
      </c>
      <c r="C2525" s="2" t="s">
        <v>95</v>
      </c>
    </row>
    <row r="2526">
      <c r="A2526" s="28">
        <v>45749.0</v>
      </c>
      <c r="B2526" s="29">
        <f t="shared" si="1"/>
        <v>14</v>
      </c>
      <c r="C2526" s="2" t="s">
        <v>96</v>
      </c>
      <c r="D2526" s="2">
        <v>272.0</v>
      </c>
    </row>
    <row r="2527">
      <c r="A2527" s="28">
        <v>45749.0</v>
      </c>
      <c r="B2527" s="29">
        <f t="shared" si="1"/>
        <v>14</v>
      </c>
      <c r="C2527" s="2" t="s">
        <v>97</v>
      </c>
      <c r="D2527" s="2">
        <v>5518.0</v>
      </c>
    </row>
    <row r="2528">
      <c r="A2528" s="28">
        <v>45749.0</v>
      </c>
      <c r="B2528" s="29">
        <f t="shared" si="1"/>
        <v>14</v>
      </c>
      <c r="C2528" s="2" t="s">
        <v>98</v>
      </c>
    </row>
    <row r="2529">
      <c r="A2529" s="28">
        <v>45749.0</v>
      </c>
      <c r="B2529" s="29">
        <f t="shared" si="1"/>
        <v>14</v>
      </c>
      <c r="C2529" s="2" t="s">
        <v>99</v>
      </c>
      <c r="D2529" s="2">
        <v>50.0</v>
      </c>
    </row>
    <row r="2530">
      <c r="A2530" s="28">
        <v>45749.0</v>
      </c>
      <c r="B2530" s="29">
        <f t="shared" si="1"/>
        <v>14</v>
      </c>
      <c r="C2530" s="2" t="s">
        <v>100</v>
      </c>
    </row>
    <row r="2531">
      <c r="A2531" s="28">
        <v>45756.0</v>
      </c>
      <c r="B2531" s="29">
        <f t="shared" si="1"/>
        <v>15</v>
      </c>
      <c r="C2531" s="2" t="s">
        <v>101</v>
      </c>
      <c r="D2531" s="2">
        <v>4114.0</v>
      </c>
    </row>
    <row r="2532">
      <c r="A2532" s="28">
        <v>45756.0</v>
      </c>
      <c r="B2532" s="29">
        <f t="shared" si="1"/>
        <v>15</v>
      </c>
      <c r="C2532" s="2" t="s">
        <v>80</v>
      </c>
      <c r="D2532" s="2">
        <v>628.0</v>
      </c>
    </row>
    <row r="2533">
      <c r="A2533" s="28">
        <v>45756.0</v>
      </c>
      <c r="B2533" s="29">
        <f t="shared" si="1"/>
        <v>15</v>
      </c>
      <c r="C2533" s="2" t="s">
        <v>81</v>
      </c>
    </row>
    <row r="2534">
      <c r="A2534" s="28">
        <v>45756.0</v>
      </c>
      <c r="B2534" s="29">
        <f t="shared" si="1"/>
        <v>15</v>
      </c>
      <c r="C2534" s="2" t="s">
        <v>82</v>
      </c>
    </row>
    <row r="2535">
      <c r="A2535" s="28">
        <v>45756.0</v>
      </c>
      <c r="B2535" s="29">
        <f t="shared" si="1"/>
        <v>15</v>
      </c>
      <c r="C2535" s="2" t="s">
        <v>83</v>
      </c>
      <c r="D2535" s="2">
        <v>1226.0</v>
      </c>
    </row>
    <row r="2536">
      <c r="A2536" s="28">
        <v>45756.0</v>
      </c>
      <c r="B2536" s="29">
        <f t="shared" si="1"/>
        <v>15</v>
      </c>
      <c r="C2536" s="2" t="s">
        <v>84</v>
      </c>
      <c r="D2536" s="2">
        <v>950.0</v>
      </c>
    </row>
    <row r="2537">
      <c r="A2537" s="28">
        <v>45756.0</v>
      </c>
      <c r="B2537" s="29">
        <f t="shared" si="1"/>
        <v>15</v>
      </c>
      <c r="C2537" s="2" t="s">
        <v>85</v>
      </c>
    </row>
    <row r="2538">
      <c r="A2538" s="28">
        <v>45756.0</v>
      </c>
      <c r="B2538" s="29">
        <f t="shared" si="1"/>
        <v>15</v>
      </c>
      <c r="C2538" s="2" t="s">
        <v>86</v>
      </c>
    </row>
    <row r="2539">
      <c r="A2539" s="28">
        <v>45756.0</v>
      </c>
      <c r="B2539" s="29">
        <f t="shared" si="1"/>
        <v>15</v>
      </c>
      <c r="C2539" s="2" t="s">
        <v>87</v>
      </c>
    </row>
    <row r="2540">
      <c r="A2540" s="28">
        <v>45756.0</v>
      </c>
      <c r="B2540" s="29">
        <f t="shared" si="1"/>
        <v>15</v>
      </c>
      <c r="C2540" s="2" t="s">
        <v>88</v>
      </c>
      <c r="D2540" s="2">
        <v>418.0</v>
      </c>
    </row>
    <row r="2541">
      <c r="A2541" s="28">
        <v>45756.0</v>
      </c>
      <c r="B2541" s="29">
        <f t="shared" si="1"/>
        <v>15</v>
      </c>
      <c r="C2541" s="2" t="s">
        <v>89</v>
      </c>
      <c r="D2541" s="2">
        <v>514.0</v>
      </c>
    </row>
    <row r="2542">
      <c r="A2542" s="28">
        <v>45756.0</v>
      </c>
      <c r="B2542" s="29">
        <f t="shared" si="1"/>
        <v>15</v>
      </c>
      <c r="C2542" s="2" t="s">
        <v>90</v>
      </c>
    </row>
    <row r="2543">
      <c r="A2543" s="28">
        <v>45756.0</v>
      </c>
      <c r="B2543" s="29">
        <f t="shared" si="1"/>
        <v>15</v>
      </c>
      <c r="C2543" s="2" t="s">
        <v>91</v>
      </c>
    </row>
    <row r="2544">
      <c r="A2544" s="28">
        <v>45756.0</v>
      </c>
      <c r="B2544" s="29">
        <f t="shared" si="1"/>
        <v>15</v>
      </c>
      <c r="C2544" s="2" t="s">
        <v>92</v>
      </c>
    </row>
    <row r="2545">
      <c r="A2545" s="28">
        <v>45756.0</v>
      </c>
      <c r="B2545" s="29">
        <f t="shared" si="1"/>
        <v>15</v>
      </c>
      <c r="C2545" s="2" t="s">
        <v>93</v>
      </c>
    </row>
    <row r="2546">
      <c r="A2546" s="28">
        <v>45756.0</v>
      </c>
      <c r="B2546" s="29">
        <f t="shared" si="1"/>
        <v>15</v>
      </c>
      <c r="C2546" s="2" t="s">
        <v>94</v>
      </c>
    </row>
    <row r="2547">
      <c r="A2547" s="28">
        <v>45756.0</v>
      </c>
      <c r="B2547" s="29">
        <f t="shared" si="1"/>
        <v>15</v>
      </c>
      <c r="C2547" s="2" t="s">
        <v>95</v>
      </c>
    </row>
    <row r="2548">
      <c r="A2548" s="28">
        <v>45756.0</v>
      </c>
      <c r="B2548" s="29">
        <f t="shared" si="1"/>
        <v>15</v>
      </c>
      <c r="C2548" s="2" t="s">
        <v>96</v>
      </c>
      <c r="D2548" s="2">
        <v>225.0</v>
      </c>
    </row>
    <row r="2549">
      <c r="A2549" s="28">
        <v>45756.0</v>
      </c>
      <c r="B2549" s="29">
        <f t="shared" si="1"/>
        <v>15</v>
      </c>
      <c r="C2549" s="2" t="s">
        <v>97</v>
      </c>
      <c r="D2549" s="2">
        <v>153.0</v>
      </c>
    </row>
    <row r="2550">
      <c r="A2550" s="28">
        <v>45756.0</v>
      </c>
      <c r="B2550" s="29">
        <f t="shared" si="1"/>
        <v>15</v>
      </c>
      <c r="C2550" s="2" t="s">
        <v>98</v>
      </c>
    </row>
    <row r="2551">
      <c r="A2551" s="28">
        <v>45756.0</v>
      </c>
      <c r="B2551" s="29">
        <f t="shared" si="1"/>
        <v>15</v>
      </c>
      <c r="C2551" s="2" t="s">
        <v>99</v>
      </c>
    </row>
    <row r="2552">
      <c r="A2552" s="28">
        <v>45756.0</v>
      </c>
      <c r="B2552" s="29">
        <f t="shared" si="1"/>
        <v>15</v>
      </c>
      <c r="C2552" s="2" t="s">
        <v>100</v>
      </c>
      <c r="D2552" s="2" t="s">
        <v>113</v>
      </c>
    </row>
    <row r="2553">
      <c r="A2553" s="28">
        <v>45763.0</v>
      </c>
      <c r="B2553" s="29">
        <f t="shared" si="1"/>
        <v>16</v>
      </c>
      <c r="C2553" s="2" t="s">
        <v>101</v>
      </c>
      <c r="D2553" s="2">
        <v>8640.0</v>
      </c>
    </row>
    <row r="2554">
      <c r="A2554" s="28">
        <v>45763.0</v>
      </c>
      <c r="B2554" s="29">
        <f t="shared" si="1"/>
        <v>16</v>
      </c>
      <c r="C2554" s="2" t="s">
        <v>80</v>
      </c>
      <c r="D2554" s="2">
        <v>1556.0</v>
      </c>
    </row>
    <row r="2555">
      <c r="A2555" s="28">
        <v>45763.0</v>
      </c>
      <c r="B2555" s="29">
        <f t="shared" si="1"/>
        <v>16</v>
      </c>
      <c r="C2555" s="2" t="s">
        <v>81</v>
      </c>
    </row>
    <row r="2556">
      <c r="A2556" s="28">
        <v>45763.0</v>
      </c>
      <c r="B2556" s="29">
        <f t="shared" si="1"/>
        <v>16</v>
      </c>
      <c r="C2556" s="2" t="s">
        <v>82</v>
      </c>
    </row>
    <row r="2557">
      <c r="A2557" s="28">
        <v>45763.0</v>
      </c>
      <c r="B2557" s="29">
        <f t="shared" si="1"/>
        <v>16</v>
      </c>
      <c r="C2557" s="2" t="s">
        <v>83</v>
      </c>
      <c r="D2557" s="2">
        <v>2103.0</v>
      </c>
    </row>
    <row r="2558">
      <c r="A2558" s="28">
        <v>45763.0</v>
      </c>
      <c r="B2558" s="29">
        <f t="shared" si="1"/>
        <v>16</v>
      </c>
      <c r="C2558" s="2" t="s">
        <v>84</v>
      </c>
      <c r="D2558" s="2">
        <v>993.0</v>
      </c>
    </row>
    <row r="2559">
      <c r="A2559" s="28">
        <v>45763.0</v>
      </c>
      <c r="B2559" s="29">
        <f t="shared" si="1"/>
        <v>16</v>
      </c>
      <c r="C2559" s="2" t="s">
        <v>85</v>
      </c>
    </row>
    <row r="2560">
      <c r="A2560" s="28">
        <v>45763.0</v>
      </c>
      <c r="B2560" s="29">
        <f t="shared" si="1"/>
        <v>16</v>
      </c>
      <c r="C2560" s="2" t="s">
        <v>86</v>
      </c>
    </row>
    <row r="2561">
      <c r="A2561" s="28">
        <v>45763.0</v>
      </c>
      <c r="B2561" s="29">
        <f t="shared" si="1"/>
        <v>16</v>
      </c>
      <c r="C2561" s="2" t="s">
        <v>87</v>
      </c>
    </row>
    <row r="2562">
      <c r="A2562" s="28">
        <v>45763.0</v>
      </c>
      <c r="B2562" s="29">
        <f t="shared" si="1"/>
        <v>16</v>
      </c>
      <c r="C2562" s="2" t="s">
        <v>88</v>
      </c>
      <c r="D2562" s="2">
        <v>1123.0</v>
      </c>
    </row>
    <row r="2563">
      <c r="A2563" s="28">
        <v>45763.0</v>
      </c>
      <c r="B2563" s="29">
        <f t="shared" si="1"/>
        <v>16</v>
      </c>
      <c r="C2563" s="2" t="s">
        <v>89</v>
      </c>
      <c r="D2563" s="2">
        <v>1240.0</v>
      </c>
    </row>
    <row r="2564">
      <c r="A2564" s="28">
        <v>45763.0</v>
      </c>
      <c r="B2564" s="29">
        <f t="shared" si="1"/>
        <v>16</v>
      </c>
      <c r="C2564" s="2" t="s">
        <v>90</v>
      </c>
    </row>
    <row r="2565">
      <c r="A2565" s="28">
        <v>45763.0</v>
      </c>
      <c r="B2565" s="29">
        <f t="shared" si="1"/>
        <v>16</v>
      </c>
      <c r="C2565" s="2" t="s">
        <v>91</v>
      </c>
    </row>
    <row r="2566">
      <c r="A2566" s="28">
        <v>45763.0</v>
      </c>
      <c r="B2566" s="29">
        <f t="shared" si="1"/>
        <v>16</v>
      </c>
      <c r="C2566" s="2" t="s">
        <v>92</v>
      </c>
    </row>
    <row r="2567">
      <c r="A2567" s="28">
        <v>45763.0</v>
      </c>
      <c r="B2567" s="29">
        <f t="shared" si="1"/>
        <v>16</v>
      </c>
      <c r="C2567" s="2" t="s">
        <v>93</v>
      </c>
    </row>
    <row r="2568">
      <c r="A2568" s="28">
        <v>45763.0</v>
      </c>
      <c r="B2568" s="29">
        <f t="shared" si="1"/>
        <v>16</v>
      </c>
      <c r="C2568" s="2" t="s">
        <v>94</v>
      </c>
    </row>
    <row r="2569">
      <c r="A2569" s="28">
        <v>45763.0</v>
      </c>
      <c r="B2569" s="29">
        <f t="shared" si="1"/>
        <v>16</v>
      </c>
      <c r="C2569" s="2" t="s">
        <v>95</v>
      </c>
    </row>
    <row r="2570">
      <c r="A2570" s="28">
        <v>45763.0</v>
      </c>
      <c r="B2570" s="29">
        <f t="shared" si="1"/>
        <v>16</v>
      </c>
      <c r="C2570" s="2" t="s">
        <v>96</v>
      </c>
      <c r="D2570" s="2">
        <v>175.0</v>
      </c>
    </row>
    <row r="2571">
      <c r="A2571" s="28">
        <v>45763.0</v>
      </c>
      <c r="B2571" s="29">
        <f t="shared" si="1"/>
        <v>16</v>
      </c>
      <c r="C2571" s="2" t="s">
        <v>97</v>
      </c>
      <c r="D2571" s="2">
        <v>1450.0</v>
      </c>
    </row>
    <row r="2572">
      <c r="A2572" s="28">
        <v>45763.0</v>
      </c>
      <c r="B2572" s="29">
        <f t="shared" si="1"/>
        <v>16</v>
      </c>
      <c r="C2572" s="2" t="s">
        <v>98</v>
      </c>
    </row>
    <row r="2573">
      <c r="A2573" s="28">
        <v>45763.0</v>
      </c>
      <c r="B2573" s="29">
        <f t="shared" si="1"/>
        <v>16</v>
      </c>
      <c r="C2573" s="2" t="s">
        <v>99</v>
      </c>
      <c r="D2573" s="2">
        <v>50.0</v>
      </c>
    </row>
    <row r="2574">
      <c r="A2574" s="28">
        <v>45763.0</v>
      </c>
      <c r="B2574" s="29">
        <f t="shared" si="1"/>
        <v>16</v>
      </c>
      <c r="C2574" s="2" t="s">
        <v>100</v>
      </c>
    </row>
    <row r="2575">
      <c r="A2575" s="28">
        <v>45405.0</v>
      </c>
      <c r="B2575" s="29">
        <f t="shared" si="1"/>
        <v>17</v>
      </c>
      <c r="C2575" s="2" t="s">
        <v>101</v>
      </c>
      <c r="D2575" s="2">
        <v>10850.0</v>
      </c>
    </row>
    <row r="2576">
      <c r="A2576" s="28">
        <v>45405.0</v>
      </c>
      <c r="B2576" s="29">
        <f t="shared" si="1"/>
        <v>17</v>
      </c>
      <c r="C2576" s="2" t="s">
        <v>80</v>
      </c>
      <c r="D2576" s="2">
        <v>2244.0</v>
      </c>
    </row>
    <row r="2577">
      <c r="A2577" s="28">
        <v>45405.0</v>
      </c>
      <c r="B2577" s="29">
        <f t="shared" si="1"/>
        <v>17</v>
      </c>
      <c r="C2577" s="2" t="s">
        <v>81</v>
      </c>
    </row>
    <row r="2578">
      <c r="A2578" s="28">
        <v>45405.0</v>
      </c>
      <c r="B2578" s="29">
        <f t="shared" si="1"/>
        <v>17</v>
      </c>
      <c r="C2578" s="2" t="s">
        <v>82</v>
      </c>
    </row>
    <row r="2579">
      <c r="A2579" s="28">
        <v>45405.0</v>
      </c>
      <c r="B2579" s="29">
        <f t="shared" si="1"/>
        <v>17</v>
      </c>
      <c r="C2579" s="2" t="s">
        <v>83</v>
      </c>
      <c r="D2579" s="2">
        <v>2223.0</v>
      </c>
    </row>
    <row r="2580">
      <c r="A2580" s="28">
        <v>45405.0</v>
      </c>
      <c r="B2580" s="29">
        <f t="shared" si="1"/>
        <v>17</v>
      </c>
      <c r="C2580" s="2" t="s">
        <v>84</v>
      </c>
      <c r="D2580" s="2">
        <v>1122.0</v>
      </c>
    </row>
    <row r="2581">
      <c r="A2581" s="28">
        <v>45405.0</v>
      </c>
      <c r="B2581" s="29">
        <f t="shared" si="1"/>
        <v>17</v>
      </c>
      <c r="C2581" s="2" t="s">
        <v>85</v>
      </c>
    </row>
    <row r="2582">
      <c r="A2582" s="28">
        <v>45405.0</v>
      </c>
      <c r="B2582" s="29">
        <f t="shared" si="1"/>
        <v>17</v>
      </c>
      <c r="C2582" s="2" t="s">
        <v>86</v>
      </c>
    </row>
    <row r="2583">
      <c r="A2583" s="28">
        <v>45405.0</v>
      </c>
      <c r="B2583" s="29">
        <f t="shared" si="1"/>
        <v>17</v>
      </c>
      <c r="C2583" s="2" t="s">
        <v>87</v>
      </c>
    </row>
    <row r="2584">
      <c r="A2584" s="28">
        <v>45405.0</v>
      </c>
      <c r="B2584" s="29">
        <f t="shared" si="1"/>
        <v>17</v>
      </c>
      <c r="C2584" s="2" t="s">
        <v>88</v>
      </c>
      <c r="D2584" s="2">
        <v>527.0</v>
      </c>
    </row>
    <row r="2585">
      <c r="A2585" s="28">
        <v>45405.0</v>
      </c>
      <c r="B2585" s="29">
        <f t="shared" si="1"/>
        <v>17</v>
      </c>
      <c r="C2585" s="2" t="s">
        <v>89</v>
      </c>
      <c r="D2585" s="2">
        <v>1344.0</v>
      </c>
    </row>
    <row r="2586">
      <c r="A2586" s="28">
        <v>45405.0</v>
      </c>
      <c r="B2586" s="29">
        <f t="shared" si="1"/>
        <v>17</v>
      </c>
      <c r="C2586" s="2" t="s">
        <v>90</v>
      </c>
    </row>
    <row r="2587">
      <c r="A2587" s="28">
        <v>45405.0</v>
      </c>
      <c r="B2587" s="29">
        <f t="shared" si="1"/>
        <v>17</v>
      </c>
      <c r="C2587" s="2" t="s">
        <v>91</v>
      </c>
    </row>
    <row r="2588">
      <c r="A2588" s="28">
        <v>45405.0</v>
      </c>
      <c r="B2588" s="29">
        <f t="shared" si="1"/>
        <v>17</v>
      </c>
      <c r="C2588" s="2" t="s">
        <v>92</v>
      </c>
    </row>
    <row r="2589">
      <c r="A2589" s="28">
        <v>45405.0</v>
      </c>
      <c r="B2589" s="29">
        <f t="shared" si="1"/>
        <v>17</v>
      </c>
      <c r="C2589" s="2" t="s">
        <v>93</v>
      </c>
    </row>
    <row r="2590">
      <c r="A2590" s="28">
        <v>45405.0</v>
      </c>
      <c r="B2590" s="29">
        <f t="shared" si="1"/>
        <v>17</v>
      </c>
      <c r="C2590" s="2" t="s">
        <v>94</v>
      </c>
    </row>
    <row r="2591">
      <c r="A2591" s="28">
        <v>45405.0</v>
      </c>
      <c r="B2591" s="29">
        <f t="shared" si="1"/>
        <v>17</v>
      </c>
      <c r="C2591" s="2" t="s">
        <v>95</v>
      </c>
    </row>
    <row r="2592">
      <c r="A2592" s="28">
        <v>45405.0</v>
      </c>
      <c r="B2592" s="29">
        <f t="shared" si="1"/>
        <v>17</v>
      </c>
      <c r="C2592" s="2" t="s">
        <v>96</v>
      </c>
      <c r="D2592" s="2">
        <v>350.0</v>
      </c>
    </row>
    <row r="2593">
      <c r="A2593" s="28">
        <v>45405.0</v>
      </c>
      <c r="B2593" s="29">
        <f t="shared" si="1"/>
        <v>17</v>
      </c>
      <c r="C2593" s="2" t="s">
        <v>97</v>
      </c>
      <c r="D2593" s="2">
        <v>3040.0</v>
      </c>
    </row>
    <row r="2594">
      <c r="A2594" s="28">
        <v>45405.0</v>
      </c>
      <c r="B2594" s="29">
        <f t="shared" si="1"/>
        <v>17</v>
      </c>
      <c r="C2594" s="2" t="s">
        <v>98</v>
      </c>
    </row>
    <row r="2595">
      <c r="A2595" s="28">
        <v>45405.0</v>
      </c>
      <c r="B2595" s="29">
        <f t="shared" si="1"/>
        <v>17</v>
      </c>
      <c r="C2595" s="2" t="s">
        <v>99</v>
      </c>
      <c r="D2595" s="2">
        <v>50.0</v>
      </c>
    </row>
    <row r="2596">
      <c r="A2596" s="28">
        <v>45405.0</v>
      </c>
      <c r="B2596" s="29">
        <f t="shared" si="1"/>
        <v>17</v>
      </c>
      <c r="C2596" s="2" t="s">
        <v>100</v>
      </c>
    </row>
    <row r="2597">
      <c r="A2597" s="28">
        <v>45777.0</v>
      </c>
      <c r="B2597" s="29">
        <f t="shared" si="1"/>
        <v>18</v>
      </c>
      <c r="C2597" s="2" t="s">
        <v>101</v>
      </c>
      <c r="D2597" s="2">
        <v>7955.0</v>
      </c>
    </row>
    <row r="2598">
      <c r="A2598" s="28">
        <v>45777.0</v>
      </c>
      <c r="B2598" s="29">
        <f t="shared" si="1"/>
        <v>18</v>
      </c>
      <c r="C2598" s="2" t="s">
        <v>80</v>
      </c>
      <c r="D2598" s="2">
        <v>618.0</v>
      </c>
    </row>
    <row r="2599">
      <c r="A2599" s="28">
        <v>45777.0</v>
      </c>
      <c r="B2599" s="29">
        <f t="shared" si="1"/>
        <v>18</v>
      </c>
      <c r="C2599" s="2" t="s">
        <v>81</v>
      </c>
    </row>
    <row r="2600">
      <c r="A2600" s="28">
        <v>45777.0</v>
      </c>
      <c r="B2600" s="29">
        <f t="shared" si="1"/>
        <v>18</v>
      </c>
      <c r="C2600" s="2" t="s">
        <v>82</v>
      </c>
    </row>
    <row r="2601">
      <c r="A2601" s="28">
        <v>45777.0</v>
      </c>
      <c r="B2601" s="29">
        <f t="shared" si="1"/>
        <v>18</v>
      </c>
      <c r="C2601" s="2" t="s">
        <v>83</v>
      </c>
      <c r="D2601" s="2">
        <v>2032.0</v>
      </c>
    </row>
    <row r="2602">
      <c r="A2602" s="28">
        <v>45777.0</v>
      </c>
      <c r="B2602" s="29">
        <f t="shared" si="1"/>
        <v>18</v>
      </c>
      <c r="C2602" s="2" t="s">
        <v>84</v>
      </c>
      <c r="D2602" s="2">
        <v>915.0</v>
      </c>
    </row>
    <row r="2603">
      <c r="A2603" s="28">
        <v>45777.0</v>
      </c>
      <c r="B2603" s="29">
        <f t="shared" si="1"/>
        <v>18</v>
      </c>
      <c r="C2603" s="2" t="s">
        <v>85</v>
      </c>
    </row>
    <row r="2604">
      <c r="A2604" s="28">
        <v>45777.0</v>
      </c>
      <c r="B2604" s="29">
        <f t="shared" si="1"/>
        <v>18</v>
      </c>
      <c r="C2604" s="2" t="s">
        <v>86</v>
      </c>
    </row>
    <row r="2605">
      <c r="A2605" s="28">
        <v>45777.0</v>
      </c>
      <c r="B2605" s="29">
        <f t="shared" si="1"/>
        <v>18</v>
      </c>
      <c r="C2605" s="2" t="s">
        <v>87</v>
      </c>
    </row>
    <row r="2606">
      <c r="A2606" s="28">
        <v>45777.0</v>
      </c>
      <c r="B2606" s="29">
        <f t="shared" si="1"/>
        <v>18</v>
      </c>
      <c r="C2606" s="2" t="s">
        <v>88</v>
      </c>
      <c r="D2606" s="2">
        <v>744.0</v>
      </c>
    </row>
    <row r="2607">
      <c r="A2607" s="28">
        <v>45777.0</v>
      </c>
      <c r="B2607" s="29">
        <f t="shared" si="1"/>
        <v>18</v>
      </c>
      <c r="C2607" s="2" t="s">
        <v>89</v>
      </c>
      <c r="D2607" s="2">
        <v>1198.0</v>
      </c>
    </row>
    <row r="2608">
      <c r="A2608" s="28">
        <v>45777.0</v>
      </c>
      <c r="B2608" s="29">
        <f t="shared" si="1"/>
        <v>18</v>
      </c>
      <c r="C2608" s="2" t="s">
        <v>90</v>
      </c>
    </row>
    <row r="2609">
      <c r="A2609" s="28">
        <v>45777.0</v>
      </c>
      <c r="B2609" s="29">
        <f t="shared" si="1"/>
        <v>18</v>
      </c>
      <c r="C2609" s="2" t="s">
        <v>91</v>
      </c>
    </row>
    <row r="2610">
      <c r="A2610" s="28">
        <v>45777.0</v>
      </c>
      <c r="B2610" s="29">
        <f t="shared" si="1"/>
        <v>18</v>
      </c>
      <c r="C2610" s="2" t="s">
        <v>92</v>
      </c>
    </row>
    <row r="2611">
      <c r="A2611" s="28">
        <v>45777.0</v>
      </c>
      <c r="B2611" s="29">
        <f t="shared" si="1"/>
        <v>18</v>
      </c>
      <c r="C2611" s="2" t="s">
        <v>93</v>
      </c>
    </row>
    <row r="2612">
      <c r="A2612" s="28">
        <v>45777.0</v>
      </c>
      <c r="B2612" s="29">
        <f t="shared" si="1"/>
        <v>18</v>
      </c>
      <c r="C2612" s="2" t="s">
        <v>94</v>
      </c>
    </row>
    <row r="2613">
      <c r="A2613" s="28">
        <v>45777.0</v>
      </c>
      <c r="B2613" s="29">
        <f t="shared" si="1"/>
        <v>18</v>
      </c>
      <c r="C2613" s="2" t="s">
        <v>95</v>
      </c>
    </row>
    <row r="2614">
      <c r="A2614" s="28">
        <v>45777.0</v>
      </c>
      <c r="B2614" s="29">
        <f t="shared" si="1"/>
        <v>18</v>
      </c>
      <c r="C2614" s="2" t="s">
        <v>96</v>
      </c>
      <c r="D2614" s="2">
        <v>398.0</v>
      </c>
    </row>
    <row r="2615">
      <c r="A2615" s="28">
        <v>45777.0</v>
      </c>
      <c r="B2615" s="29">
        <f t="shared" si="1"/>
        <v>18</v>
      </c>
      <c r="C2615" s="2" t="s">
        <v>97</v>
      </c>
      <c r="D2615" s="2">
        <v>2050.0</v>
      </c>
    </row>
    <row r="2616">
      <c r="A2616" s="28">
        <v>45777.0</v>
      </c>
      <c r="B2616" s="29">
        <f t="shared" si="1"/>
        <v>18</v>
      </c>
      <c r="C2616" s="2" t="s">
        <v>98</v>
      </c>
    </row>
    <row r="2617">
      <c r="A2617" s="28">
        <v>45777.0</v>
      </c>
      <c r="B2617" s="29">
        <f t="shared" si="1"/>
        <v>18</v>
      </c>
      <c r="C2617" s="2" t="s">
        <v>99</v>
      </c>
      <c r="D2617" s="2">
        <v>50.0</v>
      </c>
    </row>
    <row r="2618">
      <c r="A2618" s="28">
        <v>45777.0</v>
      </c>
      <c r="B2618" s="29">
        <f t="shared" si="1"/>
        <v>18</v>
      </c>
      <c r="C2618" s="2" t="s">
        <v>100</v>
      </c>
    </row>
    <row r="2619">
      <c r="A2619" s="28">
        <v>45784.0</v>
      </c>
      <c r="B2619" s="29">
        <f t="shared" si="1"/>
        <v>19</v>
      </c>
      <c r="C2619" s="2" t="s">
        <v>101</v>
      </c>
      <c r="D2619" s="2">
        <v>8569.0</v>
      </c>
    </row>
    <row r="2620">
      <c r="A2620" s="28">
        <v>45784.0</v>
      </c>
      <c r="B2620" s="29">
        <f t="shared" si="1"/>
        <v>19</v>
      </c>
      <c r="C2620" s="2" t="s">
        <v>80</v>
      </c>
      <c r="D2620" s="2">
        <v>2396.0</v>
      </c>
    </row>
    <row r="2621">
      <c r="A2621" s="28">
        <v>45784.0</v>
      </c>
      <c r="B2621" s="29">
        <f t="shared" si="1"/>
        <v>19</v>
      </c>
      <c r="C2621" s="2" t="s">
        <v>81</v>
      </c>
    </row>
    <row r="2622">
      <c r="A2622" s="28">
        <v>45784.0</v>
      </c>
      <c r="B2622" s="29">
        <f t="shared" si="1"/>
        <v>19</v>
      </c>
      <c r="C2622" s="2" t="s">
        <v>82</v>
      </c>
    </row>
    <row r="2623">
      <c r="A2623" s="28">
        <v>45784.0</v>
      </c>
      <c r="B2623" s="29">
        <f t="shared" si="1"/>
        <v>19</v>
      </c>
      <c r="C2623" s="2" t="s">
        <v>83</v>
      </c>
      <c r="D2623" s="2">
        <v>2607.0</v>
      </c>
    </row>
    <row r="2624">
      <c r="A2624" s="28">
        <v>45784.0</v>
      </c>
      <c r="B2624" s="29">
        <f t="shared" si="1"/>
        <v>19</v>
      </c>
      <c r="C2624" s="2" t="s">
        <v>84</v>
      </c>
      <c r="D2624" s="2">
        <v>1052.0</v>
      </c>
    </row>
    <row r="2625">
      <c r="A2625" s="28">
        <v>45784.0</v>
      </c>
      <c r="B2625" s="29">
        <f t="shared" si="1"/>
        <v>19</v>
      </c>
      <c r="C2625" s="2" t="s">
        <v>85</v>
      </c>
    </row>
    <row r="2626">
      <c r="A2626" s="28">
        <v>45784.0</v>
      </c>
      <c r="B2626" s="29">
        <f t="shared" si="1"/>
        <v>19</v>
      </c>
      <c r="C2626" s="2" t="s">
        <v>86</v>
      </c>
    </row>
    <row r="2627">
      <c r="A2627" s="28">
        <v>45784.0</v>
      </c>
      <c r="B2627" s="29">
        <f t="shared" si="1"/>
        <v>19</v>
      </c>
      <c r="C2627" s="2" t="s">
        <v>87</v>
      </c>
    </row>
    <row r="2628">
      <c r="A2628" s="28">
        <v>45784.0</v>
      </c>
      <c r="B2628" s="29">
        <f t="shared" si="1"/>
        <v>19</v>
      </c>
      <c r="C2628" s="2" t="s">
        <v>88</v>
      </c>
      <c r="D2628" s="2">
        <v>599.0</v>
      </c>
    </row>
    <row r="2629">
      <c r="A2629" s="28">
        <v>45784.0</v>
      </c>
      <c r="B2629" s="29">
        <f t="shared" si="1"/>
        <v>19</v>
      </c>
      <c r="C2629" s="2" t="s">
        <v>89</v>
      </c>
      <c r="D2629" s="2">
        <v>853.0</v>
      </c>
    </row>
    <row r="2630">
      <c r="A2630" s="28">
        <v>45784.0</v>
      </c>
      <c r="B2630" s="29">
        <f t="shared" si="1"/>
        <v>19</v>
      </c>
      <c r="C2630" s="2" t="s">
        <v>90</v>
      </c>
    </row>
    <row r="2631">
      <c r="A2631" s="28">
        <v>45784.0</v>
      </c>
      <c r="B2631" s="29">
        <f t="shared" si="1"/>
        <v>19</v>
      </c>
      <c r="C2631" s="2" t="s">
        <v>91</v>
      </c>
    </row>
    <row r="2632">
      <c r="A2632" s="28">
        <v>45784.0</v>
      </c>
      <c r="B2632" s="29">
        <f t="shared" si="1"/>
        <v>19</v>
      </c>
      <c r="C2632" s="2" t="s">
        <v>92</v>
      </c>
    </row>
    <row r="2633">
      <c r="A2633" s="28">
        <v>45784.0</v>
      </c>
      <c r="B2633" s="29">
        <f t="shared" si="1"/>
        <v>19</v>
      </c>
      <c r="C2633" s="2" t="s">
        <v>93</v>
      </c>
    </row>
    <row r="2634">
      <c r="A2634" s="28">
        <v>45784.0</v>
      </c>
      <c r="B2634" s="29">
        <f t="shared" si="1"/>
        <v>19</v>
      </c>
      <c r="C2634" s="2" t="s">
        <v>94</v>
      </c>
    </row>
    <row r="2635">
      <c r="A2635" s="28">
        <v>45784.0</v>
      </c>
      <c r="B2635" s="29">
        <f t="shared" si="1"/>
        <v>19</v>
      </c>
      <c r="C2635" s="2" t="s">
        <v>95</v>
      </c>
    </row>
    <row r="2636">
      <c r="A2636" s="28">
        <v>45784.0</v>
      </c>
      <c r="B2636" s="29">
        <f t="shared" si="1"/>
        <v>19</v>
      </c>
      <c r="C2636" s="2" t="s">
        <v>96</v>
      </c>
      <c r="D2636" s="2">
        <v>262.0</v>
      </c>
    </row>
    <row r="2637">
      <c r="A2637" s="28">
        <v>45784.0</v>
      </c>
      <c r="B2637" s="29">
        <f t="shared" si="1"/>
        <v>19</v>
      </c>
      <c r="C2637" s="2" t="s">
        <v>97</v>
      </c>
      <c r="D2637" s="2">
        <v>800.0</v>
      </c>
    </row>
    <row r="2638">
      <c r="A2638" s="28">
        <v>45784.0</v>
      </c>
      <c r="B2638" s="29">
        <f t="shared" si="1"/>
        <v>19</v>
      </c>
      <c r="C2638" s="2" t="s">
        <v>98</v>
      </c>
    </row>
    <row r="2639">
      <c r="A2639" s="28">
        <v>45784.0</v>
      </c>
      <c r="B2639" s="29">
        <f t="shared" si="1"/>
        <v>19</v>
      </c>
      <c r="C2639" s="2" t="s">
        <v>99</v>
      </c>
      <c r="D2639" s="2">
        <v>50.0</v>
      </c>
    </row>
    <row r="2640">
      <c r="A2640" s="28">
        <v>45784.0</v>
      </c>
      <c r="B2640" s="29">
        <f t="shared" si="1"/>
        <v>19</v>
      </c>
      <c r="C2640" s="2" t="s">
        <v>100</v>
      </c>
    </row>
    <row r="2641">
      <c r="A2641" s="28">
        <v>45791.0</v>
      </c>
      <c r="B2641" s="29">
        <f t="shared" si="1"/>
        <v>20</v>
      </c>
      <c r="C2641" s="2" t="s">
        <v>101</v>
      </c>
      <c r="D2641" s="2">
        <v>9212.0</v>
      </c>
    </row>
    <row r="2642">
      <c r="A2642" s="28">
        <v>45791.0</v>
      </c>
      <c r="B2642" s="29">
        <f t="shared" si="1"/>
        <v>20</v>
      </c>
      <c r="C2642" s="2" t="s">
        <v>80</v>
      </c>
      <c r="D2642" s="2">
        <v>2520.0</v>
      </c>
    </row>
    <row r="2643">
      <c r="A2643" s="28">
        <v>45791.0</v>
      </c>
      <c r="B2643" s="29">
        <f t="shared" si="1"/>
        <v>20</v>
      </c>
      <c r="C2643" s="2" t="s">
        <v>81</v>
      </c>
    </row>
    <row r="2644">
      <c r="A2644" s="28">
        <v>45791.0</v>
      </c>
      <c r="B2644" s="29">
        <f t="shared" si="1"/>
        <v>20</v>
      </c>
      <c r="C2644" s="2" t="s">
        <v>82</v>
      </c>
    </row>
    <row r="2645">
      <c r="A2645" s="28">
        <v>45791.0</v>
      </c>
      <c r="B2645" s="29">
        <f t="shared" si="1"/>
        <v>20</v>
      </c>
      <c r="C2645" s="2" t="s">
        <v>83</v>
      </c>
      <c r="D2645" s="2">
        <v>2316.0</v>
      </c>
    </row>
    <row r="2646">
      <c r="A2646" s="28">
        <v>45791.0</v>
      </c>
      <c r="B2646" s="29">
        <f t="shared" si="1"/>
        <v>20</v>
      </c>
      <c r="C2646" s="2" t="s">
        <v>84</v>
      </c>
      <c r="D2646" s="2">
        <v>726.0</v>
      </c>
    </row>
    <row r="2647">
      <c r="A2647" s="28">
        <v>45791.0</v>
      </c>
      <c r="B2647" s="29">
        <f t="shared" si="1"/>
        <v>20</v>
      </c>
      <c r="C2647" s="2" t="s">
        <v>85</v>
      </c>
    </row>
    <row r="2648">
      <c r="A2648" s="28">
        <v>45791.0</v>
      </c>
      <c r="B2648" s="29">
        <f t="shared" si="1"/>
        <v>20</v>
      </c>
      <c r="C2648" s="2" t="s">
        <v>86</v>
      </c>
    </row>
    <row r="2649">
      <c r="A2649" s="28">
        <v>45791.0</v>
      </c>
      <c r="B2649" s="29">
        <f t="shared" si="1"/>
        <v>20</v>
      </c>
      <c r="C2649" s="2" t="s">
        <v>87</v>
      </c>
    </row>
    <row r="2650">
      <c r="A2650" s="28">
        <v>45791.0</v>
      </c>
      <c r="B2650" s="29">
        <f t="shared" si="1"/>
        <v>20</v>
      </c>
      <c r="C2650" s="2" t="s">
        <v>88</v>
      </c>
      <c r="D2650" s="2">
        <v>631.0</v>
      </c>
    </row>
    <row r="2651">
      <c r="A2651" s="28">
        <v>45791.0</v>
      </c>
      <c r="B2651" s="29">
        <f t="shared" si="1"/>
        <v>20</v>
      </c>
      <c r="C2651" s="2" t="s">
        <v>89</v>
      </c>
      <c r="D2651" s="2">
        <v>921.0</v>
      </c>
    </row>
    <row r="2652">
      <c r="A2652" s="28">
        <v>45791.0</v>
      </c>
      <c r="B2652" s="29">
        <f t="shared" si="1"/>
        <v>20</v>
      </c>
      <c r="C2652" s="2" t="s">
        <v>90</v>
      </c>
    </row>
    <row r="2653">
      <c r="A2653" s="28">
        <v>45791.0</v>
      </c>
      <c r="B2653" s="29">
        <f t="shared" si="1"/>
        <v>20</v>
      </c>
      <c r="C2653" s="2" t="s">
        <v>91</v>
      </c>
    </row>
    <row r="2654">
      <c r="A2654" s="28">
        <v>45791.0</v>
      </c>
      <c r="B2654" s="29">
        <f t="shared" si="1"/>
        <v>20</v>
      </c>
      <c r="C2654" s="2" t="s">
        <v>92</v>
      </c>
    </row>
    <row r="2655">
      <c r="A2655" s="28">
        <v>45791.0</v>
      </c>
      <c r="B2655" s="29">
        <f t="shared" si="1"/>
        <v>20</v>
      </c>
      <c r="C2655" s="2" t="s">
        <v>93</v>
      </c>
    </row>
    <row r="2656">
      <c r="A2656" s="28">
        <v>45791.0</v>
      </c>
      <c r="B2656" s="29">
        <f t="shared" si="1"/>
        <v>20</v>
      </c>
      <c r="C2656" s="2" t="s">
        <v>94</v>
      </c>
    </row>
    <row r="2657">
      <c r="A2657" s="28">
        <v>45791.0</v>
      </c>
      <c r="B2657" s="29">
        <f t="shared" si="1"/>
        <v>20</v>
      </c>
      <c r="C2657" s="2" t="s">
        <v>95</v>
      </c>
    </row>
    <row r="2658">
      <c r="A2658" s="28">
        <v>45791.0</v>
      </c>
      <c r="B2658" s="29">
        <f t="shared" si="1"/>
        <v>20</v>
      </c>
      <c r="C2658" s="2" t="s">
        <v>96</v>
      </c>
      <c r="D2658" s="2">
        <v>298.0</v>
      </c>
    </row>
    <row r="2659">
      <c r="A2659" s="28">
        <v>45791.0</v>
      </c>
      <c r="B2659" s="29">
        <f t="shared" si="1"/>
        <v>20</v>
      </c>
      <c r="C2659" s="2" t="s">
        <v>97</v>
      </c>
      <c r="D2659" s="2">
        <v>1800.0</v>
      </c>
    </row>
    <row r="2660">
      <c r="A2660" s="28">
        <v>45791.0</v>
      </c>
      <c r="B2660" s="29">
        <f t="shared" si="1"/>
        <v>20</v>
      </c>
      <c r="C2660" s="2" t="s">
        <v>98</v>
      </c>
    </row>
    <row r="2661">
      <c r="A2661" s="28">
        <v>45791.0</v>
      </c>
      <c r="B2661" s="29">
        <f t="shared" si="1"/>
        <v>20</v>
      </c>
      <c r="C2661" s="2" t="s">
        <v>99</v>
      </c>
      <c r="D2661" s="2">
        <v>50.0</v>
      </c>
    </row>
    <row r="2662">
      <c r="A2662" s="28">
        <v>45791.0</v>
      </c>
      <c r="B2662" s="29">
        <f t="shared" si="1"/>
        <v>20</v>
      </c>
      <c r="C2662" s="2" t="s">
        <v>100</v>
      </c>
    </row>
    <row r="2663">
      <c r="A2663" s="28">
        <v>45798.0</v>
      </c>
      <c r="B2663" s="29">
        <f t="shared" si="1"/>
        <v>21</v>
      </c>
      <c r="C2663" s="2" t="s">
        <v>101</v>
      </c>
      <c r="D2663" s="2">
        <v>10241.0</v>
      </c>
    </row>
    <row r="2664">
      <c r="A2664" s="28">
        <v>45798.0</v>
      </c>
      <c r="B2664" s="29">
        <f t="shared" si="1"/>
        <v>21</v>
      </c>
      <c r="C2664" s="2" t="s">
        <v>80</v>
      </c>
      <c r="D2664" s="2">
        <v>950.0</v>
      </c>
    </row>
    <row r="2665">
      <c r="A2665" s="28">
        <v>45798.0</v>
      </c>
      <c r="B2665" s="29">
        <f t="shared" si="1"/>
        <v>21</v>
      </c>
      <c r="C2665" s="2" t="s">
        <v>81</v>
      </c>
    </row>
    <row r="2666">
      <c r="A2666" s="28">
        <v>45798.0</v>
      </c>
      <c r="B2666" s="29">
        <f t="shared" si="1"/>
        <v>21</v>
      </c>
      <c r="C2666" s="2" t="s">
        <v>82</v>
      </c>
    </row>
    <row r="2667">
      <c r="A2667" s="28">
        <v>45798.0</v>
      </c>
      <c r="B2667" s="29">
        <f t="shared" si="1"/>
        <v>21</v>
      </c>
      <c r="C2667" s="2" t="s">
        <v>83</v>
      </c>
      <c r="D2667" s="2">
        <v>1783.0</v>
      </c>
    </row>
    <row r="2668">
      <c r="A2668" s="28">
        <v>45798.0</v>
      </c>
      <c r="B2668" s="29">
        <f t="shared" si="1"/>
        <v>21</v>
      </c>
      <c r="C2668" s="2" t="s">
        <v>84</v>
      </c>
      <c r="D2668" s="2">
        <v>1403.0</v>
      </c>
    </row>
    <row r="2669">
      <c r="A2669" s="28">
        <v>45798.0</v>
      </c>
      <c r="B2669" s="29">
        <f t="shared" si="1"/>
        <v>21</v>
      </c>
      <c r="C2669" s="2" t="s">
        <v>85</v>
      </c>
    </row>
    <row r="2670">
      <c r="A2670" s="28">
        <v>45798.0</v>
      </c>
      <c r="B2670" s="29">
        <f t="shared" si="1"/>
        <v>21</v>
      </c>
      <c r="C2670" s="2" t="s">
        <v>86</v>
      </c>
    </row>
    <row r="2671">
      <c r="A2671" s="28">
        <v>45798.0</v>
      </c>
      <c r="B2671" s="29">
        <f t="shared" si="1"/>
        <v>21</v>
      </c>
      <c r="C2671" s="2" t="s">
        <v>87</v>
      </c>
    </row>
    <row r="2672">
      <c r="A2672" s="28">
        <v>45798.0</v>
      </c>
      <c r="B2672" s="29">
        <f t="shared" si="1"/>
        <v>21</v>
      </c>
      <c r="C2672" s="2" t="s">
        <v>88</v>
      </c>
      <c r="D2672" s="2">
        <v>644.0</v>
      </c>
    </row>
    <row r="2673">
      <c r="A2673" s="28">
        <v>45798.0</v>
      </c>
      <c r="B2673" s="29">
        <f t="shared" si="1"/>
        <v>21</v>
      </c>
      <c r="C2673" s="2" t="s">
        <v>89</v>
      </c>
      <c r="D2673" s="2">
        <v>516.0</v>
      </c>
    </row>
    <row r="2674">
      <c r="A2674" s="28">
        <v>45798.0</v>
      </c>
      <c r="B2674" s="29">
        <f t="shared" si="1"/>
        <v>21</v>
      </c>
      <c r="C2674" s="2" t="s">
        <v>90</v>
      </c>
    </row>
    <row r="2675">
      <c r="A2675" s="28">
        <v>45798.0</v>
      </c>
      <c r="B2675" s="29">
        <f t="shared" si="1"/>
        <v>21</v>
      </c>
      <c r="C2675" s="2" t="s">
        <v>91</v>
      </c>
    </row>
    <row r="2676">
      <c r="A2676" s="28">
        <v>45798.0</v>
      </c>
      <c r="B2676" s="29">
        <f t="shared" si="1"/>
        <v>21</v>
      </c>
      <c r="C2676" s="2" t="s">
        <v>92</v>
      </c>
    </row>
    <row r="2677">
      <c r="A2677" s="28">
        <v>45798.0</v>
      </c>
      <c r="B2677" s="29">
        <f t="shared" si="1"/>
        <v>21</v>
      </c>
      <c r="C2677" s="2" t="s">
        <v>93</v>
      </c>
    </row>
    <row r="2678">
      <c r="A2678" s="28">
        <v>45798.0</v>
      </c>
      <c r="B2678" s="29">
        <f t="shared" si="1"/>
        <v>21</v>
      </c>
      <c r="C2678" s="2" t="s">
        <v>94</v>
      </c>
    </row>
    <row r="2679">
      <c r="A2679" s="28">
        <v>45798.0</v>
      </c>
      <c r="B2679" s="29">
        <f t="shared" si="1"/>
        <v>21</v>
      </c>
      <c r="C2679" s="2" t="s">
        <v>95</v>
      </c>
    </row>
    <row r="2680">
      <c r="A2680" s="28">
        <v>45798.0</v>
      </c>
      <c r="B2680" s="29">
        <f t="shared" si="1"/>
        <v>21</v>
      </c>
      <c r="C2680" s="2" t="s">
        <v>96</v>
      </c>
      <c r="D2680" s="2">
        <v>285.0</v>
      </c>
    </row>
    <row r="2681">
      <c r="A2681" s="28">
        <v>45798.0</v>
      </c>
      <c r="B2681" s="29">
        <f t="shared" si="1"/>
        <v>21</v>
      </c>
      <c r="C2681" s="2" t="s">
        <v>97</v>
      </c>
      <c r="D2681" s="2">
        <v>4610.0</v>
      </c>
    </row>
    <row r="2682">
      <c r="A2682" s="28">
        <v>45798.0</v>
      </c>
      <c r="B2682" s="29">
        <f t="shared" si="1"/>
        <v>21</v>
      </c>
      <c r="C2682" s="2" t="s">
        <v>98</v>
      </c>
    </row>
    <row r="2683">
      <c r="A2683" s="28">
        <v>45798.0</v>
      </c>
      <c r="B2683" s="29">
        <f t="shared" si="1"/>
        <v>21</v>
      </c>
      <c r="C2683" s="2" t="s">
        <v>99</v>
      </c>
      <c r="D2683" s="2">
        <v>50.0</v>
      </c>
    </row>
    <row r="2684">
      <c r="A2684" s="28">
        <v>45798.0</v>
      </c>
      <c r="B2684" s="29">
        <f t="shared" si="1"/>
        <v>21</v>
      </c>
      <c r="C2684" s="2" t="s">
        <v>100</v>
      </c>
    </row>
    <row r="2685">
      <c r="A2685" s="28">
        <v>45806.0</v>
      </c>
      <c r="B2685" s="29">
        <f t="shared" si="1"/>
        <v>22</v>
      </c>
      <c r="C2685" s="2" t="s">
        <v>101</v>
      </c>
      <c r="D2685" s="2">
        <v>4721.0</v>
      </c>
    </row>
    <row r="2686">
      <c r="A2686" s="28">
        <v>45806.0</v>
      </c>
      <c r="B2686" s="29">
        <f t="shared" si="1"/>
        <v>22</v>
      </c>
      <c r="C2686" s="2" t="s">
        <v>80</v>
      </c>
      <c r="D2686" s="2">
        <v>768.0</v>
      </c>
    </row>
    <row r="2687">
      <c r="A2687" s="28">
        <v>45806.0</v>
      </c>
      <c r="B2687" s="29">
        <f t="shared" si="1"/>
        <v>22</v>
      </c>
      <c r="C2687" s="2" t="s">
        <v>81</v>
      </c>
    </row>
    <row r="2688">
      <c r="A2688" s="28">
        <v>45806.0</v>
      </c>
      <c r="B2688" s="29">
        <f t="shared" si="1"/>
        <v>22</v>
      </c>
      <c r="C2688" s="2" t="s">
        <v>82</v>
      </c>
    </row>
    <row r="2689">
      <c r="A2689" s="28">
        <v>45806.0</v>
      </c>
      <c r="B2689" s="29">
        <f t="shared" si="1"/>
        <v>22</v>
      </c>
      <c r="C2689" s="2" t="s">
        <v>83</v>
      </c>
      <c r="D2689" s="2">
        <v>1066.0</v>
      </c>
    </row>
    <row r="2690">
      <c r="A2690" s="28">
        <v>45806.0</v>
      </c>
      <c r="B2690" s="29">
        <f t="shared" si="1"/>
        <v>22</v>
      </c>
      <c r="C2690" s="2" t="s">
        <v>84</v>
      </c>
      <c r="D2690" s="2">
        <v>901.0</v>
      </c>
    </row>
    <row r="2691">
      <c r="A2691" s="28">
        <v>45806.0</v>
      </c>
      <c r="B2691" s="29">
        <f t="shared" si="1"/>
        <v>22</v>
      </c>
      <c r="C2691" s="2" t="s">
        <v>85</v>
      </c>
    </row>
    <row r="2692">
      <c r="A2692" s="28">
        <v>45806.0</v>
      </c>
      <c r="B2692" s="29">
        <f t="shared" si="1"/>
        <v>22</v>
      </c>
      <c r="C2692" s="2" t="s">
        <v>86</v>
      </c>
    </row>
    <row r="2693">
      <c r="A2693" s="28">
        <v>45806.0</v>
      </c>
      <c r="B2693" s="29">
        <f t="shared" si="1"/>
        <v>22</v>
      </c>
      <c r="C2693" s="2" t="s">
        <v>87</v>
      </c>
    </row>
    <row r="2694">
      <c r="A2694" s="28">
        <v>45806.0</v>
      </c>
      <c r="B2694" s="29">
        <f t="shared" si="1"/>
        <v>22</v>
      </c>
      <c r="C2694" s="2" t="s">
        <v>88</v>
      </c>
      <c r="D2694" s="2">
        <v>529.0</v>
      </c>
    </row>
    <row r="2695">
      <c r="A2695" s="28">
        <v>45806.0</v>
      </c>
      <c r="B2695" s="29">
        <f t="shared" si="1"/>
        <v>22</v>
      </c>
      <c r="C2695" s="2" t="s">
        <v>89</v>
      </c>
      <c r="D2695" s="2">
        <v>832.0</v>
      </c>
    </row>
    <row r="2696">
      <c r="A2696" s="28">
        <v>45806.0</v>
      </c>
      <c r="B2696" s="29">
        <f t="shared" si="1"/>
        <v>22</v>
      </c>
      <c r="C2696" s="2" t="s">
        <v>90</v>
      </c>
    </row>
    <row r="2697">
      <c r="A2697" s="28">
        <v>45806.0</v>
      </c>
      <c r="B2697" s="29">
        <f t="shared" si="1"/>
        <v>22</v>
      </c>
      <c r="C2697" s="2" t="s">
        <v>91</v>
      </c>
    </row>
    <row r="2698">
      <c r="A2698" s="28">
        <v>45806.0</v>
      </c>
      <c r="B2698" s="29">
        <f t="shared" si="1"/>
        <v>22</v>
      </c>
      <c r="C2698" s="2" t="s">
        <v>92</v>
      </c>
    </row>
    <row r="2699">
      <c r="A2699" s="28">
        <v>45806.0</v>
      </c>
      <c r="B2699" s="29">
        <f t="shared" si="1"/>
        <v>22</v>
      </c>
      <c r="C2699" s="2" t="s">
        <v>93</v>
      </c>
    </row>
    <row r="2700">
      <c r="A2700" s="28">
        <v>45806.0</v>
      </c>
      <c r="B2700" s="29">
        <f t="shared" si="1"/>
        <v>22</v>
      </c>
      <c r="C2700" s="2" t="s">
        <v>94</v>
      </c>
    </row>
    <row r="2701">
      <c r="A2701" s="28">
        <v>45806.0</v>
      </c>
      <c r="B2701" s="29">
        <f t="shared" si="1"/>
        <v>22</v>
      </c>
      <c r="C2701" s="2" t="s">
        <v>95</v>
      </c>
    </row>
    <row r="2702">
      <c r="A2702" s="28">
        <v>45806.0</v>
      </c>
      <c r="B2702" s="29">
        <f t="shared" si="1"/>
        <v>22</v>
      </c>
      <c r="C2702" s="2" t="s">
        <v>96</v>
      </c>
      <c r="D2702" s="2">
        <v>275.0</v>
      </c>
    </row>
    <row r="2703">
      <c r="A2703" s="28">
        <v>45806.0</v>
      </c>
      <c r="B2703" s="29">
        <f t="shared" si="1"/>
        <v>22</v>
      </c>
      <c r="C2703" s="2" t="s">
        <v>97</v>
      </c>
      <c r="D2703" s="2">
        <v>100.0</v>
      </c>
    </row>
    <row r="2704">
      <c r="A2704" s="28">
        <v>45806.0</v>
      </c>
      <c r="B2704" s="29">
        <f t="shared" si="1"/>
        <v>22</v>
      </c>
      <c r="C2704" s="2" t="s">
        <v>98</v>
      </c>
    </row>
    <row r="2705">
      <c r="A2705" s="28">
        <v>45806.0</v>
      </c>
      <c r="B2705" s="29">
        <f t="shared" si="1"/>
        <v>22</v>
      </c>
      <c r="C2705" s="2" t="s">
        <v>99</v>
      </c>
      <c r="D2705" s="2">
        <v>250.0</v>
      </c>
    </row>
    <row r="2706">
      <c r="A2706" s="28">
        <v>45806.0</v>
      </c>
      <c r="B2706" s="29">
        <f t="shared" si="1"/>
        <v>22</v>
      </c>
      <c r="C2706" s="2" t="s">
        <v>100</v>
      </c>
    </row>
    <row r="2707">
      <c r="A2707" s="28">
        <v>45812.0</v>
      </c>
      <c r="B2707" s="29">
        <f t="shared" si="1"/>
        <v>23</v>
      </c>
      <c r="C2707" s="2" t="s">
        <v>101</v>
      </c>
      <c r="D2707" s="2">
        <v>8858.0</v>
      </c>
    </row>
    <row r="2708">
      <c r="A2708" s="28">
        <v>45812.0</v>
      </c>
      <c r="B2708" s="29">
        <f t="shared" si="1"/>
        <v>23</v>
      </c>
      <c r="C2708" s="2" t="s">
        <v>80</v>
      </c>
      <c r="D2708" s="2">
        <v>2767.0</v>
      </c>
    </row>
    <row r="2709">
      <c r="A2709" s="28">
        <v>45812.0</v>
      </c>
      <c r="B2709" s="29">
        <f t="shared" si="1"/>
        <v>23</v>
      </c>
      <c r="C2709" s="2" t="s">
        <v>81</v>
      </c>
    </row>
    <row r="2710">
      <c r="A2710" s="28">
        <v>45812.0</v>
      </c>
      <c r="B2710" s="29">
        <f t="shared" si="1"/>
        <v>23</v>
      </c>
      <c r="C2710" s="2" t="s">
        <v>82</v>
      </c>
    </row>
    <row r="2711">
      <c r="A2711" s="28">
        <v>45812.0</v>
      </c>
      <c r="B2711" s="29">
        <f t="shared" si="1"/>
        <v>23</v>
      </c>
      <c r="C2711" s="2" t="s">
        <v>83</v>
      </c>
      <c r="D2711" s="2">
        <v>1188.0</v>
      </c>
    </row>
    <row r="2712">
      <c r="A2712" s="28">
        <v>45812.0</v>
      </c>
      <c r="B2712" s="29">
        <f t="shared" si="1"/>
        <v>23</v>
      </c>
      <c r="C2712" s="2" t="s">
        <v>84</v>
      </c>
      <c r="D2712" s="2">
        <v>2059.0</v>
      </c>
    </row>
    <row r="2713">
      <c r="A2713" s="28">
        <v>45812.0</v>
      </c>
      <c r="B2713" s="29">
        <f t="shared" si="1"/>
        <v>23</v>
      </c>
      <c r="C2713" s="2" t="s">
        <v>85</v>
      </c>
    </row>
    <row r="2714">
      <c r="A2714" s="28">
        <v>45812.0</v>
      </c>
      <c r="B2714" s="29">
        <f t="shared" si="1"/>
        <v>23</v>
      </c>
      <c r="C2714" s="2" t="s">
        <v>86</v>
      </c>
    </row>
    <row r="2715">
      <c r="A2715" s="28">
        <v>45812.0</v>
      </c>
      <c r="B2715" s="29">
        <f t="shared" si="1"/>
        <v>23</v>
      </c>
      <c r="C2715" s="2" t="s">
        <v>87</v>
      </c>
    </row>
    <row r="2716">
      <c r="A2716" s="28">
        <v>45812.0</v>
      </c>
      <c r="B2716" s="29">
        <f t="shared" si="1"/>
        <v>23</v>
      </c>
      <c r="C2716" s="2" t="s">
        <v>88</v>
      </c>
      <c r="D2716" s="2">
        <v>134.0</v>
      </c>
    </row>
    <row r="2717">
      <c r="A2717" s="28">
        <v>45812.0</v>
      </c>
      <c r="B2717" s="29">
        <f t="shared" si="1"/>
        <v>23</v>
      </c>
      <c r="C2717" s="2" t="s">
        <v>89</v>
      </c>
      <c r="D2717" s="2">
        <v>1221.0</v>
      </c>
    </row>
    <row r="2718">
      <c r="A2718" s="28">
        <v>45812.0</v>
      </c>
      <c r="B2718" s="29">
        <f t="shared" si="1"/>
        <v>23</v>
      </c>
      <c r="C2718" s="2" t="s">
        <v>90</v>
      </c>
    </row>
    <row r="2719">
      <c r="A2719" s="28">
        <v>45812.0</v>
      </c>
      <c r="B2719" s="29">
        <f t="shared" si="1"/>
        <v>23</v>
      </c>
      <c r="C2719" s="2" t="s">
        <v>91</v>
      </c>
    </row>
    <row r="2720">
      <c r="A2720" s="28">
        <v>45812.0</v>
      </c>
      <c r="B2720" s="29">
        <f t="shared" si="1"/>
        <v>23</v>
      </c>
      <c r="C2720" s="2" t="s">
        <v>92</v>
      </c>
    </row>
    <row r="2721">
      <c r="A2721" s="28">
        <v>45812.0</v>
      </c>
      <c r="B2721" s="29">
        <f t="shared" si="1"/>
        <v>23</v>
      </c>
      <c r="C2721" s="2" t="s">
        <v>93</v>
      </c>
    </row>
    <row r="2722">
      <c r="A2722" s="28">
        <v>45812.0</v>
      </c>
      <c r="B2722" s="29">
        <f t="shared" si="1"/>
        <v>23</v>
      </c>
      <c r="C2722" s="2" t="s">
        <v>94</v>
      </c>
    </row>
    <row r="2723">
      <c r="A2723" s="28">
        <v>45812.0</v>
      </c>
      <c r="B2723" s="29">
        <f t="shared" si="1"/>
        <v>23</v>
      </c>
      <c r="C2723" s="2" t="s">
        <v>95</v>
      </c>
    </row>
    <row r="2724">
      <c r="A2724" s="28">
        <v>45812.0</v>
      </c>
      <c r="B2724" s="29">
        <f t="shared" si="1"/>
        <v>23</v>
      </c>
      <c r="C2724" s="2" t="s">
        <v>96</v>
      </c>
      <c r="D2724" s="2">
        <v>689.0</v>
      </c>
    </row>
    <row r="2725">
      <c r="A2725" s="28">
        <v>45812.0</v>
      </c>
      <c r="B2725" s="29">
        <f t="shared" si="1"/>
        <v>23</v>
      </c>
      <c r="C2725" s="2" t="s">
        <v>97</v>
      </c>
      <c r="D2725" s="2">
        <v>550.0</v>
      </c>
    </row>
    <row r="2726">
      <c r="A2726" s="28">
        <v>45812.0</v>
      </c>
      <c r="B2726" s="29">
        <f t="shared" si="1"/>
        <v>23</v>
      </c>
      <c r="C2726" s="2" t="s">
        <v>98</v>
      </c>
    </row>
    <row r="2727">
      <c r="A2727" s="28">
        <v>45812.0</v>
      </c>
      <c r="B2727" s="29">
        <f t="shared" si="1"/>
        <v>23</v>
      </c>
      <c r="C2727" s="2" t="s">
        <v>99</v>
      </c>
      <c r="D2727" s="2">
        <v>250.0</v>
      </c>
    </row>
    <row r="2728">
      <c r="A2728" s="28">
        <v>45812.0</v>
      </c>
      <c r="B2728" s="29">
        <f t="shared" si="1"/>
        <v>23</v>
      </c>
      <c r="C2728" s="2" t="s">
        <v>100</v>
      </c>
    </row>
    <row r="2729">
      <c r="A2729" s="28">
        <v>45819.0</v>
      </c>
      <c r="B2729" s="29">
        <f t="shared" si="1"/>
        <v>24</v>
      </c>
      <c r="C2729" s="2" t="s">
        <v>101</v>
      </c>
      <c r="D2729" s="2">
        <v>10421.0</v>
      </c>
    </row>
    <row r="2730">
      <c r="A2730" s="28">
        <v>45819.0</v>
      </c>
      <c r="B2730" s="29">
        <f t="shared" si="1"/>
        <v>24</v>
      </c>
      <c r="C2730" s="2" t="s">
        <v>80</v>
      </c>
      <c r="D2730" s="2">
        <v>2964.0</v>
      </c>
    </row>
    <row r="2731">
      <c r="A2731" s="28">
        <v>45819.0</v>
      </c>
      <c r="B2731" s="29">
        <f t="shared" si="1"/>
        <v>24</v>
      </c>
      <c r="C2731" s="2" t="s">
        <v>81</v>
      </c>
    </row>
    <row r="2732">
      <c r="A2732" s="28">
        <v>45819.0</v>
      </c>
      <c r="B2732" s="29">
        <f t="shared" si="1"/>
        <v>24</v>
      </c>
      <c r="C2732" s="2" t="s">
        <v>82</v>
      </c>
    </row>
    <row r="2733">
      <c r="A2733" s="28">
        <v>45819.0</v>
      </c>
      <c r="B2733" s="29">
        <f t="shared" si="1"/>
        <v>24</v>
      </c>
      <c r="C2733" s="2" t="s">
        <v>83</v>
      </c>
      <c r="D2733" s="2">
        <v>1251.0</v>
      </c>
    </row>
    <row r="2734">
      <c r="A2734" s="28">
        <v>45819.0</v>
      </c>
      <c r="B2734" s="29">
        <f t="shared" si="1"/>
        <v>24</v>
      </c>
      <c r="C2734" s="2" t="s">
        <v>84</v>
      </c>
      <c r="D2734" s="2">
        <v>1186.0</v>
      </c>
    </row>
    <row r="2735">
      <c r="A2735" s="28">
        <v>45819.0</v>
      </c>
      <c r="B2735" s="29">
        <f t="shared" si="1"/>
        <v>24</v>
      </c>
      <c r="C2735" s="2" t="s">
        <v>85</v>
      </c>
    </row>
    <row r="2736">
      <c r="A2736" s="28">
        <v>45819.0</v>
      </c>
      <c r="B2736" s="29">
        <f t="shared" si="1"/>
        <v>24</v>
      </c>
      <c r="C2736" s="2" t="s">
        <v>86</v>
      </c>
    </row>
    <row r="2737">
      <c r="A2737" s="28">
        <v>45819.0</v>
      </c>
      <c r="B2737" s="29">
        <f t="shared" si="1"/>
        <v>24</v>
      </c>
      <c r="C2737" s="2" t="s">
        <v>87</v>
      </c>
    </row>
    <row r="2738">
      <c r="A2738" s="28">
        <v>45819.0</v>
      </c>
      <c r="B2738" s="29">
        <f t="shared" si="1"/>
        <v>24</v>
      </c>
      <c r="C2738" s="2" t="s">
        <v>88</v>
      </c>
      <c r="D2738" s="2">
        <v>203.0</v>
      </c>
    </row>
    <row r="2739">
      <c r="A2739" s="28">
        <v>45819.0</v>
      </c>
      <c r="B2739" s="29">
        <f t="shared" si="1"/>
        <v>24</v>
      </c>
      <c r="C2739" s="2" t="s">
        <v>89</v>
      </c>
    </row>
    <row r="2740">
      <c r="A2740" s="28">
        <v>45819.0</v>
      </c>
      <c r="B2740" s="29">
        <f t="shared" si="1"/>
        <v>24</v>
      </c>
      <c r="C2740" s="2" t="s">
        <v>90</v>
      </c>
    </row>
    <row r="2741">
      <c r="A2741" s="28">
        <v>45819.0</v>
      </c>
      <c r="B2741" s="29">
        <f t="shared" si="1"/>
        <v>24</v>
      </c>
      <c r="C2741" s="2" t="s">
        <v>91</v>
      </c>
    </row>
    <row r="2742">
      <c r="A2742" s="28">
        <v>45819.0</v>
      </c>
      <c r="B2742" s="29">
        <f t="shared" si="1"/>
        <v>24</v>
      </c>
      <c r="C2742" s="2" t="s">
        <v>92</v>
      </c>
    </row>
    <row r="2743">
      <c r="A2743" s="28">
        <v>45819.0</v>
      </c>
      <c r="B2743" s="29">
        <f t="shared" si="1"/>
        <v>24</v>
      </c>
      <c r="C2743" s="2" t="s">
        <v>93</v>
      </c>
    </row>
    <row r="2744">
      <c r="A2744" s="28">
        <v>45819.0</v>
      </c>
      <c r="B2744" s="29">
        <f t="shared" si="1"/>
        <v>24</v>
      </c>
      <c r="C2744" s="2" t="s">
        <v>94</v>
      </c>
    </row>
    <row r="2745">
      <c r="A2745" s="28">
        <v>45819.0</v>
      </c>
      <c r="B2745" s="29">
        <f t="shared" si="1"/>
        <v>24</v>
      </c>
      <c r="C2745" s="2" t="s">
        <v>95</v>
      </c>
    </row>
    <row r="2746">
      <c r="A2746" s="28">
        <v>45819.0</v>
      </c>
      <c r="B2746" s="29">
        <f t="shared" si="1"/>
        <v>24</v>
      </c>
      <c r="C2746" s="2" t="s">
        <v>96</v>
      </c>
      <c r="D2746" s="2">
        <v>258.0</v>
      </c>
    </row>
    <row r="2747">
      <c r="A2747" s="28">
        <v>45819.0</v>
      </c>
      <c r="B2747" s="29">
        <f t="shared" si="1"/>
        <v>24</v>
      </c>
      <c r="C2747" s="2" t="s">
        <v>97</v>
      </c>
      <c r="D2747" s="2">
        <v>4259.0</v>
      </c>
    </row>
    <row r="2748">
      <c r="A2748" s="28">
        <v>45819.0</v>
      </c>
      <c r="B2748" s="29">
        <f t="shared" si="1"/>
        <v>24</v>
      </c>
      <c r="C2748" s="2" t="s">
        <v>98</v>
      </c>
    </row>
    <row r="2749">
      <c r="A2749" s="28">
        <v>45819.0</v>
      </c>
      <c r="B2749" s="29">
        <f t="shared" si="1"/>
        <v>24</v>
      </c>
      <c r="C2749" s="2" t="s">
        <v>99</v>
      </c>
      <c r="D2749" s="2">
        <v>300.0</v>
      </c>
    </row>
    <row r="2750">
      <c r="A2750" s="28">
        <v>45819.0</v>
      </c>
      <c r="B2750" s="29">
        <f t="shared" si="1"/>
        <v>24</v>
      </c>
      <c r="C2750" s="2" t="s">
        <v>100</v>
      </c>
    </row>
  </sheetData>
  <customSheetViews>
    <customSheetView guid="{73D0AD76-D747-4A6F-BB20-C2E8D0EE0107}" filter="1" showAutoFilter="1">
      <autoFilter ref="$A$1:$D$2750">
        <filterColumn colId="2">
          <filters>
            <filter val="GROUPS"/>
            <filter val="DECATUR"/>
            <filter val="SNELLVILLE"/>
            <filter val="Collective Learning"/>
            <filter val="DUNWOODY/PTC"/>
            <filter val="E COBB/ROSWELL"/>
            <filter val="ALPHARETTA"/>
            <filter val="P'TREE CORNERS"/>
            <filter val="UGA/Athens"/>
            <filter val="INTOWN/DRUID HILLS"/>
            <filter val="FLOWERY BRANCH"/>
            <filter val="SANDY SPRINGS"/>
          </filters>
        </filterColumn>
      </autoFilter>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2" max="2" width="21.63"/>
    <col customWidth="1" min="3" max="3" width="14.38"/>
    <col customWidth="1" min="4" max="4" width="12.5"/>
    <col customWidth="1" min="5" max="5" width="13.25"/>
    <col customWidth="1" min="6" max="6" width="18.63"/>
    <col customWidth="1" min="7" max="7" width="19.38"/>
    <col customWidth="1" min="8" max="8" width="21.0"/>
    <col customWidth="1" min="9" max="11" width="18.75"/>
    <col customWidth="1" min="12" max="12" width="15.5"/>
    <col customWidth="1" min="13" max="13" width="15.25"/>
    <col customWidth="1" min="14" max="15" width="12.63"/>
    <col customWidth="1" min="16" max="16" width="28.0"/>
    <col customWidth="1" min="17" max="17" width="23.13"/>
    <col customWidth="1" min="18" max="18" width="15.5"/>
    <col customWidth="1" min="19" max="19" width="13.88"/>
    <col customWidth="1" min="20" max="20" width="13.38"/>
    <col customWidth="1" min="21" max="21" width="12.63"/>
    <col customWidth="1" min="22" max="23" width="22.38"/>
  </cols>
  <sheetData>
    <row r="1" ht="103.5" customHeight="1">
      <c r="A1" s="30" t="s">
        <v>3</v>
      </c>
      <c r="B1" s="31" t="s">
        <v>101</v>
      </c>
      <c r="C1" s="32" t="s">
        <v>80</v>
      </c>
      <c r="D1" s="33" t="s">
        <v>81</v>
      </c>
      <c r="E1" s="33" t="s">
        <v>82</v>
      </c>
      <c r="F1" s="32" t="s">
        <v>83</v>
      </c>
      <c r="G1" s="32" t="s">
        <v>84</v>
      </c>
      <c r="H1" s="32" t="s">
        <v>85</v>
      </c>
      <c r="I1" s="32" t="s">
        <v>86</v>
      </c>
      <c r="J1" s="34" t="s">
        <v>87</v>
      </c>
      <c r="K1" s="32" t="s">
        <v>88</v>
      </c>
      <c r="L1" s="32" t="s">
        <v>89</v>
      </c>
      <c r="M1" s="35" t="s">
        <v>90</v>
      </c>
      <c r="N1" s="36" t="s">
        <v>91</v>
      </c>
      <c r="O1" s="34" t="s">
        <v>92</v>
      </c>
      <c r="P1" s="36" t="s">
        <v>93</v>
      </c>
      <c r="Q1" s="36" t="s">
        <v>94</v>
      </c>
      <c r="R1" s="34" t="s">
        <v>95</v>
      </c>
      <c r="S1" s="32" t="s">
        <v>96</v>
      </c>
      <c r="T1" s="32" t="s">
        <v>97</v>
      </c>
      <c r="U1" s="36" t="s">
        <v>98</v>
      </c>
      <c r="V1" s="36" t="s">
        <v>99</v>
      </c>
      <c r="W1" s="36" t="s">
        <v>100</v>
      </c>
      <c r="X1" s="36"/>
      <c r="Y1" s="36"/>
      <c r="Z1" s="36"/>
    </row>
    <row r="2" ht="15.75" customHeight="1">
      <c r="A2" s="37">
        <v>44930.0</v>
      </c>
      <c r="B2" s="38">
        <f t="shared" ref="B2:B108" si="1">SUM(C2:T2)</f>
        <v>4746</v>
      </c>
      <c r="C2" s="39">
        <v>818.0</v>
      </c>
      <c r="D2" s="40">
        <v>0.0</v>
      </c>
      <c r="E2" s="40">
        <v>0.0</v>
      </c>
      <c r="F2" s="41">
        <v>1326.0</v>
      </c>
      <c r="G2" s="41">
        <v>1204.0</v>
      </c>
      <c r="H2" s="39">
        <v>161.0</v>
      </c>
      <c r="I2" s="39">
        <v>263.0</v>
      </c>
      <c r="J2" s="39"/>
      <c r="K2" s="39">
        <v>250.0</v>
      </c>
      <c r="L2" s="39">
        <v>206.0</v>
      </c>
      <c r="M2" s="39">
        <v>106.0</v>
      </c>
      <c r="N2" s="38">
        <v>0.0</v>
      </c>
      <c r="O2" s="40">
        <v>0.0</v>
      </c>
      <c r="P2" s="42">
        <v>0.0</v>
      </c>
      <c r="Q2" s="42">
        <v>0.0</v>
      </c>
      <c r="R2" s="40">
        <v>0.0</v>
      </c>
      <c r="S2" s="38">
        <v>412.0</v>
      </c>
      <c r="T2" s="38">
        <v>0.0</v>
      </c>
      <c r="U2" s="38"/>
      <c r="V2" s="38"/>
      <c r="W2" s="38"/>
      <c r="X2" s="38"/>
      <c r="Y2" s="38"/>
      <c r="Z2" s="38"/>
    </row>
    <row r="3" ht="15.75" customHeight="1">
      <c r="A3" s="37">
        <v>44937.0</v>
      </c>
      <c r="B3" s="38">
        <f t="shared" si="1"/>
        <v>5134</v>
      </c>
      <c r="C3" s="39">
        <v>888.0</v>
      </c>
      <c r="D3" s="40">
        <v>0.0</v>
      </c>
      <c r="E3" s="40">
        <v>0.0</v>
      </c>
      <c r="F3" s="41">
        <v>1422.0</v>
      </c>
      <c r="G3" s="39">
        <v>650.0</v>
      </c>
      <c r="H3" s="39">
        <v>622.0</v>
      </c>
      <c r="I3" s="39">
        <v>444.0</v>
      </c>
      <c r="J3" s="39"/>
      <c r="K3" s="39">
        <v>514.0</v>
      </c>
      <c r="L3" s="39">
        <v>152.0</v>
      </c>
      <c r="M3" s="39">
        <v>151.0</v>
      </c>
      <c r="N3" s="38"/>
      <c r="O3" s="40">
        <v>0.0</v>
      </c>
      <c r="P3" s="42">
        <v>0.0</v>
      </c>
      <c r="Q3" s="42">
        <v>0.0</v>
      </c>
      <c r="R3" s="40">
        <v>0.0</v>
      </c>
      <c r="S3" s="38">
        <v>291.0</v>
      </c>
      <c r="T3" s="38"/>
      <c r="U3" s="38"/>
      <c r="V3" s="38"/>
      <c r="W3" s="38"/>
      <c r="X3" s="38"/>
      <c r="Y3" s="38"/>
      <c r="Z3" s="38"/>
    </row>
    <row r="4" ht="15.75" customHeight="1">
      <c r="A4" s="37">
        <v>44944.0</v>
      </c>
      <c r="B4" s="38">
        <f t="shared" si="1"/>
        <v>6388</v>
      </c>
      <c r="C4" s="39">
        <v>908.0</v>
      </c>
      <c r="D4" s="40">
        <v>0.0</v>
      </c>
      <c r="E4" s="40">
        <v>0.0</v>
      </c>
      <c r="F4" s="41">
        <v>1243.0</v>
      </c>
      <c r="G4" s="41">
        <v>1614.0</v>
      </c>
      <c r="H4" s="39">
        <v>465.0</v>
      </c>
      <c r="I4" s="39">
        <f>251+39</f>
        <v>290</v>
      </c>
      <c r="J4" s="39"/>
      <c r="K4" s="39">
        <v>603.0</v>
      </c>
      <c r="L4" s="39">
        <v>627.0</v>
      </c>
      <c r="M4" s="39">
        <v>148.0</v>
      </c>
      <c r="N4" s="38">
        <v>0.0</v>
      </c>
      <c r="O4" s="40">
        <v>0.0</v>
      </c>
      <c r="P4" s="42">
        <v>0.0</v>
      </c>
      <c r="Q4" s="42">
        <v>0.0</v>
      </c>
      <c r="R4" s="40">
        <v>0.0</v>
      </c>
      <c r="S4" s="38">
        <v>490.0</v>
      </c>
      <c r="T4" s="38">
        <v>0.0</v>
      </c>
      <c r="U4" s="38"/>
      <c r="V4" s="38"/>
      <c r="W4" s="38"/>
      <c r="X4" s="38"/>
      <c r="Y4" s="38"/>
      <c r="Z4" s="38"/>
    </row>
    <row r="5" ht="15.75" customHeight="1">
      <c r="A5" s="37">
        <v>44951.0</v>
      </c>
      <c r="B5" s="38">
        <f t="shared" si="1"/>
        <v>7153</v>
      </c>
      <c r="C5" s="39">
        <v>1025.0</v>
      </c>
      <c r="D5" s="40">
        <v>0.0</v>
      </c>
      <c r="E5" s="40">
        <v>0.0</v>
      </c>
      <c r="F5" s="41">
        <v>2023.0</v>
      </c>
      <c r="G5" s="41">
        <v>1465.0</v>
      </c>
      <c r="H5" s="39">
        <v>345.0</v>
      </c>
      <c r="I5" s="39">
        <v>514.0</v>
      </c>
      <c r="J5" s="39"/>
      <c r="K5" s="39">
        <v>710.0</v>
      </c>
      <c r="L5" s="39">
        <v>605.0</v>
      </c>
      <c r="M5" s="39">
        <v>166.0</v>
      </c>
      <c r="N5" s="38"/>
      <c r="O5" s="40">
        <v>0.0</v>
      </c>
      <c r="P5" s="42">
        <v>0.0</v>
      </c>
      <c r="Q5" s="42">
        <v>0.0</v>
      </c>
      <c r="R5" s="40">
        <v>0.0</v>
      </c>
      <c r="S5" s="38">
        <v>300.0</v>
      </c>
      <c r="T5" s="38"/>
      <c r="U5" s="38"/>
      <c r="V5" s="38"/>
      <c r="W5" s="38"/>
      <c r="X5" s="38"/>
      <c r="Y5" s="38"/>
      <c r="Z5" s="38"/>
    </row>
    <row r="6" ht="15.75" customHeight="1">
      <c r="A6" s="37">
        <v>44958.0</v>
      </c>
      <c r="B6" s="43">
        <f t="shared" si="1"/>
        <v>13902</v>
      </c>
      <c r="C6" s="41">
        <v>1471.0</v>
      </c>
      <c r="D6" s="40">
        <v>0.0</v>
      </c>
      <c r="E6" s="40">
        <v>0.0</v>
      </c>
      <c r="F6" s="41">
        <v>1461.0</v>
      </c>
      <c r="G6" s="41">
        <v>2096.0</v>
      </c>
      <c r="H6" s="39">
        <v>230.0</v>
      </c>
      <c r="I6" s="39">
        <v>496.0</v>
      </c>
      <c r="J6" s="39"/>
      <c r="K6" s="39">
        <v>988.0</v>
      </c>
      <c r="L6" s="39">
        <v>762.0</v>
      </c>
      <c r="M6" s="39">
        <v>183.0</v>
      </c>
      <c r="N6" s="43">
        <v>2998.0</v>
      </c>
      <c r="O6" s="40">
        <v>0.0</v>
      </c>
      <c r="P6" s="42">
        <v>0.0</v>
      </c>
      <c r="Q6" s="42">
        <v>0.0</v>
      </c>
      <c r="R6" s="40">
        <v>0.0</v>
      </c>
      <c r="S6" s="38">
        <v>219.0</v>
      </c>
      <c r="T6" s="43">
        <v>2998.0</v>
      </c>
      <c r="U6" s="38"/>
      <c r="V6" s="38"/>
      <c r="W6" s="38"/>
      <c r="X6" s="38"/>
      <c r="Y6" s="38"/>
      <c r="Z6" s="38"/>
    </row>
    <row r="7" ht="15.75" customHeight="1">
      <c r="A7" s="37">
        <v>44965.0</v>
      </c>
      <c r="B7" s="43">
        <f t="shared" si="1"/>
        <v>6283</v>
      </c>
      <c r="C7" s="41">
        <v>1889.0</v>
      </c>
      <c r="D7" s="40">
        <v>0.0</v>
      </c>
      <c r="E7" s="40">
        <v>0.0</v>
      </c>
      <c r="F7" s="39">
        <v>1488.0</v>
      </c>
      <c r="G7" s="39">
        <v>872.0</v>
      </c>
      <c r="H7" s="39">
        <v>140.0</v>
      </c>
      <c r="I7" s="44">
        <v>0.0</v>
      </c>
      <c r="J7" s="39"/>
      <c r="K7" s="39">
        <v>531.0</v>
      </c>
      <c r="L7" s="41">
        <v>1176.0</v>
      </c>
      <c r="M7" s="39">
        <v>187.0</v>
      </c>
      <c r="N7" s="38"/>
      <c r="O7" s="40">
        <v>0.0</v>
      </c>
      <c r="P7" s="42">
        <v>0.0</v>
      </c>
      <c r="Q7" s="42">
        <v>0.0</v>
      </c>
      <c r="R7" s="40">
        <v>0.0</v>
      </c>
      <c r="S7" s="38"/>
      <c r="T7" s="38"/>
      <c r="U7" s="38"/>
      <c r="V7" s="38"/>
      <c r="W7" s="38"/>
      <c r="X7" s="38"/>
      <c r="Y7" s="38"/>
      <c r="Z7" s="38"/>
    </row>
    <row r="8" ht="15.75" customHeight="1">
      <c r="A8" s="37">
        <v>44972.0</v>
      </c>
      <c r="B8" s="43">
        <f t="shared" si="1"/>
        <v>17340</v>
      </c>
      <c r="C8" s="43">
        <v>2637.0</v>
      </c>
      <c r="D8" s="38">
        <v>0.0</v>
      </c>
      <c r="E8" s="38">
        <v>0.0</v>
      </c>
      <c r="F8" s="43">
        <v>2342.0</v>
      </c>
      <c r="G8" s="43">
        <v>1292.0</v>
      </c>
      <c r="H8" s="38">
        <v>269.0</v>
      </c>
      <c r="I8" s="38">
        <v>0.0</v>
      </c>
      <c r="J8" s="38"/>
      <c r="K8" s="38">
        <v>479.0</v>
      </c>
      <c r="L8" s="38">
        <v>855.0</v>
      </c>
      <c r="M8" s="38">
        <v>191.0</v>
      </c>
      <c r="N8" s="43">
        <v>4485.0</v>
      </c>
      <c r="O8" s="38">
        <v>0.0</v>
      </c>
      <c r="P8" s="38">
        <v>0.0</v>
      </c>
      <c r="Q8" s="38">
        <v>0.0</v>
      </c>
      <c r="R8" s="38">
        <v>0.0</v>
      </c>
      <c r="S8" s="38">
        <v>305.0</v>
      </c>
      <c r="T8" s="43">
        <v>4485.0</v>
      </c>
      <c r="U8" s="38"/>
      <c r="V8" s="38"/>
      <c r="W8" s="38"/>
      <c r="X8" s="38"/>
      <c r="Y8" s="38"/>
      <c r="Z8" s="38"/>
    </row>
    <row r="9" ht="15.75" customHeight="1">
      <c r="A9" s="37">
        <v>44979.0</v>
      </c>
      <c r="B9" s="43">
        <f t="shared" si="1"/>
        <v>9385</v>
      </c>
      <c r="C9" s="41">
        <v>2195.0</v>
      </c>
      <c r="D9" s="45">
        <v>0.0</v>
      </c>
      <c r="E9" s="45">
        <v>0.0</v>
      </c>
      <c r="F9" s="39">
        <v>2462.0</v>
      </c>
      <c r="G9" s="41">
        <v>1513.0</v>
      </c>
      <c r="H9" s="39">
        <v>72.0</v>
      </c>
      <c r="I9" s="39">
        <v>0.0</v>
      </c>
      <c r="J9" s="39"/>
      <c r="K9" s="39">
        <v>618.0</v>
      </c>
      <c r="L9" s="39">
        <v>792.0</v>
      </c>
      <c r="M9" s="39">
        <v>103.0</v>
      </c>
      <c r="N9" s="38">
        <v>200.0</v>
      </c>
      <c r="O9" s="45">
        <v>0.0</v>
      </c>
      <c r="P9" s="46">
        <v>0.0</v>
      </c>
      <c r="Q9" s="46">
        <v>0.0</v>
      </c>
      <c r="R9" s="45">
        <v>0.0</v>
      </c>
      <c r="S9" s="43">
        <v>1230.0</v>
      </c>
      <c r="T9" s="38">
        <v>200.0</v>
      </c>
      <c r="U9" s="38"/>
      <c r="V9" s="38"/>
      <c r="W9" s="38"/>
      <c r="X9" s="38"/>
      <c r="Y9" s="38"/>
      <c r="Z9" s="38"/>
    </row>
    <row r="10" ht="15.75" customHeight="1">
      <c r="A10" s="37">
        <v>44986.0</v>
      </c>
      <c r="B10" s="43">
        <f t="shared" si="1"/>
        <v>6780</v>
      </c>
      <c r="C10" s="41">
        <v>1251.0</v>
      </c>
      <c r="D10" s="45">
        <v>0.0</v>
      </c>
      <c r="E10" s="45">
        <v>0.0</v>
      </c>
      <c r="F10" s="41">
        <v>2243.0</v>
      </c>
      <c r="G10" s="39">
        <v>885.0</v>
      </c>
      <c r="H10" s="39">
        <v>498.0</v>
      </c>
      <c r="I10" s="39">
        <v>0.0</v>
      </c>
      <c r="J10" s="39"/>
      <c r="K10" s="39">
        <v>958.0</v>
      </c>
      <c r="L10" s="39">
        <v>350.0</v>
      </c>
      <c r="M10" s="39">
        <v>159.0</v>
      </c>
      <c r="N10" s="38"/>
      <c r="O10" s="40">
        <v>0.0</v>
      </c>
      <c r="P10" s="42">
        <v>0.0</v>
      </c>
      <c r="Q10" s="42">
        <v>0.0</v>
      </c>
      <c r="R10" s="40">
        <v>0.0</v>
      </c>
      <c r="S10" s="38">
        <v>436.0</v>
      </c>
      <c r="T10" s="38"/>
      <c r="U10" s="38"/>
      <c r="V10" s="38"/>
      <c r="W10" s="38"/>
      <c r="X10" s="38"/>
      <c r="Y10" s="38"/>
      <c r="Z10" s="38"/>
    </row>
    <row r="11" ht="15.75" customHeight="1">
      <c r="A11" s="37">
        <v>44993.0</v>
      </c>
      <c r="B11" s="43">
        <f t="shared" si="1"/>
        <v>6593</v>
      </c>
      <c r="C11" s="41">
        <v>1334.0</v>
      </c>
      <c r="D11" s="40">
        <v>0.0</v>
      </c>
      <c r="E11" s="40">
        <v>0.0</v>
      </c>
      <c r="F11" s="41">
        <v>2572.0</v>
      </c>
      <c r="G11" s="41">
        <v>1075.0</v>
      </c>
      <c r="H11" s="39">
        <v>220.0</v>
      </c>
      <c r="I11" s="39">
        <v>0.0</v>
      </c>
      <c r="J11" s="39"/>
      <c r="K11" s="39">
        <v>313.0</v>
      </c>
      <c r="L11" s="39">
        <v>326.0</v>
      </c>
      <c r="M11" s="39">
        <v>217.0</v>
      </c>
      <c r="N11" s="38"/>
      <c r="O11" s="40">
        <v>0.0</v>
      </c>
      <c r="P11" s="42">
        <v>0.0</v>
      </c>
      <c r="Q11" s="42">
        <v>0.0</v>
      </c>
      <c r="R11" s="40">
        <v>0.0</v>
      </c>
      <c r="S11" s="38">
        <v>536.0</v>
      </c>
      <c r="T11" s="38"/>
      <c r="U11" s="38"/>
      <c r="V11" s="38"/>
      <c r="W11" s="38"/>
      <c r="X11" s="38"/>
      <c r="Y11" s="38"/>
      <c r="Z11" s="38"/>
    </row>
    <row r="12" ht="15.75" customHeight="1">
      <c r="A12" s="37">
        <v>45000.0</v>
      </c>
      <c r="B12" s="38">
        <f t="shared" si="1"/>
        <v>0</v>
      </c>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5.75" customHeight="1">
      <c r="A13" s="37">
        <v>45007.0</v>
      </c>
      <c r="B13" s="43">
        <f t="shared" si="1"/>
        <v>8681</v>
      </c>
      <c r="C13" s="41">
        <v>3005.0</v>
      </c>
      <c r="D13" s="40">
        <v>0.0</v>
      </c>
      <c r="E13" s="40">
        <v>0.0</v>
      </c>
      <c r="F13" s="41">
        <v>2775.0</v>
      </c>
      <c r="G13" s="39">
        <v>882.0</v>
      </c>
      <c r="H13" s="39">
        <v>433.0</v>
      </c>
      <c r="I13" s="39">
        <v>0.0</v>
      </c>
      <c r="J13" s="39"/>
      <c r="K13" s="39">
        <v>747.0</v>
      </c>
      <c r="L13" s="39">
        <v>279.0</v>
      </c>
      <c r="M13" s="39">
        <v>189.0</v>
      </c>
      <c r="N13" s="47"/>
      <c r="O13" s="48">
        <v>0.0</v>
      </c>
      <c r="P13" s="49">
        <v>0.0</v>
      </c>
      <c r="Q13" s="49">
        <v>0.0</v>
      </c>
      <c r="R13" s="48">
        <v>0.0</v>
      </c>
      <c r="S13" s="38">
        <v>371.0</v>
      </c>
      <c r="T13" s="38"/>
      <c r="U13" s="38"/>
      <c r="V13" s="38"/>
      <c r="W13" s="38"/>
      <c r="X13" s="38"/>
      <c r="Y13" s="38"/>
      <c r="Z13" s="38"/>
    </row>
    <row r="14" ht="15.75" customHeight="1">
      <c r="A14" s="37">
        <v>45014.0</v>
      </c>
      <c r="B14" s="38">
        <f t="shared" si="1"/>
        <v>9998</v>
      </c>
      <c r="C14" s="50">
        <v>702.0</v>
      </c>
      <c r="D14" s="51">
        <v>0.0</v>
      </c>
      <c r="E14" s="51">
        <v>0.0</v>
      </c>
      <c r="F14" s="52">
        <v>4041.0</v>
      </c>
      <c r="G14" s="52">
        <v>1310.0</v>
      </c>
      <c r="H14" s="50">
        <v>220.0</v>
      </c>
      <c r="I14" s="50"/>
      <c r="J14" s="52"/>
      <c r="K14" s="52">
        <v>1319.0</v>
      </c>
      <c r="L14" s="50">
        <v>1328.0</v>
      </c>
      <c r="M14" s="50">
        <v>104.0</v>
      </c>
      <c r="N14" s="36"/>
      <c r="O14" s="34"/>
      <c r="P14" s="36"/>
      <c r="Q14" s="36"/>
      <c r="R14" s="34"/>
      <c r="S14" s="50">
        <v>471.0</v>
      </c>
      <c r="T14" s="50">
        <v>503.0</v>
      </c>
      <c r="U14" s="38"/>
      <c r="V14" s="38"/>
      <c r="W14" s="38"/>
      <c r="X14" s="38"/>
      <c r="Y14" s="38"/>
      <c r="Z14" s="38"/>
    </row>
    <row r="15" ht="15.75" customHeight="1">
      <c r="A15" s="37">
        <v>45021.0</v>
      </c>
      <c r="B15" s="38">
        <f t="shared" si="1"/>
        <v>9057</v>
      </c>
      <c r="C15" s="50">
        <v>930.0</v>
      </c>
      <c r="D15" s="51">
        <v>0.0</v>
      </c>
      <c r="E15" s="51">
        <v>0.0</v>
      </c>
      <c r="F15" s="52">
        <v>3763.0</v>
      </c>
      <c r="G15" s="52">
        <v>1057.0</v>
      </c>
      <c r="H15" s="50">
        <v>60.0</v>
      </c>
      <c r="I15" s="50"/>
      <c r="J15" s="50"/>
      <c r="K15" s="50">
        <v>655.0</v>
      </c>
      <c r="L15" s="50">
        <v>493.0</v>
      </c>
      <c r="M15" s="50">
        <v>594.0</v>
      </c>
      <c r="N15" s="36"/>
      <c r="O15" s="34"/>
      <c r="P15" s="36"/>
      <c r="Q15" s="36"/>
      <c r="R15" s="34"/>
      <c r="S15" s="50">
        <v>267.0</v>
      </c>
      <c r="T15" s="52">
        <v>1238.0</v>
      </c>
      <c r="U15" s="38"/>
      <c r="V15" s="38"/>
      <c r="W15" s="38"/>
      <c r="X15" s="38"/>
      <c r="Y15" s="38"/>
      <c r="Z15" s="38"/>
    </row>
    <row r="16" ht="15.75" customHeight="1">
      <c r="A16" s="37">
        <v>45028.0</v>
      </c>
      <c r="B16" s="43">
        <f t="shared" si="1"/>
        <v>6850</v>
      </c>
      <c r="C16" s="52">
        <v>1034.0</v>
      </c>
      <c r="D16" s="51">
        <v>0.0</v>
      </c>
      <c r="E16" s="51">
        <v>0.0</v>
      </c>
      <c r="F16" s="52">
        <v>2344.0</v>
      </c>
      <c r="G16" s="52">
        <v>1078.0</v>
      </c>
      <c r="H16" s="50">
        <v>240.0</v>
      </c>
      <c r="I16" s="50"/>
      <c r="J16" s="50"/>
      <c r="K16" s="50">
        <v>747.0</v>
      </c>
      <c r="L16" s="50">
        <v>500.0</v>
      </c>
      <c r="M16" s="50">
        <v>107.0</v>
      </c>
      <c r="N16" s="36"/>
      <c r="O16" s="34"/>
      <c r="P16" s="36"/>
      <c r="Q16" s="36"/>
      <c r="R16" s="34"/>
      <c r="S16" s="50">
        <v>300.0</v>
      </c>
      <c r="T16" s="50">
        <v>500.0</v>
      </c>
      <c r="U16" s="38"/>
      <c r="V16" s="38"/>
      <c r="W16" s="38"/>
      <c r="X16" s="38"/>
      <c r="Y16" s="38"/>
      <c r="Z16" s="38"/>
    </row>
    <row r="17" ht="18.0" customHeight="1">
      <c r="A17" s="37">
        <v>45035.0</v>
      </c>
      <c r="B17" s="43">
        <f t="shared" si="1"/>
        <v>14032</v>
      </c>
      <c r="C17" s="53">
        <v>1956.0</v>
      </c>
      <c r="D17" s="51">
        <v>0.0</v>
      </c>
      <c r="E17" s="51">
        <v>0.0</v>
      </c>
      <c r="F17" s="52">
        <v>2946.0</v>
      </c>
      <c r="G17" s="53">
        <v>1968.0</v>
      </c>
      <c r="H17" s="54">
        <v>93.0</v>
      </c>
      <c r="I17" s="54"/>
      <c r="J17" s="54"/>
      <c r="K17" s="54">
        <v>938.0</v>
      </c>
      <c r="L17" s="55">
        <v>377.0</v>
      </c>
      <c r="M17" s="54">
        <v>239.0</v>
      </c>
      <c r="N17" s="36"/>
      <c r="O17" s="34"/>
      <c r="P17" s="36"/>
      <c r="Q17" s="36"/>
      <c r="R17" s="34"/>
      <c r="S17" s="54">
        <v>496.0</v>
      </c>
      <c r="T17" s="52">
        <v>5019.0</v>
      </c>
      <c r="U17" s="38"/>
      <c r="V17" s="38"/>
      <c r="W17" s="38"/>
      <c r="X17" s="38"/>
      <c r="Y17" s="38"/>
      <c r="Z17" s="38"/>
    </row>
    <row r="18" ht="18.0" customHeight="1">
      <c r="A18" s="37">
        <v>45042.0</v>
      </c>
      <c r="B18" s="43">
        <f t="shared" si="1"/>
        <v>11396</v>
      </c>
      <c r="C18" s="53">
        <v>1077.0</v>
      </c>
      <c r="D18" s="51"/>
      <c r="E18" s="51"/>
      <c r="F18" s="52">
        <v>4789.0</v>
      </c>
      <c r="G18" s="53">
        <v>1034.0</v>
      </c>
      <c r="H18" s="54">
        <v>232.0</v>
      </c>
      <c r="I18" s="55"/>
      <c r="J18" s="53"/>
      <c r="K18" s="53">
        <v>1263.0</v>
      </c>
      <c r="L18" s="55">
        <v>531.0</v>
      </c>
      <c r="M18" s="54">
        <v>190.0</v>
      </c>
      <c r="N18" s="36"/>
      <c r="O18" s="34"/>
      <c r="P18" s="36"/>
      <c r="Q18" s="36"/>
      <c r="R18" s="34"/>
      <c r="S18" s="54">
        <v>374.0</v>
      </c>
      <c r="T18" s="52">
        <v>1906.0</v>
      </c>
      <c r="U18" s="38"/>
      <c r="V18" s="38"/>
      <c r="W18" s="38"/>
      <c r="X18" s="38"/>
      <c r="Y18" s="38"/>
      <c r="Z18" s="38"/>
    </row>
    <row r="19" ht="15.75" customHeight="1">
      <c r="A19" s="37">
        <v>45049.0</v>
      </c>
      <c r="B19" s="43">
        <f t="shared" si="1"/>
        <v>8035</v>
      </c>
      <c r="C19" s="43">
        <v>1091.0</v>
      </c>
      <c r="D19" s="38"/>
      <c r="E19" s="38"/>
      <c r="F19" s="43">
        <v>2875.0</v>
      </c>
      <c r="G19" s="43">
        <v>1646.0</v>
      </c>
      <c r="H19" s="38">
        <v>222.0</v>
      </c>
      <c r="I19" s="38"/>
      <c r="J19" s="38"/>
      <c r="K19" s="38">
        <v>720.0</v>
      </c>
      <c r="L19" s="38">
        <v>450.0</v>
      </c>
      <c r="M19" s="38">
        <v>84.0</v>
      </c>
      <c r="N19" s="38"/>
      <c r="O19" s="38"/>
      <c r="P19" s="38"/>
      <c r="Q19" s="38"/>
      <c r="R19" s="38"/>
      <c r="S19" s="38">
        <v>447.0</v>
      </c>
      <c r="T19" s="38">
        <v>500.0</v>
      </c>
      <c r="U19" s="38"/>
      <c r="V19" s="38"/>
      <c r="W19" s="38"/>
      <c r="X19" s="38"/>
      <c r="Y19" s="38"/>
      <c r="Z19" s="38"/>
    </row>
    <row r="20" ht="15.75" customHeight="1">
      <c r="A20" s="37">
        <v>45056.0</v>
      </c>
      <c r="B20" s="43">
        <f t="shared" si="1"/>
        <v>9122</v>
      </c>
      <c r="C20" s="43">
        <v>1266.0</v>
      </c>
      <c r="D20" s="38"/>
      <c r="E20" s="38"/>
      <c r="F20" s="43">
        <v>3853.0</v>
      </c>
      <c r="G20" s="43">
        <v>1341.0</v>
      </c>
      <c r="H20" s="38">
        <v>156.0</v>
      </c>
      <c r="I20" s="38"/>
      <c r="J20" s="43"/>
      <c r="K20" s="43">
        <v>1165.0</v>
      </c>
      <c r="L20" s="38">
        <v>218.0</v>
      </c>
      <c r="M20" s="38">
        <v>94.0</v>
      </c>
      <c r="N20" s="38"/>
      <c r="O20" s="38"/>
      <c r="P20" s="38"/>
      <c r="Q20" s="38"/>
      <c r="R20" s="38"/>
      <c r="S20" s="38">
        <v>221.0</v>
      </c>
      <c r="T20" s="38">
        <v>808.0</v>
      </c>
      <c r="U20" s="38"/>
      <c r="V20" s="38"/>
      <c r="W20" s="38"/>
      <c r="X20" s="38"/>
      <c r="Y20" s="38"/>
      <c r="Z20" s="38"/>
    </row>
    <row r="21" ht="15.75" customHeight="1">
      <c r="A21" s="37">
        <v>45063.0</v>
      </c>
      <c r="B21" s="38">
        <f t="shared" si="1"/>
        <v>5804</v>
      </c>
      <c r="C21" s="38">
        <v>622.0</v>
      </c>
      <c r="D21" s="38"/>
      <c r="E21" s="38"/>
      <c r="F21" s="43">
        <v>1472.0</v>
      </c>
      <c r="G21" s="43">
        <v>1246.0</v>
      </c>
      <c r="H21" s="38">
        <v>125.0</v>
      </c>
      <c r="I21" s="38"/>
      <c r="J21" s="38"/>
      <c r="K21" s="38">
        <v>988.0</v>
      </c>
      <c r="L21" s="38">
        <v>233.0</v>
      </c>
      <c r="M21" s="38">
        <v>230.0</v>
      </c>
      <c r="N21" s="38"/>
      <c r="O21" s="38"/>
      <c r="P21" s="38"/>
      <c r="Q21" s="38"/>
      <c r="R21" s="38"/>
      <c r="S21" s="38">
        <v>538.0</v>
      </c>
      <c r="T21" s="38">
        <v>350.0</v>
      </c>
      <c r="U21" s="38"/>
      <c r="V21" s="38"/>
      <c r="W21" s="38"/>
      <c r="X21" s="38"/>
      <c r="Y21" s="38"/>
      <c r="Z21" s="38"/>
    </row>
    <row r="22" ht="15.75" customHeight="1">
      <c r="A22" s="37">
        <v>45070.0</v>
      </c>
      <c r="B22" s="43">
        <f t="shared" si="1"/>
        <v>9209</v>
      </c>
      <c r="C22" s="43">
        <v>2481.0</v>
      </c>
      <c r="D22" s="38"/>
      <c r="E22" s="38"/>
      <c r="F22" s="43">
        <v>2035.0</v>
      </c>
      <c r="G22" s="43">
        <v>1235.0</v>
      </c>
      <c r="H22" s="38">
        <v>321.0</v>
      </c>
      <c r="I22" s="38"/>
      <c r="J22" s="38"/>
      <c r="K22" s="38">
        <v>585.0</v>
      </c>
      <c r="L22" s="38">
        <v>468.0</v>
      </c>
      <c r="M22" s="38">
        <v>0.0</v>
      </c>
      <c r="N22" s="38"/>
      <c r="O22" s="38"/>
      <c r="P22" s="38"/>
      <c r="Q22" s="38"/>
      <c r="R22" s="38"/>
      <c r="S22" s="38">
        <v>184.0</v>
      </c>
      <c r="T22" s="43">
        <v>1900.0</v>
      </c>
      <c r="U22" s="38"/>
      <c r="V22" s="38"/>
      <c r="W22" s="38"/>
      <c r="X22" s="38"/>
      <c r="Y22" s="38"/>
      <c r="Z22" s="38"/>
    </row>
    <row r="23" ht="15.75" customHeight="1">
      <c r="A23" s="37">
        <v>45077.0</v>
      </c>
      <c r="B23" s="38">
        <f t="shared" si="1"/>
        <v>5427</v>
      </c>
      <c r="C23" s="38">
        <v>574.0</v>
      </c>
      <c r="D23" s="38"/>
      <c r="E23" s="38"/>
      <c r="F23" s="43">
        <v>1360.0</v>
      </c>
      <c r="G23" s="43">
        <v>1607.0</v>
      </c>
      <c r="H23" s="38">
        <v>172.0</v>
      </c>
      <c r="I23" s="38"/>
      <c r="J23" s="38"/>
      <c r="K23" s="38">
        <v>304.0</v>
      </c>
      <c r="L23" s="38">
        <v>198.0</v>
      </c>
      <c r="M23" s="38">
        <v>87.0</v>
      </c>
      <c r="N23" s="38"/>
      <c r="O23" s="38"/>
      <c r="P23" s="38"/>
      <c r="Q23" s="38"/>
      <c r="R23" s="38"/>
      <c r="S23" s="38">
        <v>284.0</v>
      </c>
      <c r="T23" s="38">
        <v>841.0</v>
      </c>
      <c r="U23" s="38"/>
      <c r="V23" s="38"/>
      <c r="W23" s="38"/>
      <c r="X23" s="38"/>
      <c r="Y23" s="38"/>
      <c r="Z23" s="38"/>
    </row>
    <row r="24" ht="15.75" customHeight="1">
      <c r="A24" s="37">
        <v>45084.0</v>
      </c>
      <c r="B24" s="43">
        <f t="shared" si="1"/>
        <v>9172</v>
      </c>
      <c r="C24" s="43">
        <v>1095.0</v>
      </c>
      <c r="D24" s="38"/>
      <c r="E24" s="38"/>
      <c r="F24" s="43">
        <v>2544.0</v>
      </c>
      <c r="G24" s="43">
        <v>2439.0</v>
      </c>
      <c r="H24" s="38">
        <v>100.0</v>
      </c>
      <c r="I24" s="38"/>
      <c r="J24" s="38"/>
      <c r="K24" s="38">
        <v>533.0</v>
      </c>
      <c r="L24" s="38">
        <v>560.0</v>
      </c>
      <c r="M24" s="38">
        <v>138.0</v>
      </c>
      <c r="N24" s="38"/>
      <c r="O24" s="38"/>
      <c r="P24" s="38"/>
      <c r="Q24" s="38"/>
      <c r="R24" s="38"/>
      <c r="S24" s="38">
        <v>255.0</v>
      </c>
      <c r="T24" s="43">
        <v>1508.0</v>
      </c>
      <c r="U24" s="38"/>
      <c r="V24" s="38"/>
      <c r="W24" s="38"/>
      <c r="X24" s="38"/>
      <c r="Y24" s="38"/>
      <c r="Z24" s="38"/>
    </row>
    <row r="25" ht="15.75" customHeight="1">
      <c r="A25" s="37">
        <v>45091.0</v>
      </c>
      <c r="B25" s="38">
        <f t="shared" si="1"/>
        <v>10990</v>
      </c>
      <c r="C25" s="38">
        <v>1399.0</v>
      </c>
      <c r="D25" s="38"/>
      <c r="E25" s="38"/>
      <c r="F25" s="38">
        <v>3516.0</v>
      </c>
      <c r="G25" s="38">
        <v>2231.0</v>
      </c>
      <c r="H25" s="38">
        <v>102.0</v>
      </c>
      <c r="I25" s="38"/>
      <c r="J25" s="38"/>
      <c r="K25" s="38">
        <v>811.0</v>
      </c>
      <c r="L25" s="38">
        <v>570.0</v>
      </c>
      <c r="M25" s="38">
        <v>39.0</v>
      </c>
      <c r="N25" s="38"/>
      <c r="O25" s="38"/>
      <c r="P25" s="38"/>
      <c r="Q25" s="38"/>
      <c r="R25" s="38"/>
      <c r="S25" s="38">
        <v>391.0</v>
      </c>
      <c r="T25" s="38">
        <v>1931.0</v>
      </c>
      <c r="U25" s="38"/>
      <c r="V25" s="38"/>
      <c r="W25" s="38"/>
      <c r="X25" s="38"/>
      <c r="Y25" s="38"/>
      <c r="Z25" s="38"/>
    </row>
    <row r="26" ht="15.75" customHeight="1">
      <c r="A26" s="37">
        <v>45098.0</v>
      </c>
      <c r="B26" s="38">
        <f t="shared" si="1"/>
        <v>8197</v>
      </c>
      <c r="C26" s="38">
        <v>1724.0</v>
      </c>
      <c r="D26" s="38"/>
      <c r="E26" s="38"/>
      <c r="F26" s="38">
        <v>2274.0</v>
      </c>
      <c r="G26" s="38">
        <v>1882.0</v>
      </c>
      <c r="H26" s="38">
        <v>100.0</v>
      </c>
      <c r="I26" s="38"/>
      <c r="J26" s="38"/>
      <c r="K26" s="38">
        <v>370.0</v>
      </c>
      <c r="L26" s="38">
        <v>196.0</v>
      </c>
      <c r="M26" s="38">
        <v>0.0</v>
      </c>
      <c r="N26" s="38"/>
      <c r="O26" s="38"/>
      <c r="P26" s="38"/>
      <c r="Q26" s="38"/>
      <c r="R26" s="38"/>
      <c r="S26" s="38">
        <v>304.0</v>
      </c>
      <c r="T26" s="43">
        <v>1347.0</v>
      </c>
      <c r="U26" s="38"/>
      <c r="V26" s="38"/>
      <c r="W26" s="38"/>
      <c r="X26" s="38"/>
      <c r="Y26" s="38"/>
      <c r="Z26" s="38"/>
    </row>
    <row r="27" ht="15.75" customHeight="1">
      <c r="A27" s="37">
        <v>45105.0</v>
      </c>
      <c r="B27" s="38">
        <f t="shared" si="1"/>
        <v>9110</v>
      </c>
      <c r="C27" s="38">
        <v>1672.0</v>
      </c>
      <c r="D27" s="38"/>
      <c r="E27" s="38"/>
      <c r="F27" s="38">
        <v>1599.0</v>
      </c>
      <c r="G27" s="38">
        <v>1880.0</v>
      </c>
      <c r="H27" s="38">
        <v>126.0</v>
      </c>
      <c r="I27" s="38"/>
      <c r="J27" s="38"/>
      <c r="K27" s="38">
        <v>460.0</v>
      </c>
      <c r="L27" s="38">
        <v>179.0</v>
      </c>
      <c r="M27" s="38">
        <v>96.0</v>
      </c>
      <c r="N27" s="38"/>
      <c r="O27" s="38"/>
      <c r="P27" s="38"/>
      <c r="Q27" s="38"/>
      <c r="R27" s="38"/>
      <c r="S27" s="38">
        <v>0.0</v>
      </c>
      <c r="T27" s="38">
        <v>3098.0</v>
      </c>
      <c r="U27" s="38"/>
      <c r="V27" s="38"/>
      <c r="W27" s="38"/>
      <c r="X27" s="38"/>
      <c r="Y27" s="38"/>
      <c r="Z27" s="38"/>
    </row>
    <row r="28" ht="15.75" customHeight="1">
      <c r="A28" s="37">
        <v>45112.0</v>
      </c>
      <c r="B28" s="38">
        <f t="shared" si="1"/>
        <v>0</v>
      </c>
      <c r="C28" s="38">
        <v>0.0</v>
      </c>
      <c r="D28" s="38"/>
      <c r="E28" s="38"/>
      <c r="F28" s="38">
        <v>0.0</v>
      </c>
      <c r="G28" s="38">
        <v>0.0</v>
      </c>
      <c r="H28" s="38">
        <v>0.0</v>
      </c>
      <c r="I28" s="38"/>
      <c r="J28" s="38"/>
      <c r="K28" s="38">
        <v>0.0</v>
      </c>
      <c r="L28" s="38">
        <v>0.0</v>
      </c>
      <c r="M28" s="38">
        <v>0.0</v>
      </c>
      <c r="N28" s="38"/>
      <c r="O28" s="38"/>
      <c r="P28" s="38"/>
      <c r="Q28" s="38"/>
      <c r="R28" s="38"/>
      <c r="S28" s="38">
        <v>0.0</v>
      </c>
      <c r="T28" s="38">
        <v>0.0</v>
      </c>
      <c r="U28" s="38"/>
      <c r="V28" s="38"/>
      <c r="W28" s="38"/>
      <c r="X28" s="38"/>
      <c r="Y28" s="38"/>
      <c r="Z28" s="38"/>
    </row>
    <row r="29" ht="15.75" customHeight="1">
      <c r="A29" s="37">
        <v>45118.0</v>
      </c>
      <c r="B29" s="38">
        <f t="shared" si="1"/>
        <v>9509</v>
      </c>
      <c r="C29" s="38">
        <v>2143.0</v>
      </c>
      <c r="D29" s="38"/>
      <c r="E29" s="38"/>
      <c r="F29" s="38">
        <v>2350.0</v>
      </c>
      <c r="G29" s="38">
        <v>1690.0</v>
      </c>
      <c r="H29" s="56">
        <v>0.0</v>
      </c>
      <c r="I29" s="38"/>
      <c r="J29" s="38"/>
      <c r="K29" s="38">
        <v>481.0</v>
      </c>
      <c r="L29" s="38">
        <v>656.0</v>
      </c>
      <c r="M29" s="38">
        <v>242.0</v>
      </c>
      <c r="N29" s="38"/>
      <c r="O29" s="38"/>
      <c r="P29" s="38"/>
      <c r="Q29" s="38"/>
      <c r="R29" s="38"/>
      <c r="S29" s="38">
        <v>283.0</v>
      </c>
      <c r="T29" s="38">
        <v>1664.0</v>
      </c>
      <c r="U29" s="38"/>
      <c r="V29" s="38"/>
      <c r="W29" s="38"/>
      <c r="X29" s="38"/>
      <c r="Y29" s="38"/>
      <c r="Z29" s="38"/>
    </row>
    <row r="30" ht="15.75" customHeight="1">
      <c r="A30" s="57">
        <v>45126.0</v>
      </c>
      <c r="B30" s="38">
        <f t="shared" si="1"/>
        <v>8823</v>
      </c>
      <c r="C30" s="46">
        <v>1035.0</v>
      </c>
      <c r="D30" s="46"/>
      <c r="E30" s="46"/>
      <c r="F30" s="46">
        <v>2606.0</v>
      </c>
      <c r="G30" s="46">
        <v>1448.0</v>
      </c>
      <c r="H30" s="46">
        <v>0.0</v>
      </c>
      <c r="I30" s="46"/>
      <c r="J30" s="46"/>
      <c r="K30" s="46">
        <v>532.0</v>
      </c>
      <c r="L30" s="46">
        <v>629.0</v>
      </c>
      <c r="M30" s="46">
        <v>94.0</v>
      </c>
      <c r="N30" s="46"/>
      <c r="O30" s="46"/>
      <c r="P30" s="46"/>
      <c r="Q30" s="46"/>
      <c r="R30" s="46"/>
      <c r="S30" s="46">
        <v>366.0</v>
      </c>
      <c r="T30" s="46">
        <v>2113.0</v>
      </c>
      <c r="U30" s="46"/>
      <c r="V30" s="46"/>
      <c r="W30" s="46"/>
      <c r="X30" s="46"/>
      <c r="Y30" s="46"/>
      <c r="Z30" s="46"/>
    </row>
    <row r="31" ht="15.75" customHeight="1">
      <c r="A31" s="37">
        <v>45133.0</v>
      </c>
      <c r="B31" s="38">
        <f t="shared" si="1"/>
        <v>8894</v>
      </c>
      <c r="C31" s="38">
        <v>2097.0</v>
      </c>
      <c r="D31" s="38"/>
      <c r="E31" s="38"/>
      <c r="F31" s="38">
        <v>1904.0</v>
      </c>
      <c r="G31" s="38">
        <v>1864.0</v>
      </c>
      <c r="H31" s="38">
        <v>85.0</v>
      </c>
      <c r="I31" s="38"/>
      <c r="J31" s="38"/>
      <c r="K31" s="38">
        <v>690.0</v>
      </c>
      <c r="L31" s="38">
        <v>923.0</v>
      </c>
      <c r="M31" s="38">
        <v>127.0</v>
      </c>
      <c r="N31" s="38"/>
      <c r="O31" s="38"/>
      <c r="P31" s="38"/>
      <c r="Q31" s="38"/>
      <c r="R31" s="38"/>
      <c r="S31" s="38">
        <v>349.0</v>
      </c>
      <c r="T31" s="38">
        <v>855.0</v>
      </c>
      <c r="U31" s="38"/>
      <c r="V31" s="38"/>
      <c r="W31" s="38"/>
      <c r="X31" s="38"/>
      <c r="Y31" s="38"/>
      <c r="Z31" s="38"/>
    </row>
    <row r="32" ht="15.75" customHeight="1">
      <c r="A32" s="37">
        <v>45140.0</v>
      </c>
      <c r="B32" s="38">
        <f t="shared" si="1"/>
        <v>6524</v>
      </c>
      <c r="C32" s="38">
        <v>1528.0</v>
      </c>
      <c r="D32" s="38"/>
      <c r="E32" s="38"/>
      <c r="F32" s="38">
        <v>2480.0</v>
      </c>
      <c r="G32" s="38">
        <v>862.0</v>
      </c>
      <c r="H32" s="38">
        <v>0.0</v>
      </c>
      <c r="I32" s="38"/>
      <c r="J32" s="38"/>
      <c r="K32" s="38">
        <v>522.0</v>
      </c>
      <c r="L32" s="38">
        <v>214.0</v>
      </c>
      <c r="M32" s="38">
        <v>128.0</v>
      </c>
      <c r="N32" s="38"/>
      <c r="O32" s="38"/>
      <c r="P32" s="38"/>
      <c r="Q32" s="38"/>
      <c r="R32" s="38"/>
      <c r="S32" s="38">
        <v>235.0</v>
      </c>
      <c r="T32" s="38">
        <v>555.0</v>
      </c>
      <c r="U32" s="38"/>
      <c r="V32" s="38"/>
      <c r="W32" s="38"/>
      <c r="X32" s="38"/>
      <c r="Y32" s="38"/>
      <c r="Z32" s="38"/>
    </row>
    <row r="33" ht="15.75" customHeight="1">
      <c r="A33" s="37">
        <v>45147.0</v>
      </c>
      <c r="B33" s="38">
        <f t="shared" si="1"/>
        <v>6531</v>
      </c>
      <c r="C33" s="38">
        <v>1962.0</v>
      </c>
      <c r="D33" s="38"/>
      <c r="E33" s="38"/>
      <c r="F33" s="38">
        <v>1777.0</v>
      </c>
      <c r="G33" s="38">
        <v>1105.0</v>
      </c>
      <c r="H33" s="38">
        <v>0.0</v>
      </c>
      <c r="I33" s="38"/>
      <c r="J33" s="38"/>
      <c r="K33" s="38">
        <v>457.0</v>
      </c>
      <c r="L33" s="38">
        <v>362.0</v>
      </c>
      <c r="M33" s="38">
        <v>230.0</v>
      </c>
      <c r="N33" s="38"/>
      <c r="O33" s="38"/>
      <c r="P33" s="38"/>
      <c r="Q33" s="38"/>
      <c r="R33" s="38"/>
      <c r="S33" s="38">
        <v>206.0</v>
      </c>
      <c r="T33" s="38">
        <v>432.0</v>
      </c>
      <c r="U33" s="38"/>
      <c r="V33" s="38"/>
      <c r="W33" s="38"/>
      <c r="X33" s="38"/>
      <c r="Y33" s="38"/>
      <c r="Z33" s="38"/>
    </row>
    <row r="34" ht="15.75" customHeight="1">
      <c r="A34" s="37">
        <v>45154.0</v>
      </c>
      <c r="B34" s="38">
        <f t="shared" si="1"/>
        <v>13520</v>
      </c>
      <c r="C34" s="38">
        <v>1292.0</v>
      </c>
      <c r="D34" s="38"/>
      <c r="E34" s="38"/>
      <c r="F34" s="38">
        <v>2218.0</v>
      </c>
      <c r="G34" s="38">
        <v>1570.0</v>
      </c>
      <c r="H34" s="38">
        <v>66.0</v>
      </c>
      <c r="I34" s="38"/>
      <c r="J34" s="38"/>
      <c r="K34" s="38">
        <v>298.0</v>
      </c>
      <c r="L34" s="38">
        <v>245.0</v>
      </c>
      <c r="M34" s="38">
        <v>162.0</v>
      </c>
      <c r="N34" s="38"/>
      <c r="O34" s="38"/>
      <c r="P34" s="38"/>
      <c r="Q34" s="38"/>
      <c r="R34" s="38"/>
      <c r="S34" s="38">
        <v>190.0</v>
      </c>
      <c r="T34" s="38">
        <v>7479.0</v>
      </c>
      <c r="U34" s="38"/>
      <c r="V34" s="38"/>
      <c r="W34" s="38"/>
      <c r="X34" s="38"/>
      <c r="Y34" s="38"/>
      <c r="Z34" s="38"/>
    </row>
    <row r="35" ht="15.75" customHeight="1">
      <c r="A35" s="37">
        <v>45162.0</v>
      </c>
      <c r="B35" s="38">
        <f t="shared" si="1"/>
        <v>6562</v>
      </c>
      <c r="C35" s="38">
        <v>1276.0</v>
      </c>
      <c r="D35" s="38"/>
      <c r="E35" s="38"/>
      <c r="F35" s="38">
        <v>1650.0</v>
      </c>
      <c r="G35" s="38">
        <v>970.0</v>
      </c>
      <c r="H35" s="38">
        <v>97.0</v>
      </c>
      <c r="I35" s="38"/>
      <c r="J35" s="38"/>
      <c r="K35" s="38">
        <v>579.0</v>
      </c>
      <c r="L35" s="38">
        <v>237.0</v>
      </c>
      <c r="M35" s="38">
        <v>172.0</v>
      </c>
      <c r="N35" s="38"/>
      <c r="O35" s="38"/>
      <c r="P35" s="38"/>
      <c r="Q35" s="38"/>
      <c r="R35" s="38"/>
      <c r="S35" s="38">
        <v>346.0</v>
      </c>
      <c r="T35" s="38">
        <v>1235.0</v>
      </c>
      <c r="U35" s="38"/>
      <c r="V35" s="38"/>
      <c r="W35" s="38"/>
      <c r="X35" s="38"/>
      <c r="Y35" s="38"/>
      <c r="Z35" s="38"/>
    </row>
    <row r="36" ht="15.75" customHeight="1">
      <c r="A36" s="37">
        <v>45168.0</v>
      </c>
      <c r="B36" s="38">
        <f t="shared" si="1"/>
        <v>6060</v>
      </c>
      <c r="C36" s="38">
        <v>1090.0</v>
      </c>
      <c r="D36" s="38"/>
      <c r="E36" s="38"/>
      <c r="F36" s="38">
        <v>1182.0</v>
      </c>
      <c r="G36" s="58">
        <v>1095.0</v>
      </c>
      <c r="H36" s="38">
        <v>106.0</v>
      </c>
      <c r="I36" s="38"/>
      <c r="J36" s="38"/>
      <c r="K36" s="38">
        <v>459.0</v>
      </c>
      <c r="L36" s="38">
        <v>178.0</v>
      </c>
      <c r="M36" s="38">
        <v>116.0</v>
      </c>
      <c r="N36" s="38"/>
      <c r="O36" s="38"/>
      <c r="P36" s="38"/>
      <c r="Q36" s="38"/>
      <c r="R36" s="38"/>
      <c r="S36" s="38">
        <v>349.0</v>
      </c>
      <c r="T36" s="38">
        <v>1485.0</v>
      </c>
      <c r="U36" s="38"/>
      <c r="V36" s="38"/>
      <c r="W36" s="38"/>
      <c r="X36" s="38"/>
      <c r="Y36" s="38"/>
      <c r="Z36" s="38"/>
    </row>
    <row r="37" ht="15.75" customHeight="1">
      <c r="A37" s="37">
        <v>45175.0</v>
      </c>
      <c r="B37" s="38">
        <f t="shared" si="1"/>
        <v>7435</v>
      </c>
      <c r="C37" s="38">
        <v>2262.0</v>
      </c>
      <c r="D37" s="38"/>
      <c r="E37" s="38"/>
      <c r="F37" s="38">
        <v>1881.0</v>
      </c>
      <c r="G37" s="38">
        <v>1060.0</v>
      </c>
      <c r="H37" s="38">
        <v>92.0</v>
      </c>
      <c r="I37" s="38"/>
      <c r="J37" s="38"/>
      <c r="K37" s="38">
        <v>305.0</v>
      </c>
      <c r="L37" s="38">
        <v>400.0</v>
      </c>
      <c r="M37" s="38">
        <v>80.0</v>
      </c>
      <c r="N37" s="38"/>
      <c r="O37" s="38"/>
      <c r="P37" s="38"/>
      <c r="Q37" s="38"/>
      <c r="R37" s="38"/>
      <c r="S37" s="38">
        <v>249.0</v>
      </c>
      <c r="T37" s="38">
        <v>1106.0</v>
      </c>
      <c r="U37" s="38"/>
      <c r="V37" s="38"/>
      <c r="W37" s="38"/>
      <c r="X37" s="38"/>
      <c r="Y37" s="38"/>
      <c r="Z37" s="38"/>
    </row>
    <row r="38" ht="15.75" customHeight="1">
      <c r="A38" s="37">
        <v>45182.0</v>
      </c>
      <c r="B38" s="38">
        <f t="shared" si="1"/>
        <v>8499</v>
      </c>
      <c r="C38" s="38">
        <v>615.0</v>
      </c>
      <c r="D38" s="38"/>
      <c r="E38" s="38"/>
      <c r="F38" s="38">
        <v>2090.0</v>
      </c>
      <c r="G38" s="38">
        <v>1605.0</v>
      </c>
      <c r="H38" s="38">
        <v>82.0</v>
      </c>
      <c r="I38" s="38"/>
      <c r="J38" s="38"/>
      <c r="K38" s="38">
        <v>888.0</v>
      </c>
      <c r="L38" s="38">
        <v>746.0</v>
      </c>
      <c r="M38" s="38">
        <v>228.0</v>
      </c>
      <c r="N38" s="38"/>
      <c r="O38" s="38"/>
      <c r="P38" s="38"/>
      <c r="Q38" s="38"/>
      <c r="R38" s="38"/>
      <c r="S38" s="38">
        <v>200.0</v>
      </c>
      <c r="T38" s="38">
        <v>2045.0</v>
      </c>
      <c r="U38" s="38"/>
      <c r="V38" s="38"/>
      <c r="W38" s="38"/>
      <c r="X38" s="38"/>
      <c r="Y38" s="38"/>
      <c r="Z38" s="38"/>
    </row>
    <row r="39" ht="15.75" customHeight="1">
      <c r="A39" s="37">
        <v>45189.0</v>
      </c>
      <c r="B39" s="38">
        <f t="shared" si="1"/>
        <v>8448</v>
      </c>
      <c r="C39" s="38">
        <v>1842.0</v>
      </c>
      <c r="D39" s="38"/>
      <c r="E39" s="38"/>
      <c r="F39" s="38">
        <v>2138.0</v>
      </c>
      <c r="G39" s="38">
        <v>1614.0</v>
      </c>
      <c r="H39" s="38">
        <v>0.0</v>
      </c>
      <c r="I39" s="38"/>
      <c r="J39" s="38"/>
      <c r="K39" s="38">
        <v>495.0</v>
      </c>
      <c r="L39" s="38">
        <v>437.0</v>
      </c>
      <c r="M39" s="38">
        <v>109.0</v>
      </c>
      <c r="N39" s="38"/>
      <c r="O39" s="38"/>
      <c r="P39" s="38"/>
      <c r="Q39" s="38"/>
      <c r="R39" s="38"/>
      <c r="S39" s="38">
        <v>635.0</v>
      </c>
      <c r="T39" s="38">
        <v>1178.0</v>
      </c>
      <c r="U39" s="38"/>
      <c r="V39" s="38"/>
      <c r="W39" s="38"/>
      <c r="X39" s="38"/>
      <c r="Y39" s="38"/>
      <c r="Z39" s="38"/>
    </row>
    <row r="40" ht="15.75" customHeight="1">
      <c r="A40" s="37">
        <v>45196.0</v>
      </c>
      <c r="B40" s="38">
        <f t="shared" si="1"/>
        <v>9471</v>
      </c>
      <c r="C40" s="38">
        <v>1922.0</v>
      </c>
      <c r="D40" s="38"/>
      <c r="E40" s="38"/>
      <c r="F40" s="38">
        <v>1520.0</v>
      </c>
      <c r="G40" s="38">
        <v>869.0</v>
      </c>
      <c r="H40" s="38">
        <v>142.0</v>
      </c>
      <c r="I40" s="38"/>
      <c r="J40" s="38"/>
      <c r="K40" s="38">
        <v>827.0</v>
      </c>
      <c r="L40" s="38">
        <v>635.0</v>
      </c>
      <c r="M40" s="38">
        <v>113.0</v>
      </c>
      <c r="N40" s="38"/>
      <c r="O40" s="38"/>
      <c r="P40" s="38"/>
      <c r="Q40" s="38"/>
      <c r="R40" s="38"/>
      <c r="S40" s="38">
        <v>438.0</v>
      </c>
      <c r="T40" s="43">
        <v>3005.0</v>
      </c>
      <c r="U40" s="38"/>
      <c r="V40" s="38"/>
      <c r="W40" s="38"/>
      <c r="X40" s="38"/>
      <c r="Y40" s="38"/>
      <c r="Z40" s="38"/>
    </row>
    <row r="41" ht="15.75" customHeight="1">
      <c r="A41" s="37">
        <v>45204.0</v>
      </c>
      <c r="B41" s="38">
        <f t="shared" si="1"/>
        <v>8220</v>
      </c>
      <c r="C41" s="38">
        <v>1022.0</v>
      </c>
      <c r="D41" s="38"/>
      <c r="E41" s="38"/>
      <c r="F41" s="38">
        <v>2880.0</v>
      </c>
      <c r="G41" s="38">
        <v>1147.0</v>
      </c>
      <c r="H41" s="38">
        <v>125.0</v>
      </c>
      <c r="I41" s="38"/>
      <c r="J41" s="38"/>
      <c r="K41" s="38">
        <v>589.0</v>
      </c>
      <c r="L41" s="38">
        <v>395.0</v>
      </c>
      <c r="M41" s="38">
        <v>171.0</v>
      </c>
      <c r="N41" s="38"/>
      <c r="O41" s="38"/>
      <c r="P41" s="38"/>
      <c r="Q41" s="38"/>
      <c r="R41" s="38"/>
      <c r="S41" s="38">
        <v>409.0</v>
      </c>
      <c r="T41" s="38">
        <v>1482.0</v>
      </c>
      <c r="U41" s="38"/>
      <c r="V41" s="38"/>
      <c r="W41" s="38"/>
      <c r="X41" s="38"/>
      <c r="Y41" s="38"/>
      <c r="Z41" s="38"/>
    </row>
    <row r="42" ht="15.75" customHeight="1">
      <c r="A42" s="37">
        <v>45210.0</v>
      </c>
      <c r="B42" s="38">
        <f t="shared" si="1"/>
        <v>6576</v>
      </c>
      <c r="C42" s="38">
        <v>2187.0</v>
      </c>
      <c r="D42" s="38"/>
      <c r="E42" s="38"/>
      <c r="F42" s="38">
        <v>1127.0</v>
      </c>
      <c r="G42" s="38">
        <v>1605.0</v>
      </c>
      <c r="H42" s="38">
        <v>92.0</v>
      </c>
      <c r="I42" s="38"/>
      <c r="J42" s="38"/>
      <c r="K42" s="38">
        <v>444.0</v>
      </c>
      <c r="L42" s="38">
        <v>580.0</v>
      </c>
      <c r="M42" s="38">
        <v>107.0</v>
      </c>
      <c r="N42" s="38"/>
      <c r="O42" s="38"/>
      <c r="P42" s="38"/>
      <c r="Q42" s="38"/>
      <c r="R42" s="38"/>
      <c r="S42" s="38">
        <v>240.0</v>
      </c>
      <c r="T42" s="38">
        <v>194.0</v>
      </c>
      <c r="U42" s="38"/>
      <c r="V42" s="38"/>
      <c r="W42" s="38"/>
      <c r="X42" s="38"/>
      <c r="Y42" s="38"/>
      <c r="Z42" s="38"/>
    </row>
    <row r="43" ht="15.75" customHeight="1">
      <c r="A43" s="37">
        <v>45217.0</v>
      </c>
      <c r="B43" s="38">
        <f t="shared" si="1"/>
        <v>10635</v>
      </c>
      <c r="C43" s="38">
        <v>2107.0</v>
      </c>
      <c r="D43" s="38"/>
      <c r="E43" s="38"/>
      <c r="F43" s="38">
        <v>1800.0</v>
      </c>
      <c r="G43" s="38">
        <v>722.0</v>
      </c>
      <c r="H43" s="38">
        <v>130.0</v>
      </c>
      <c r="I43" s="38"/>
      <c r="J43" s="38"/>
      <c r="K43" s="38">
        <v>1159.0</v>
      </c>
      <c r="L43" s="38">
        <v>751.0</v>
      </c>
      <c r="M43" s="38">
        <v>126.0</v>
      </c>
      <c r="N43" s="38"/>
      <c r="O43" s="38"/>
      <c r="P43" s="38"/>
      <c r="Q43" s="38"/>
      <c r="R43" s="38"/>
      <c r="S43" s="38">
        <v>205.0</v>
      </c>
      <c r="T43" s="38">
        <v>3635.0</v>
      </c>
      <c r="U43" s="38"/>
      <c r="V43" s="38"/>
      <c r="W43" s="38"/>
      <c r="X43" s="38"/>
      <c r="Y43" s="38"/>
      <c r="Z43" s="38"/>
    </row>
    <row r="44" ht="15.75" customHeight="1">
      <c r="A44" s="37">
        <v>45224.0</v>
      </c>
      <c r="B44" s="38">
        <f t="shared" si="1"/>
        <v>10308</v>
      </c>
      <c r="C44" s="38">
        <v>1339.0</v>
      </c>
      <c r="D44" s="38"/>
      <c r="E44" s="38"/>
      <c r="F44" s="38">
        <v>1349.0</v>
      </c>
      <c r="G44" s="38">
        <v>1379.0</v>
      </c>
      <c r="H44" s="38">
        <v>121.0</v>
      </c>
      <c r="I44" s="38"/>
      <c r="J44" s="38"/>
      <c r="K44" s="38">
        <v>669.0</v>
      </c>
      <c r="L44" s="38">
        <v>1198.0</v>
      </c>
      <c r="M44" s="38">
        <v>105.0</v>
      </c>
      <c r="N44" s="38"/>
      <c r="O44" s="38"/>
      <c r="P44" s="38"/>
      <c r="Q44" s="38"/>
      <c r="R44" s="38"/>
      <c r="S44" s="38">
        <v>1163.0</v>
      </c>
      <c r="T44" s="38">
        <v>2985.0</v>
      </c>
      <c r="U44" s="38"/>
      <c r="V44" s="38"/>
      <c r="W44" s="38"/>
      <c r="X44" s="38"/>
      <c r="Y44" s="38"/>
      <c r="Z44" s="38"/>
    </row>
    <row r="45" ht="15.75" customHeight="1">
      <c r="A45" s="37">
        <v>45231.0</v>
      </c>
      <c r="B45" s="38">
        <f t="shared" si="1"/>
        <v>6368</v>
      </c>
      <c r="C45" s="38">
        <v>781.0</v>
      </c>
      <c r="D45" s="38"/>
      <c r="E45" s="38"/>
      <c r="F45" s="38">
        <v>2451.0</v>
      </c>
      <c r="G45" s="38">
        <v>937.0</v>
      </c>
      <c r="H45" s="38">
        <v>135.0</v>
      </c>
      <c r="I45" s="38"/>
      <c r="J45" s="38"/>
      <c r="K45" s="38">
        <v>296.0</v>
      </c>
      <c r="L45" s="38">
        <v>365.0</v>
      </c>
      <c r="M45" s="38">
        <v>129.0</v>
      </c>
      <c r="N45" s="38"/>
      <c r="O45" s="38"/>
      <c r="P45" s="38"/>
      <c r="Q45" s="38"/>
      <c r="R45" s="38"/>
      <c r="S45" s="38">
        <v>219.0</v>
      </c>
      <c r="T45" s="38">
        <v>1055.0</v>
      </c>
      <c r="U45" s="38"/>
      <c r="V45" s="38"/>
      <c r="W45" s="38"/>
      <c r="X45" s="38"/>
      <c r="Y45" s="38"/>
      <c r="Z45" s="38"/>
    </row>
    <row r="46" ht="15.75" customHeight="1">
      <c r="A46" s="37">
        <v>45238.0</v>
      </c>
      <c r="B46" s="38">
        <f t="shared" si="1"/>
        <v>9364</v>
      </c>
      <c r="C46" s="38">
        <v>2028.0</v>
      </c>
      <c r="D46" s="38"/>
      <c r="E46" s="38"/>
      <c r="F46" s="38">
        <v>1805.0</v>
      </c>
      <c r="G46" s="38">
        <v>1552.0</v>
      </c>
      <c r="H46" s="38">
        <v>0.0</v>
      </c>
      <c r="I46" s="38"/>
      <c r="J46" s="38"/>
      <c r="K46" s="38">
        <v>928.0</v>
      </c>
      <c r="L46" s="38">
        <v>935.0</v>
      </c>
      <c r="M46" s="38">
        <v>88.0</v>
      </c>
      <c r="N46" s="38"/>
      <c r="O46" s="38"/>
      <c r="P46" s="38"/>
      <c r="Q46" s="38"/>
      <c r="R46" s="38"/>
      <c r="S46" s="38">
        <v>267.0</v>
      </c>
      <c r="T46" s="38">
        <v>1761.0</v>
      </c>
      <c r="U46" s="38"/>
      <c r="V46" s="38"/>
      <c r="W46" s="38"/>
      <c r="X46" s="38"/>
      <c r="Y46" s="38"/>
      <c r="Z46" s="38"/>
    </row>
    <row r="47" ht="15.75" customHeight="1">
      <c r="A47" s="37">
        <v>45245.0</v>
      </c>
      <c r="B47" s="38">
        <f t="shared" si="1"/>
        <v>19414</v>
      </c>
      <c r="C47" s="38">
        <v>1722.0</v>
      </c>
      <c r="D47" s="38"/>
      <c r="E47" s="38"/>
      <c r="F47" s="38">
        <v>2611.0</v>
      </c>
      <c r="G47" s="38">
        <v>1501.0</v>
      </c>
      <c r="H47" s="38">
        <v>91.0</v>
      </c>
      <c r="I47" s="38"/>
      <c r="J47" s="38"/>
      <c r="K47" s="38">
        <v>996.0</v>
      </c>
      <c r="L47" s="38">
        <v>626.0</v>
      </c>
      <c r="M47" s="38">
        <v>90.0</v>
      </c>
      <c r="N47" s="38"/>
      <c r="O47" s="38"/>
      <c r="P47" s="38"/>
      <c r="Q47" s="38"/>
      <c r="R47" s="38"/>
      <c r="S47" s="38">
        <v>499.0</v>
      </c>
      <c r="T47" s="43">
        <v>11278.0</v>
      </c>
      <c r="U47" s="38"/>
      <c r="V47" s="38"/>
      <c r="W47" s="38"/>
      <c r="X47" s="38"/>
      <c r="Y47" s="38"/>
      <c r="Z47" s="38"/>
    </row>
    <row r="48" ht="15.75" customHeight="1">
      <c r="A48" s="37">
        <v>45259.0</v>
      </c>
      <c r="B48" s="38">
        <f t="shared" si="1"/>
        <v>10987</v>
      </c>
      <c r="C48" s="38">
        <v>4232.0</v>
      </c>
      <c r="D48" s="38"/>
      <c r="E48" s="38"/>
      <c r="F48" s="58">
        <v>2404.0</v>
      </c>
      <c r="G48" s="38">
        <v>1537.0</v>
      </c>
      <c r="H48" s="38">
        <v>82.0</v>
      </c>
      <c r="I48" s="38"/>
      <c r="J48" s="38"/>
      <c r="K48" s="38">
        <v>718.0</v>
      </c>
      <c r="L48" s="38">
        <v>1203.0</v>
      </c>
      <c r="M48" s="38">
        <v>91.0</v>
      </c>
      <c r="N48" s="38"/>
      <c r="O48" s="38"/>
      <c r="P48" s="38"/>
      <c r="Q48" s="38"/>
      <c r="R48" s="38"/>
      <c r="S48" s="38">
        <v>388.0</v>
      </c>
      <c r="T48" s="38">
        <v>332.0</v>
      </c>
      <c r="U48" s="38"/>
      <c r="V48" s="38"/>
      <c r="W48" s="38"/>
      <c r="X48" s="38"/>
      <c r="Y48" s="38"/>
      <c r="Z48" s="38"/>
    </row>
    <row r="49" ht="15.75" customHeight="1">
      <c r="A49" s="37">
        <v>45266.0</v>
      </c>
      <c r="B49" s="38">
        <f t="shared" si="1"/>
        <v>12751</v>
      </c>
      <c r="C49" s="38">
        <v>961.0</v>
      </c>
      <c r="D49" s="38"/>
      <c r="E49" s="38"/>
      <c r="F49" s="38">
        <v>1714.0</v>
      </c>
      <c r="G49" s="38">
        <v>2233.0</v>
      </c>
      <c r="H49" s="38">
        <v>111.0</v>
      </c>
      <c r="I49" s="38"/>
      <c r="J49" s="38"/>
      <c r="K49" s="38">
        <v>944.0</v>
      </c>
      <c r="L49" s="38">
        <v>1387.0</v>
      </c>
      <c r="M49" s="38">
        <v>128.0</v>
      </c>
      <c r="N49" s="38"/>
      <c r="O49" s="38"/>
      <c r="P49" s="38"/>
      <c r="Q49" s="38"/>
      <c r="R49" s="38"/>
      <c r="S49" s="38">
        <v>292.0</v>
      </c>
      <c r="T49" s="38">
        <v>4981.0</v>
      </c>
      <c r="U49" s="38"/>
      <c r="V49" s="38"/>
      <c r="W49" s="38"/>
      <c r="X49" s="38"/>
      <c r="Y49" s="38"/>
      <c r="Z49" s="38"/>
    </row>
    <row r="50" ht="15.75" customHeight="1">
      <c r="A50" s="37">
        <v>45273.0</v>
      </c>
      <c r="B50" s="38">
        <f t="shared" si="1"/>
        <v>8749</v>
      </c>
      <c r="C50" s="38">
        <v>1343.0</v>
      </c>
      <c r="D50" s="38"/>
      <c r="E50" s="38"/>
      <c r="F50" s="38">
        <v>1381.0</v>
      </c>
      <c r="G50" s="38">
        <v>1806.0</v>
      </c>
      <c r="H50" s="38">
        <v>113.0</v>
      </c>
      <c r="I50" s="38"/>
      <c r="J50" s="38"/>
      <c r="K50" s="38">
        <v>630.0</v>
      </c>
      <c r="L50" s="38">
        <v>1161.0</v>
      </c>
      <c r="M50" s="38">
        <v>109.0</v>
      </c>
      <c r="N50" s="38"/>
      <c r="O50" s="38"/>
      <c r="P50" s="38"/>
      <c r="Q50" s="38"/>
      <c r="R50" s="38"/>
      <c r="S50" s="38">
        <v>362.0</v>
      </c>
      <c r="T50" s="38">
        <v>1844.0</v>
      </c>
      <c r="U50" s="38"/>
      <c r="V50" s="38"/>
      <c r="W50" s="38"/>
      <c r="X50" s="38"/>
      <c r="Y50" s="38"/>
      <c r="Z50" s="38"/>
    </row>
    <row r="51" ht="15.75" customHeight="1">
      <c r="A51" s="37">
        <v>45280.0</v>
      </c>
      <c r="B51" s="38">
        <f t="shared" si="1"/>
        <v>16444</v>
      </c>
      <c r="C51" s="38">
        <v>2367.0</v>
      </c>
      <c r="D51" s="38"/>
      <c r="E51" s="38"/>
      <c r="F51" s="38">
        <v>1792.0</v>
      </c>
      <c r="G51" s="38">
        <v>1787.0</v>
      </c>
      <c r="H51" s="38">
        <v>184.0</v>
      </c>
      <c r="I51" s="38"/>
      <c r="J51" s="38"/>
      <c r="K51" s="38">
        <v>1052.0</v>
      </c>
      <c r="L51" s="38">
        <v>460.0</v>
      </c>
      <c r="M51" s="38">
        <v>106.0</v>
      </c>
      <c r="N51" s="38"/>
      <c r="O51" s="38"/>
      <c r="P51" s="38"/>
      <c r="Q51" s="38"/>
      <c r="R51" s="38"/>
      <c r="S51" s="38">
        <v>0.0</v>
      </c>
      <c r="T51" s="38">
        <v>8696.0</v>
      </c>
      <c r="U51" s="38"/>
      <c r="V51" s="38"/>
      <c r="W51" s="38"/>
      <c r="X51" s="38"/>
      <c r="Y51" s="38"/>
      <c r="Z51" s="38"/>
    </row>
    <row r="52" ht="15.75" customHeight="1">
      <c r="A52" s="37">
        <v>45294.0</v>
      </c>
      <c r="B52" s="38">
        <f t="shared" si="1"/>
        <v>5042</v>
      </c>
      <c r="C52" s="38">
        <v>609.0</v>
      </c>
      <c r="D52" s="38"/>
      <c r="E52" s="38"/>
      <c r="F52" s="56">
        <v>1480.0</v>
      </c>
      <c r="G52" s="38">
        <v>1631.0</v>
      </c>
      <c r="H52" s="38">
        <v>0.0</v>
      </c>
      <c r="I52" s="38"/>
      <c r="J52" s="38"/>
      <c r="K52" s="38">
        <v>283.0</v>
      </c>
      <c r="L52" s="38">
        <v>625.0</v>
      </c>
      <c r="M52" s="38">
        <v>152.0</v>
      </c>
      <c r="N52" s="38"/>
      <c r="O52" s="38"/>
      <c r="P52" s="38"/>
      <c r="Q52" s="38"/>
      <c r="R52" s="38"/>
      <c r="S52" s="38">
        <v>262.0</v>
      </c>
      <c r="T52" s="38">
        <v>0.0</v>
      </c>
      <c r="U52" s="38"/>
      <c r="V52" s="38"/>
      <c r="W52" s="38"/>
      <c r="X52" s="38"/>
      <c r="Y52" s="38"/>
      <c r="Z52" s="38"/>
    </row>
    <row r="53" ht="15.75" customHeight="1">
      <c r="A53" s="37">
        <v>45301.0</v>
      </c>
      <c r="B53" s="38">
        <f t="shared" si="1"/>
        <v>7090</v>
      </c>
      <c r="C53" s="38">
        <v>2000.0</v>
      </c>
      <c r="D53" s="38"/>
      <c r="E53" s="38"/>
      <c r="F53" s="38">
        <v>2160.0</v>
      </c>
      <c r="G53" s="38">
        <v>1162.0</v>
      </c>
      <c r="H53" s="38">
        <v>102.0</v>
      </c>
      <c r="I53" s="38"/>
      <c r="J53" s="38"/>
      <c r="K53" s="38">
        <v>771.0</v>
      </c>
      <c r="L53" s="38">
        <v>225.0</v>
      </c>
      <c r="M53" s="38">
        <v>185.0</v>
      </c>
      <c r="N53" s="38"/>
      <c r="O53" s="38"/>
      <c r="P53" s="38"/>
      <c r="Q53" s="38"/>
      <c r="R53" s="38"/>
      <c r="S53" s="38">
        <v>0.0</v>
      </c>
      <c r="T53" s="38">
        <v>485.0</v>
      </c>
      <c r="U53" s="38"/>
      <c r="V53" s="38"/>
      <c r="W53" s="38"/>
      <c r="X53" s="38"/>
      <c r="Y53" s="38"/>
      <c r="Z53" s="38"/>
    </row>
    <row r="54" ht="15.75" customHeight="1">
      <c r="A54" s="37">
        <v>45308.0</v>
      </c>
      <c r="B54" s="38">
        <f t="shared" si="1"/>
        <v>19130</v>
      </c>
      <c r="C54" s="38">
        <v>905.0</v>
      </c>
      <c r="D54" s="38"/>
      <c r="E54" s="38"/>
      <c r="F54" s="38">
        <v>1570.0</v>
      </c>
      <c r="G54" s="38">
        <v>1297.0</v>
      </c>
      <c r="H54" s="38">
        <v>320.0</v>
      </c>
      <c r="I54" s="38"/>
      <c r="J54" s="38"/>
      <c r="K54" s="38">
        <v>1013.0</v>
      </c>
      <c r="L54" s="38">
        <v>1208.0</v>
      </c>
      <c r="M54" s="38">
        <v>85.0</v>
      </c>
      <c r="N54" s="38"/>
      <c r="O54" s="38"/>
      <c r="P54" s="38"/>
      <c r="Q54" s="38"/>
      <c r="R54" s="38"/>
      <c r="S54" s="38">
        <v>480.0</v>
      </c>
      <c r="T54" s="38">
        <v>12252.0</v>
      </c>
      <c r="U54" s="38"/>
      <c r="V54" s="38"/>
      <c r="W54" s="38"/>
      <c r="X54" s="38"/>
      <c r="Y54" s="38"/>
      <c r="Z54" s="38"/>
    </row>
    <row r="55" ht="15.75" customHeight="1">
      <c r="A55" s="37">
        <v>45315.0</v>
      </c>
      <c r="B55" s="38">
        <f t="shared" si="1"/>
        <v>8454</v>
      </c>
      <c r="C55" s="38">
        <v>1788.0</v>
      </c>
      <c r="D55" s="38"/>
      <c r="E55" s="38"/>
      <c r="F55" s="38">
        <v>1885.0</v>
      </c>
      <c r="G55" s="38">
        <v>1278.0</v>
      </c>
      <c r="H55" s="38">
        <v>82.0</v>
      </c>
      <c r="I55" s="38"/>
      <c r="J55" s="38"/>
      <c r="K55" s="38">
        <v>700.0</v>
      </c>
      <c r="L55" s="38">
        <v>823.0</v>
      </c>
      <c r="M55" s="38">
        <v>180.0</v>
      </c>
      <c r="N55" s="38"/>
      <c r="O55" s="38"/>
      <c r="P55" s="38"/>
      <c r="Q55" s="38"/>
      <c r="R55" s="38"/>
      <c r="S55" s="38">
        <v>0.0</v>
      </c>
      <c r="T55" s="38">
        <v>1718.0</v>
      </c>
      <c r="U55" s="38"/>
      <c r="V55" s="38"/>
      <c r="W55" s="38"/>
      <c r="X55" s="38"/>
      <c r="Y55" s="38"/>
      <c r="Z55" s="38"/>
    </row>
    <row r="56" ht="15.75" customHeight="1">
      <c r="A56" s="37">
        <v>45322.0</v>
      </c>
      <c r="B56" s="38">
        <f t="shared" si="1"/>
        <v>9864</v>
      </c>
      <c r="C56" s="38">
        <v>1859.0</v>
      </c>
      <c r="D56" s="38"/>
      <c r="E56" s="38"/>
      <c r="F56" s="56">
        <v>1437.0</v>
      </c>
      <c r="G56" s="38">
        <v>1296.0</v>
      </c>
      <c r="H56" s="38">
        <v>128.0</v>
      </c>
      <c r="I56" s="38"/>
      <c r="J56" s="38"/>
      <c r="K56" s="38">
        <v>935.0</v>
      </c>
      <c r="L56" s="38">
        <v>723.0</v>
      </c>
      <c r="M56" s="38">
        <v>0.0</v>
      </c>
      <c r="N56" s="38"/>
      <c r="O56" s="38"/>
      <c r="P56" s="38"/>
      <c r="Q56" s="38"/>
      <c r="R56" s="38"/>
      <c r="S56" s="38">
        <v>232.0</v>
      </c>
      <c r="T56" s="38">
        <v>3254.0</v>
      </c>
      <c r="U56" s="38"/>
      <c r="V56" s="38"/>
      <c r="W56" s="38"/>
      <c r="X56" s="38"/>
      <c r="Y56" s="38"/>
      <c r="Z56" s="38"/>
    </row>
    <row r="57" ht="15.75" customHeight="1">
      <c r="A57" s="37">
        <v>45329.0</v>
      </c>
      <c r="B57" s="38">
        <f t="shared" si="1"/>
        <v>7000</v>
      </c>
      <c r="C57" s="38">
        <v>1526.0</v>
      </c>
      <c r="D57" s="38"/>
      <c r="E57" s="38"/>
      <c r="F57" s="38">
        <v>1465.0</v>
      </c>
      <c r="G57" s="38">
        <v>1048.0</v>
      </c>
      <c r="H57" s="38">
        <v>72.0</v>
      </c>
      <c r="I57" s="38"/>
      <c r="J57" s="38"/>
      <c r="K57" s="38">
        <v>605.0</v>
      </c>
      <c r="L57" s="38">
        <v>214.0</v>
      </c>
      <c r="M57" s="38">
        <v>110.0</v>
      </c>
      <c r="N57" s="38"/>
      <c r="O57" s="38"/>
      <c r="P57" s="38"/>
      <c r="Q57" s="38"/>
      <c r="R57" s="38"/>
      <c r="S57" s="38">
        <v>0.0</v>
      </c>
      <c r="T57" s="38">
        <v>1960.0</v>
      </c>
      <c r="U57" s="38"/>
      <c r="V57" s="38"/>
      <c r="W57" s="38"/>
      <c r="X57" s="38"/>
      <c r="Y57" s="38"/>
      <c r="Z57" s="38"/>
    </row>
    <row r="58" ht="15.75" customHeight="1">
      <c r="A58" s="37">
        <v>45336.0</v>
      </c>
      <c r="B58" s="38">
        <f t="shared" si="1"/>
        <v>10476</v>
      </c>
      <c r="C58" s="56">
        <v>3087.0</v>
      </c>
      <c r="D58" s="38"/>
      <c r="E58" s="38"/>
      <c r="F58" s="56">
        <v>1594.0</v>
      </c>
      <c r="G58" s="56">
        <v>821.0</v>
      </c>
      <c r="H58" s="38">
        <v>0.0</v>
      </c>
      <c r="I58" s="38"/>
      <c r="J58" s="38"/>
      <c r="K58" s="38">
        <v>508.0</v>
      </c>
      <c r="L58" s="56">
        <v>930.0</v>
      </c>
      <c r="M58" s="38">
        <v>108.0</v>
      </c>
      <c r="N58" s="38"/>
      <c r="O58" s="38"/>
      <c r="P58" s="38"/>
      <c r="Q58" s="38"/>
      <c r="R58" s="38"/>
      <c r="S58" s="56">
        <v>287.0</v>
      </c>
      <c r="T58" s="38">
        <v>3141.0</v>
      </c>
      <c r="U58" s="38"/>
      <c r="V58" s="38"/>
      <c r="W58" s="38"/>
      <c r="X58" s="38"/>
      <c r="Y58" s="38"/>
      <c r="Z58" s="38"/>
    </row>
    <row r="59" ht="15.75" customHeight="1">
      <c r="A59" s="37">
        <v>45343.0</v>
      </c>
      <c r="B59" s="38">
        <f t="shared" si="1"/>
        <v>16353</v>
      </c>
      <c r="C59" s="38">
        <v>2225.0</v>
      </c>
      <c r="D59" s="38"/>
      <c r="E59" s="38"/>
      <c r="F59" s="38">
        <v>2628.0</v>
      </c>
      <c r="G59" s="38">
        <v>1789.0</v>
      </c>
      <c r="H59" s="38">
        <v>92.0</v>
      </c>
      <c r="I59" s="38"/>
      <c r="J59" s="38"/>
      <c r="K59" s="38">
        <v>822.0</v>
      </c>
      <c r="L59" s="38">
        <v>1351.0</v>
      </c>
      <c r="M59" s="38">
        <v>396.0</v>
      </c>
      <c r="N59" s="38"/>
      <c r="O59" s="38"/>
      <c r="P59" s="38"/>
      <c r="Q59" s="38"/>
      <c r="R59" s="38"/>
      <c r="S59" s="56">
        <v>0.0</v>
      </c>
      <c r="T59" s="38">
        <v>7050.0</v>
      </c>
      <c r="U59" s="38"/>
      <c r="V59" s="38"/>
      <c r="W59" s="38"/>
      <c r="X59" s="38"/>
      <c r="Y59" s="38"/>
      <c r="Z59" s="38"/>
    </row>
    <row r="60" ht="15.75" customHeight="1">
      <c r="A60" s="37">
        <v>45350.0</v>
      </c>
      <c r="B60" s="38">
        <f t="shared" si="1"/>
        <v>6300</v>
      </c>
      <c r="C60" s="38">
        <v>938.0</v>
      </c>
      <c r="D60" s="38"/>
      <c r="E60" s="38"/>
      <c r="F60" s="38">
        <v>1708.0</v>
      </c>
      <c r="G60" s="38">
        <v>946.0</v>
      </c>
      <c r="H60" s="38">
        <v>81.0</v>
      </c>
      <c r="I60" s="38"/>
      <c r="J60" s="38"/>
      <c r="K60" s="38">
        <v>451.0</v>
      </c>
      <c r="L60" s="38">
        <v>749.0</v>
      </c>
      <c r="M60" s="38">
        <v>74.0</v>
      </c>
      <c r="N60" s="38"/>
      <c r="O60" s="38"/>
      <c r="P60" s="38"/>
      <c r="Q60" s="38"/>
      <c r="R60" s="38"/>
      <c r="S60" s="38">
        <v>353.0</v>
      </c>
      <c r="T60" s="38">
        <v>1000.0</v>
      </c>
      <c r="U60" s="38"/>
      <c r="V60" s="38"/>
      <c r="W60" s="38"/>
      <c r="X60" s="38"/>
      <c r="Y60" s="38"/>
      <c r="Z60" s="38"/>
    </row>
    <row r="61" ht="15.75" customHeight="1">
      <c r="A61" s="37">
        <v>45357.0</v>
      </c>
      <c r="B61" s="38">
        <f t="shared" si="1"/>
        <v>9931</v>
      </c>
      <c r="C61" s="38">
        <v>1324.0</v>
      </c>
      <c r="D61" s="38"/>
      <c r="E61" s="38"/>
      <c r="F61" s="38">
        <v>1351.0</v>
      </c>
      <c r="G61" s="38">
        <v>1160.0</v>
      </c>
      <c r="H61" s="38">
        <v>102.0</v>
      </c>
      <c r="I61" s="38"/>
      <c r="J61" s="38"/>
      <c r="K61" s="38">
        <v>367.0</v>
      </c>
      <c r="L61" s="38">
        <v>745.0</v>
      </c>
      <c r="M61" s="38">
        <v>74.0</v>
      </c>
      <c r="N61" s="38"/>
      <c r="O61" s="38"/>
      <c r="P61" s="38"/>
      <c r="Q61" s="38"/>
      <c r="R61" s="38"/>
      <c r="S61" s="38">
        <v>264.0</v>
      </c>
      <c r="T61" s="38">
        <v>4544.0</v>
      </c>
      <c r="U61" s="38"/>
      <c r="V61" s="38"/>
      <c r="W61" s="38"/>
      <c r="X61" s="38"/>
      <c r="Y61" s="38"/>
      <c r="Z61" s="38"/>
    </row>
    <row r="62" ht="15.75" customHeight="1">
      <c r="A62" s="37">
        <v>45364.0</v>
      </c>
      <c r="B62" s="38">
        <f t="shared" si="1"/>
        <v>8000</v>
      </c>
      <c r="C62" s="56">
        <v>1254.0</v>
      </c>
      <c r="D62" s="38"/>
      <c r="E62" s="38"/>
      <c r="F62" s="38">
        <v>1878.0</v>
      </c>
      <c r="G62" s="38">
        <v>1849.0</v>
      </c>
      <c r="H62" s="38">
        <v>106.0</v>
      </c>
      <c r="I62" s="38"/>
      <c r="J62" s="38"/>
      <c r="K62" s="38">
        <v>788.0</v>
      </c>
      <c r="L62" s="38">
        <v>277.0</v>
      </c>
      <c r="M62" s="38">
        <v>114.0</v>
      </c>
      <c r="N62" s="38"/>
      <c r="O62" s="38"/>
      <c r="P62" s="38"/>
      <c r="Q62" s="38"/>
      <c r="R62" s="38"/>
      <c r="S62" s="38">
        <v>0.0</v>
      </c>
      <c r="T62" s="38">
        <v>1734.0</v>
      </c>
      <c r="U62" s="38"/>
      <c r="V62" s="38"/>
      <c r="W62" s="38"/>
      <c r="X62" s="38"/>
      <c r="Y62" s="38"/>
      <c r="Z62" s="38"/>
    </row>
    <row r="63" ht="15.75" customHeight="1">
      <c r="A63" s="37">
        <v>45371.0</v>
      </c>
      <c r="B63" s="38">
        <f t="shared" si="1"/>
        <v>11315</v>
      </c>
      <c r="C63" s="38">
        <v>795.0</v>
      </c>
      <c r="D63" s="38"/>
      <c r="E63" s="38"/>
      <c r="F63" s="38">
        <v>1672.0</v>
      </c>
      <c r="G63" s="38">
        <v>1845.0</v>
      </c>
      <c r="H63" s="38">
        <v>82.0</v>
      </c>
      <c r="I63" s="38"/>
      <c r="J63" s="38"/>
      <c r="K63" s="38">
        <v>736.0</v>
      </c>
      <c r="L63" s="38">
        <v>941.0</v>
      </c>
      <c r="M63" s="38">
        <v>0.0</v>
      </c>
      <c r="N63" s="38"/>
      <c r="O63" s="38"/>
      <c r="P63" s="38"/>
      <c r="Q63" s="38"/>
      <c r="R63" s="38"/>
      <c r="S63" s="38">
        <v>473.0</v>
      </c>
      <c r="T63" s="38">
        <v>4771.0</v>
      </c>
      <c r="U63" s="38"/>
      <c r="V63" s="38"/>
      <c r="W63" s="38"/>
      <c r="X63" s="38"/>
      <c r="Y63" s="38"/>
      <c r="Z63" s="38"/>
    </row>
    <row r="64" ht="15.75" customHeight="1">
      <c r="A64" s="37">
        <v>45385.0</v>
      </c>
      <c r="B64" s="38">
        <f t="shared" si="1"/>
        <v>5407</v>
      </c>
      <c r="C64" s="38">
        <v>757.0</v>
      </c>
      <c r="D64" s="38"/>
      <c r="E64" s="38"/>
      <c r="F64" s="38">
        <v>2160.0</v>
      </c>
      <c r="G64" s="38">
        <v>1629.0</v>
      </c>
      <c r="H64" s="38">
        <v>0.0</v>
      </c>
      <c r="I64" s="38"/>
      <c r="J64" s="38"/>
      <c r="K64" s="38">
        <v>179.0</v>
      </c>
      <c r="L64" s="38">
        <v>482.0</v>
      </c>
      <c r="M64" s="38">
        <v>0.0</v>
      </c>
      <c r="N64" s="38"/>
      <c r="O64" s="38"/>
      <c r="P64" s="38"/>
      <c r="Q64" s="38"/>
      <c r="R64" s="38"/>
      <c r="S64" s="38">
        <v>0.0</v>
      </c>
      <c r="T64" s="38">
        <v>200.0</v>
      </c>
      <c r="U64" s="38"/>
      <c r="V64" s="38"/>
      <c r="W64" s="38"/>
      <c r="X64" s="38"/>
      <c r="Y64" s="38"/>
      <c r="Z64" s="38"/>
    </row>
    <row r="65" ht="15.75" customHeight="1">
      <c r="A65" s="37">
        <v>45392.0</v>
      </c>
      <c r="B65" s="38">
        <f t="shared" si="1"/>
        <v>10859</v>
      </c>
      <c r="C65" s="38">
        <v>954.0</v>
      </c>
      <c r="D65" s="38"/>
      <c r="E65" s="38"/>
      <c r="F65" s="38">
        <v>1588.0</v>
      </c>
      <c r="G65" s="38">
        <v>0.0</v>
      </c>
      <c r="H65" s="38">
        <v>102.0</v>
      </c>
      <c r="I65" s="38"/>
      <c r="J65" s="38"/>
      <c r="K65" s="38">
        <v>1038.0</v>
      </c>
      <c r="L65" s="38">
        <v>2640.0</v>
      </c>
      <c r="M65" s="38">
        <v>0.0</v>
      </c>
      <c r="N65" s="38"/>
      <c r="O65" s="38"/>
      <c r="P65" s="38"/>
      <c r="Q65" s="38"/>
      <c r="R65" s="38"/>
      <c r="S65" s="38">
        <v>250.0</v>
      </c>
      <c r="T65" s="38">
        <v>4287.0</v>
      </c>
      <c r="U65" s="38"/>
      <c r="V65" s="38"/>
      <c r="W65" s="38"/>
      <c r="X65" s="38"/>
      <c r="Y65" s="38"/>
      <c r="Z65" s="38"/>
    </row>
    <row r="66" ht="15.75" customHeight="1">
      <c r="A66" s="37">
        <v>45399.0</v>
      </c>
      <c r="B66" s="38">
        <f t="shared" si="1"/>
        <v>10276</v>
      </c>
      <c r="C66" s="38">
        <v>1229.0</v>
      </c>
      <c r="D66" s="38"/>
      <c r="E66" s="38"/>
      <c r="F66" s="38">
        <v>2750.0</v>
      </c>
      <c r="G66" s="38">
        <v>968.0</v>
      </c>
      <c r="H66" s="38">
        <v>0.0</v>
      </c>
      <c r="I66" s="38"/>
      <c r="J66" s="38"/>
      <c r="K66" s="38">
        <v>609.0</v>
      </c>
      <c r="L66" s="38">
        <v>2668.0</v>
      </c>
      <c r="M66" s="38">
        <v>0.0</v>
      </c>
      <c r="N66" s="38"/>
      <c r="O66" s="38"/>
      <c r="P66" s="38"/>
      <c r="Q66" s="38"/>
      <c r="R66" s="38"/>
      <c r="S66" s="38">
        <v>0.0</v>
      </c>
      <c r="T66" s="38">
        <v>2052.0</v>
      </c>
      <c r="U66" s="38"/>
      <c r="V66" s="38"/>
      <c r="W66" s="38"/>
      <c r="X66" s="38"/>
      <c r="Y66" s="38"/>
      <c r="Z66" s="38"/>
    </row>
    <row r="67" ht="15.75" customHeight="1">
      <c r="A67" s="37">
        <v>45413.0</v>
      </c>
      <c r="B67" s="38">
        <f t="shared" si="1"/>
        <v>10026</v>
      </c>
      <c r="C67" s="38">
        <v>1057.0</v>
      </c>
      <c r="D67" s="38"/>
      <c r="E67" s="38"/>
      <c r="F67" s="38">
        <v>2174.0</v>
      </c>
      <c r="G67" s="38">
        <v>1777.0</v>
      </c>
      <c r="H67" s="38">
        <v>112.0</v>
      </c>
      <c r="I67" s="38"/>
      <c r="J67" s="38"/>
      <c r="K67" s="38">
        <v>1282.0</v>
      </c>
      <c r="L67" s="38">
        <v>968.0</v>
      </c>
      <c r="M67" s="38">
        <v>0.0</v>
      </c>
      <c r="N67" s="38"/>
      <c r="O67" s="38"/>
      <c r="P67" s="38"/>
      <c r="Q67" s="38"/>
      <c r="R67" s="38"/>
      <c r="S67" s="38">
        <v>274.0</v>
      </c>
      <c r="T67" s="38">
        <v>2382.0</v>
      </c>
      <c r="U67" s="38"/>
      <c r="V67" s="38"/>
      <c r="W67" s="38"/>
      <c r="X67" s="38"/>
      <c r="Y67" s="38"/>
      <c r="Z67" s="38"/>
    </row>
    <row r="68" ht="15.75" customHeight="1">
      <c r="A68" s="37">
        <v>45420.0</v>
      </c>
      <c r="B68" s="38">
        <f t="shared" si="1"/>
        <v>7815</v>
      </c>
      <c r="C68" s="38">
        <v>1405.0</v>
      </c>
      <c r="D68" s="38"/>
      <c r="E68" s="38"/>
      <c r="F68" s="38">
        <v>1944.0</v>
      </c>
      <c r="G68" s="38">
        <v>916.0</v>
      </c>
      <c r="H68" s="38">
        <v>72.0</v>
      </c>
      <c r="I68" s="38"/>
      <c r="J68" s="38"/>
      <c r="K68" s="38">
        <v>1168.0</v>
      </c>
      <c r="L68" s="38">
        <v>507.0</v>
      </c>
      <c r="M68" s="38">
        <v>0.0</v>
      </c>
      <c r="N68" s="38"/>
      <c r="O68" s="38"/>
      <c r="P68" s="38"/>
      <c r="Q68" s="38"/>
      <c r="R68" s="38"/>
      <c r="S68" s="38">
        <v>244.0</v>
      </c>
      <c r="T68" s="38">
        <v>1559.0</v>
      </c>
      <c r="U68" s="38"/>
      <c r="V68" s="38"/>
      <c r="W68" s="38"/>
      <c r="X68" s="38"/>
      <c r="Y68" s="38"/>
      <c r="Z68" s="38"/>
    </row>
    <row r="69" ht="15.75" customHeight="1">
      <c r="A69" s="37">
        <v>45427.0</v>
      </c>
      <c r="B69" s="38">
        <f t="shared" si="1"/>
        <v>9254</v>
      </c>
      <c r="C69" s="38">
        <v>1355.0</v>
      </c>
      <c r="D69" s="38"/>
      <c r="E69" s="38"/>
      <c r="F69" s="38">
        <v>2477.0</v>
      </c>
      <c r="G69" s="38">
        <v>1259.0</v>
      </c>
      <c r="H69" s="38">
        <v>92.0</v>
      </c>
      <c r="I69" s="38"/>
      <c r="J69" s="38"/>
      <c r="K69" s="38">
        <v>581.0</v>
      </c>
      <c r="L69" s="38">
        <v>673.0</v>
      </c>
      <c r="M69" s="38">
        <v>0.0</v>
      </c>
      <c r="N69" s="38"/>
      <c r="O69" s="38"/>
      <c r="P69" s="38"/>
      <c r="Q69" s="38"/>
      <c r="R69" s="38"/>
      <c r="S69" s="38">
        <v>484.0</v>
      </c>
      <c r="T69" s="38">
        <v>2333.0</v>
      </c>
      <c r="U69" s="38"/>
      <c r="V69" s="38"/>
      <c r="W69" s="38"/>
      <c r="X69" s="38"/>
      <c r="Y69" s="38"/>
      <c r="Z69" s="38"/>
    </row>
    <row r="70" ht="15.75" customHeight="1">
      <c r="A70" s="37">
        <v>45434.0</v>
      </c>
      <c r="B70" s="38">
        <f t="shared" si="1"/>
        <v>5628</v>
      </c>
      <c r="C70" s="38">
        <v>848.0</v>
      </c>
      <c r="D70" s="38"/>
      <c r="E70" s="38"/>
      <c r="F70" s="38">
        <v>2341.0</v>
      </c>
      <c r="G70" s="38">
        <v>582.0</v>
      </c>
      <c r="H70" s="38">
        <v>0.0</v>
      </c>
      <c r="I70" s="38"/>
      <c r="J70" s="38"/>
      <c r="K70" s="38">
        <v>644.0</v>
      </c>
      <c r="L70" s="38">
        <v>533.0</v>
      </c>
      <c r="M70" s="38">
        <v>0.0</v>
      </c>
      <c r="N70" s="38"/>
      <c r="O70" s="38"/>
      <c r="P70" s="38"/>
      <c r="Q70" s="38"/>
      <c r="R70" s="38"/>
      <c r="S70" s="38">
        <v>278.0</v>
      </c>
      <c r="T70" s="38">
        <v>402.0</v>
      </c>
      <c r="U70" s="38"/>
      <c r="V70" s="38"/>
      <c r="W70" s="38"/>
      <c r="X70" s="38"/>
      <c r="Y70" s="38"/>
      <c r="Z70" s="38"/>
    </row>
    <row r="71" ht="15.75" customHeight="1">
      <c r="A71" s="37">
        <v>45440.0</v>
      </c>
      <c r="B71" s="38">
        <f t="shared" si="1"/>
        <v>5571</v>
      </c>
      <c r="C71" s="38">
        <v>584.0</v>
      </c>
      <c r="D71" s="38"/>
      <c r="E71" s="38"/>
      <c r="F71" s="38">
        <v>1740.0</v>
      </c>
      <c r="G71" s="38">
        <v>852.0</v>
      </c>
      <c r="H71" s="38">
        <v>0.0</v>
      </c>
      <c r="I71" s="38"/>
      <c r="J71" s="38"/>
      <c r="K71" s="38">
        <v>828.0</v>
      </c>
      <c r="L71" s="38">
        <v>511.0</v>
      </c>
      <c r="M71" s="38">
        <v>0.0</v>
      </c>
      <c r="N71" s="38"/>
      <c r="O71" s="38"/>
      <c r="P71" s="38"/>
      <c r="Q71" s="38"/>
      <c r="R71" s="38"/>
      <c r="S71" s="38">
        <v>250.0</v>
      </c>
      <c r="T71" s="38">
        <v>806.0</v>
      </c>
      <c r="U71" s="38"/>
      <c r="V71" s="38"/>
      <c r="W71" s="38"/>
      <c r="X71" s="38"/>
      <c r="Y71" s="38"/>
      <c r="Z71" s="38"/>
    </row>
    <row r="72" ht="15.75" customHeight="1">
      <c r="A72" s="37">
        <v>45448.0</v>
      </c>
      <c r="B72" s="38">
        <f t="shared" si="1"/>
        <v>6979</v>
      </c>
      <c r="C72" s="38">
        <v>1569.0</v>
      </c>
      <c r="D72" s="38"/>
      <c r="E72" s="38"/>
      <c r="F72" s="38">
        <v>1552.0</v>
      </c>
      <c r="G72" s="38">
        <v>1436.0</v>
      </c>
      <c r="H72" s="38">
        <v>159.0</v>
      </c>
      <c r="I72" s="38"/>
      <c r="J72" s="38"/>
      <c r="K72" s="38">
        <v>721.0</v>
      </c>
      <c r="L72" s="38">
        <v>707.0</v>
      </c>
      <c r="M72" s="38">
        <v>0.0</v>
      </c>
      <c r="N72" s="38"/>
      <c r="O72" s="38"/>
      <c r="P72" s="38"/>
      <c r="Q72" s="38"/>
      <c r="R72" s="38"/>
      <c r="S72" s="38">
        <v>735.0</v>
      </c>
      <c r="T72" s="38">
        <v>100.0</v>
      </c>
      <c r="U72" s="38"/>
      <c r="V72" s="38"/>
      <c r="W72" s="38"/>
      <c r="X72" s="38"/>
      <c r="Y72" s="38"/>
      <c r="Z72" s="38"/>
    </row>
    <row r="73" ht="15.75" customHeight="1">
      <c r="A73" s="37">
        <v>45455.0</v>
      </c>
      <c r="B73" s="38">
        <f t="shared" si="1"/>
        <v>10580</v>
      </c>
      <c r="C73" s="38">
        <v>2135.0</v>
      </c>
      <c r="D73" s="38"/>
      <c r="E73" s="38"/>
      <c r="F73" s="38">
        <v>2400.0</v>
      </c>
      <c r="G73" s="38">
        <v>2323.0</v>
      </c>
      <c r="H73" s="38">
        <v>72.0</v>
      </c>
      <c r="I73" s="38"/>
      <c r="J73" s="38"/>
      <c r="K73" s="38">
        <v>690.0</v>
      </c>
      <c r="L73" s="38">
        <v>751.0</v>
      </c>
      <c r="M73" s="38">
        <v>0.0</v>
      </c>
      <c r="N73" s="38"/>
      <c r="O73" s="38"/>
      <c r="P73" s="38"/>
      <c r="Q73" s="38"/>
      <c r="R73" s="38"/>
      <c r="S73" s="38">
        <v>125.0</v>
      </c>
      <c r="T73" s="38">
        <v>2084.0</v>
      </c>
      <c r="U73" s="38"/>
      <c r="V73" s="38"/>
      <c r="W73" s="38"/>
      <c r="X73" s="38"/>
      <c r="Y73" s="38"/>
      <c r="Z73" s="38"/>
    </row>
    <row r="74" ht="15.75" customHeight="1">
      <c r="A74" s="37">
        <v>45462.0</v>
      </c>
      <c r="B74" s="38">
        <f t="shared" si="1"/>
        <v>8527</v>
      </c>
      <c r="C74" s="38">
        <v>1218.0</v>
      </c>
      <c r="D74" s="38"/>
      <c r="E74" s="38"/>
      <c r="F74" s="38">
        <v>1980.0</v>
      </c>
      <c r="G74" s="38">
        <v>1695.0</v>
      </c>
      <c r="H74" s="38">
        <v>74.0</v>
      </c>
      <c r="I74" s="38"/>
      <c r="J74" s="38"/>
      <c r="K74" s="38">
        <v>1088.0</v>
      </c>
      <c r="L74" s="38">
        <v>586.0</v>
      </c>
      <c r="M74" s="38">
        <v>0.0</v>
      </c>
      <c r="N74" s="38"/>
      <c r="O74" s="38"/>
      <c r="P74" s="38"/>
      <c r="Q74" s="38"/>
      <c r="R74" s="38"/>
      <c r="S74" s="38">
        <v>454.0</v>
      </c>
      <c r="T74" s="38">
        <v>1432.0</v>
      </c>
      <c r="U74" s="38"/>
      <c r="V74" s="38"/>
      <c r="W74" s="38"/>
      <c r="X74" s="38"/>
      <c r="Y74" s="38"/>
      <c r="Z74" s="38"/>
    </row>
    <row r="75" ht="15.75" customHeight="1">
      <c r="A75" s="37">
        <v>45469.0</v>
      </c>
      <c r="B75" s="38">
        <f t="shared" si="1"/>
        <v>8987</v>
      </c>
      <c r="C75" s="38">
        <v>1198.0</v>
      </c>
      <c r="D75" s="38"/>
      <c r="E75" s="38"/>
      <c r="F75" s="38">
        <v>1272.0</v>
      </c>
      <c r="G75" s="38">
        <v>1715.0</v>
      </c>
      <c r="H75" s="38">
        <v>0.0</v>
      </c>
      <c r="I75" s="38"/>
      <c r="J75" s="38"/>
      <c r="K75" s="38">
        <v>789.0</v>
      </c>
      <c r="L75" s="38">
        <v>766.0</v>
      </c>
      <c r="M75" s="38">
        <v>0.0</v>
      </c>
      <c r="N75" s="38"/>
      <c r="O75" s="38"/>
      <c r="P75" s="38"/>
      <c r="Q75" s="38"/>
      <c r="R75" s="38"/>
      <c r="S75" s="38">
        <v>275.0</v>
      </c>
      <c r="T75" s="38">
        <v>2972.0</v>
      </c>
      <c r="U75" s="38"/>
      <c r="V75" s="38"/>
      <c r="W75" s="38"/>
      <c r="X75" s="38"/>
      <c r="Y75" s="38"/>
      <c r="Z75" s="38"/>
    </row>
    <row r="76" ht="15.75" customHeight="1">
      <c r="A76" s="37">
        <v>45483.0</v>
      </c>
      <c r="B76" s="38">
        <f t="shared" si="1"/>
        <v>9810</v>
      </c>
      <c r="C76" s="38">
        <v>1134.0</v>
      </c>
      <c r="D76" s="38"/>
      <c r="E76" s="38"/>
      <c r="F76" s="38">
        <v>1681.0</v>
      </c>
      <c r="G76" s="38">
        <v>2170.0</v>
      </c>
      <c r="H76" s="38">
        <v>0.0</v>
      </c>
      <c r="I76" s="38"/>
      <c r="J76" s="38"/>
      <c r="K76" s="38">
        <v>583.0</v>
      </c>
      <c r="L76" s="38">
        <v>784.0</v>
      </c>
      <c r="M76" s="38">
        <v>0.0</v>
      </c>
      <c r="N76" s="38"/>
      <c r="O76" s="38"/>
      <c r="P76" s="38"/>
      <c r="Q76" s="38"/>
      <c r="R76" s="38"/>
      <c r="S76" s="38">
        <v>426.0</v>
      </c>
      <c r="T76" s="38">
        <v>3032.0</v>
      </c>
      <c r="U76" s="38"/>
      <c r="V76" s="38"/>
      <c r="W76" s="38"/>
      <c r="X76" s="38"/>
      <c r="Y76" s="38"/>
      <c r="Z76" s="38"/>
    </row>
    <row r="77" ht="15.75" customHeight="1">
      <c r="A77" s="37">
        <v>45490.0</v>
      </c>
      <c r="B77" s="38">
        <f t="shared" si="1"/>
        <v>11526</v>
      </c>
      <c r="C77" s="38">
        <v>3333.0</v>
      </c>
      <c r="D77" s="38"/>
      <c r="E77" s="38"/>
      <c r="F77" s="38">
        <v>1513.0</v>
      </c>
      <c r="G77" s="38">
        <v>1820.0</v>
      </c>
      <c r="H77" s="38">
        <v>101.0</v>
      </c>
      <c r="I77" s="38"/>
      <c r="J77" s="38"/>
      <c r="K77" s="38">
        <v>632.0</v>
      </c>
      <c r="L77" s="38">
        <v>1425.0</v>
      </c>
      <c r="M77" s="38">
        <v>0.0</v>
      </c>
      <c r="N77" s="38"/>
      <c r="O77" s="38"/>
      <c r="P77" s="38"/>
      <c r="Q77" s="38"/>
      <c r="R77" s="38"/>
      <c r="S77" s="38">
        <v>226.0</v>
      </c>
      <c r="T77" s="38">
        <v>2476.0</v>
      </c>
      <c r="U77" s="38"/>
      <c r="V77" s="38"/>
      <c r="W77" s="38"/>
      <c r="X77" s="38"/>
      <c r="Y77" s="38"/>
      <c r="Z77" s="38"/>
    </row>
    <row r="78" ht="15.75" customHeight="1">
      <c r="A78" s="37">
        <v>45497.0</v>
      </c>
      <c r="B78" s="38">
        <f t="shared" si="1"/>
        <v>9588</v>
      </c>
      <c r="C78" s="38">
        <v>871.0</v>
      </c>
      <c r="D78" s="38"/>
      <c r="E78" s="38"/>
      <c r="F78" s="38">
        <v>1989.0</v>
      </c>
      <c r="G78" s="38">
        <v>1962.0</v>
      </c>
      <c r="H78" s="38">
        <v>54.0</v>
      </c>
      <c r="I78" s="38"/>
      <c r="J78" s="38"/>
      <c r="K78" s="38">
        <v>889.0</v>
      </c>
      <c r="L78" s="38">
        <v>932.0</v>
      </c>
      <c r="M78" s="38">
        <v>0.0</v>
      </c>
      <c r="N78" s="38"/>
      <c r="O78" s="38"/>
      <c r="P78" s="38"/>
      <c r="Q78" s="38"/>
      <c r="R78" s="38"/>
      <c r="S78" s="38">
        <v>191.0</v>
      </c>
      <c r="T78" s="38">
        <v>2700.0</v>
      </c>
      <c r="U78" s="38"/>
      <c r="V78" s="38"/>
      <c r="W78" s="38"/>
      <c r="X78" s="38"/>
      <c r="Y78" s="38"/>
      <c r="Z78" s="38"/>
    </row>
    <row r="79" ht="15.75" customHeight="1">
      <c r="A79" s="59">
        <v>45504.0</v>
      </c>
      <c r="B79" s="38">
        <f t="shared" si="1"/>
        <v>9917</v>
      </c>
      <c r="C79" s="60">
        <v>2154.0</v>
      </c>
      <c r="D79" s="38"/>
      <c r="E79" s="38"/>
      <c r="F79" s="38">
        <v>1460.0</v>
      </c>
      <c r="G79" s="60">
        <v>1499.0</v>
      </c>
      <c r="H79" s="60">
        <v>162.0</v>
      </c>
      <c r="I79" s="60"/>
      <c r="J79" s="60"/>
      <c r="K79" s="60">
        <v>890.0</v>
      </c>
      <c r="L79" s="60">
        <v>1607.0</v>
      </c>
      <c r="M79" s="60">
        <v>0.0</v>
      </c>
      <c r="N79" s="60"/>
      <c r="O79" s="60"/>
      <c r="P79" s="60"/>
      <c r="Q79" s="60"/>
      <c r="R79" s="60"/>
      <c r="S79" s="60">
        <v>132.0</v>
      </c>
      <c r="T79" s="38">
        <v>2013.0</v>
      </c>
      <c r="U79" s="38"/>
      <c r="V79" s="38"/>
      <c r="W79" s="38"/>
      <c r="X79" s="38"/>
      <c r="Y79" s="38"/>
      <c r="Z79" s="38"/>
    </row>
    <row r="80" ht="15.75" customHeight="1">
      <c r="A80" s="37">
        <v>45511.0</v>
      </c>
      <c r="B80" s="38">
        <f t="shared" si="1"/>
        <v>10953</v>
      </c>
      <c r="C80" s="38">
        <v>1704.0</v>
      </c>
      <c r="D80" s="38"/>
      <c r="E80" s="38"/>
      <c r="F80" s="38">
        <v>1012.0</v>
      </c>
      <c r="G80" s="38">
        <v>1455.0</v>
      </c>
      <c r="H80" s="38">
        <v>54.0</v>
      </c>
      <c r="I80" s="38"/>
      <c r="J80" s="38"/>
      <c r="K80" s="38">
        <v>1074.0</v>
      </c>
      <c r="L80" s="38">
        <v>428.0</v>
      </c>
      <c r="M80" s="38">
        <v>0.0</v>
      </c>
      <c r="N80" s="38"/>
      <c r="O80" s="38"/>
      <c r="P80" s="38"/>
      <c r="Q80" s="38"/>
      <c r="R80" s="38"/>
      <c r="S80" s="38">
        <v>226.0</v>
      </c>
      <c r="T80" s="38">
        <v>5000.0</v>
      </c>
      <c r="U80" s="38"/>
      <c r="V80" s="38"/>
      <c r="W80" s="38"/>
      <c r="X80" s="38"/>
      <c r="Y80" s="38"/>
      <c r="Z80" s="38"/>
    </row>
    <row r="81" ht="15.75" customHeight="1">
      <c r="A81" s="37">
        <v>45518.0</v>
      </c>
      <c r="B81" s="38">
        <f t="shared" si="1"/>
        <v>6132</v>
      </c>
      <c r="C81" s="38">
        <v>1074.0</v>
      </c>
      <c r="D81" s="38"/>
      <c r="E81" s="38"/>
      <c r="F81" s="38">
        <v>2154.0</v>
      </c>
      <c r="G81" s="38">
        <v>1347.0</v>
      </c>
      <c r="H81" s="38">
        <v>54.0</v>
      </c>
      <c r="I81" s="38"/>
      <c r="J81" s="38"/>
      <c r="K81" s="38">
        <v>356.0</v>
      </c>
      <c r="L81" s="38">
        <v>547.0</v>
      </c>
      <c r="M81" s="38">
        <v>0.0</v>
      </c>
      <c r="N81" s="38"/>
      <c r="O81" s="38"/>
      <c r="P81" s="38"/>
      <c r="Q81" s="38"/>
      <c r="R81" s="38"/>
      <c r="S81" s="38">
        <v>150.0</v>
      </c>
      <c r="T81" s="38">
        <v>450.0</v>
      </c>
      <c r="U81" s="38"/>
      <c r="V81" s="38"/>
      <c r="W81" s="38"/>
      <c r="X81" s="38"/>
      <c r="Y81" s="38"/>
      <c r="Z81" s="38"/>
    </row>
    <row r="82" ht="15.75" customHeight="1">
      <c r="A82" s="37">
        <v>45525.0</v>
      </c>
      <c r="B82" s="38">
        <f t="shared" si="1"/>
        <v>7711</v>
      </c>
      <c r="C82" s="38">
        <v>1018.0</v>
      </c>
      <c r="D82" s="38"/>
      <c r="E82" s="38"/>
      <c r="F82" s="38">
        <v>1698.0</v>
      </c>
      <c r="G82" s="38">
        <v>1327.0</v>
      </c>
      <c r="H82" s="38">
        <v>0.0</v>
      </c>
      <c r="I82" s="38"/>
      <c r="J82" s="38"/>
      <c r="K82" s="38">
        <v>445.0</v>
      </c>
      <c r="L82" s="38">
        <v>722.0</v>
      </c>
      <c r="M82" s="38">
        <v>0.0</v>
      </c>
      <c r="N82" s="38"/>
      <c r="O82" s="38"/>
      <c r="P82" s="38"/>
      <c r="Q82" s="38"/>
      <c r="R82" s="38"/>
      <c r="S82" s="38">
        <v>175.0</v>
      </c>
      <c r="T82" s="38">
        <v>2326.0</v>
      </c>
      <c r="U82" s="38"/>
      <c r="V82" s="38"/>
      <c r="W82" s="38"/>
      <c r="X82" s="38"/>
      <c r="Y82" s="38"/>
      <c r="Z82" s="38"/>
    </row>
    <row r="83" ht="15.75" customHeight="1">
      <c r="A83" s="37">
        <v>45532.0</v>
      </c>
      <c r="B83" s="38">
        <f t="shared" si="1"/>
        <v>6273</v>
      </c>
      <c r="C83" s="38">
        <v>1766.0</v>
      </c>
      <c r="D83" s="38"/>
      <c r="E83" s="38"/>
      <c r="F83" s="38">
        <v>1322.0</v>
      </c>
      <c r="G83" s="38">
        <v>1290.0</v>
      </c>
      <c r="H83" s="38">
        <v>54.0</v>
      </c>
      <c r="I83" s="38"/>
      <c r="J83" s="38"/>
      <c r="K83" s="38">
        <v>545.0</v>
      </c>
      <c r="L83" s="38">
        <v>846.0</v>
      </c>
      <c r="M83" s="38">
        <v>0.0</v>
      </c>
      <c r="N83" s="38"/>
      <c r="O83" s="38"/>
      <c r="P83" s="38"/>
      <c r="Q83" s="38"/>
      <c r="R83" s="38"/>
      <c r="S83" s="38">
        <v>250.0</v>
      </c>
      <c r="T83" s="38">
        <v>200.0</v>
      </c>
      <c r="U83" s="38"/>
      <c r="V83" s="38"/>
      <c r="W83" s="38"/>
      <c r="X83" s="38"/>
      <c r="Y83" s="38"/>
      <c r="Z83" s="38"/>
    </row>
    <row r="84" ht="15.75" customHeight="1">
      <c r="A84" s="37">
        <v>45539.0</v>
      </c>
      <c r="B84" s="38">
        <f t="shared" si="1"/>
        <v>6211</v>
      </c>
      <c r="C84" s="38">
        <v>1210.0</v>
      </c>
      <c r="D84" s="38"/>
      <c r="E84" s="38"/>
      <c r="F84" s="38">
        <v>1184.0</v>
      </c>
      <c r="G84" s="38">
        <v>1148.0</v>
      </c>
      <c r="H84" s="38">
        <v>54.0</v>
      </c>
      <c r="I84" s="38"/>
      <c r="J84" s="38"/>
      <c r="K84" s="38">
        <v>434.0</v>
      </c>
      <c r="L84" s="38">
        <v>567.0</v>
      </c>
      <c r="M84" s="38">
        <v>0.0</v>
      </c>
      <c r="N84" s="38"/>
      <c r="O84" s="38"/>
      <c r="P84" s="38"/>
      <c r="Q84" s="38"/>
      <c r="R84" s="38"/>
      <c r="S84" s="38">
        <v>214.0</v>
      </c>
      <c r="T84" s="38">
        <v>1400.0</v>
      </c>
      <c r="U84" s="38"/>
      <c r="V84" s="38"/>
      <c r="W84" s="38"/>
      <c r="X84" s="38"/>
      <c r="Y84" s="38"/>
      <c r="Z84" s="38"/>
    </row>
    <row r="85" ht="15.75" customHeight="1">
      <c r="A85" s="37">
        <v>45546.0</v>
      </c>
      <c r="B85" s="38">
        <f t="shared" si="1"/>
        <v>8608</v>
      </c>
      <c r="C85" s="38">
        <v>875.0</v>
      </c>
      <c r="D85" s="38"/>
      <c r="E85" s="38"/>
      <c r="F85" s="38">
        <v>1143.0</v>
      </c>
      <c r="G85" s="38">
        <v>1133.0</v>
      </c>
      <c r="H85" s="38">
        <v>54.0</v>
      </c>
      <c r="I85" s="38"/>
      <c r="J85" s="38"/>
      <c r="K85" s="38">
        <v>721.0</v>
      </c>
      <c r="L85" s="38">
        <v>1059.0</v>
      </c>
      <c r="M85" s="38">
        <v>0.0</v>
      </c>
      <c r="N85" s="38"/>
      <c r="O85" s="38"/>
      <c r="P85" s="38"/>
      <c r="Q85" s="38"/>
      <c r="R85" s="38"/>
      <c r="S85" s="38">
        <v>223.0</v>
      </c>
      <c r="T85" s="38">
        <v>3400.0</v>
      </c>
      <c r="U85" s="38"/>
      <c r="V85" s="38"/>
      <c r="W85" s="38"/>
      <c r="X85" s="38"/>
      <c r="Y85" s="38"/>
      <c r="Z85" s="38"/>
    </row>
    <row r="86" ht="15.75" customHeight="1">
      <c r="A86" s="37">
        <v>45553.0</v>
      </c>
      <c r="B86" s="38">
        <f t="shared" si="1"/>
        <v>8467</v>
      </c>
      <c r="C86" s="38">
        <v>1640.0</v>
      </c>
      <c r="D86" s="38"/>
      <c r="E86" s="38"/>
      <c r="F86" s="38">
        <v>724.0</v>
      </c>
      <c r="G86" s="38">
        <v>1323.0</v>
      </c>
      <c r="H86" s="38">
        <v>118.0</v>
      </c>
      <c r="I86" s="38"/>
      <c r="J86" s="38"/>
      <c r="K86" s="38">
        <v>747.0</v>
      </c>
      <c r="L86" s="38">
        <v>406.0</v>
      </c>
      <c r="M86" s="38">
        <v>0.0</v>
      </c>
      <c r="N86" s="38"/>
      <c r="O86" s="38"/>
      <c r="P86" s="38"/>
      <c r="Q86" s="38"/>
      <c r="R86" s="38"/>
      <c r="S86" s="38">
        <v>494.0</v>
      </c>
      <c r="T86" s="38">
        <v>3015.0</v>
      </c>
      <c r="U86" s="38"/>
      <c r="V86" s="38"/>
      <c r="W86" s="38"/>
      <c r="X86" s="38"/>
      <c r="Y86" s="38"/>
      <c r="Z86" s="38"/>
    </row>
    <row r="87" ht="15.75" customHeight="1">
      <c r="A87" s="37">
        <v>45560.0</v>
      </c>
      <c r="B87" s="38">
        <f t="shared" si="1"/>
        <v>12267</v>
      </c>
      <c r="C87" s="38">
        <v>1946.0</v>
      </c>
      <c r="D87" s="38"/>
      <c r="E87" s="38"/>
      <c r="F87" s="38">
        <v>1836.0</v>
      </c>
      <c r="G87" s="38">
        <v>989.0</v>
      </c>
      <c r="H87" s="38">
        <v>0.0</v>
      </c>
      <c r="I87" s="38"/>
      <c r="J87" s="38"/>
      <c r="K87" s="38">
        <v>510.0</v>
      </c>
      <c r="L87" s="38">
        <v>791.0</v>
      </c>
      <c r="M87" s="38">
        <v>0.0</v>
      </c>
      <c r="N87" s="38"/>
      <c r="O87" s="38"/>
      <c r="P87" s="38"/>
      <c r="Q87" s="38"/>
      <c r="R87" s="38"/>
      <c r="S87" s="38">
        <v>545.0</v>
      </c>
      <c r="T87" s="38">
        <v>5650.0</v>
      </c>
      <c r="U87" s="38"/>
      <c r="V87" s="38"/>
      <c r="W87" s="38"/>
      <c r="X87" s="38"/>
      <c r="Y87" s="38"/>
      <c r="Z87" s="38"/>
    </row>
    <row r="88" ht="15.75" customHeight="1">
      <c r="A88" s="61">
        <v>45567.0</v>
      </c>
      <c r="B88" s="38">
        <f t="shared" si="1"/>
        <v>14023</v>
      </c>
      <c r="C88" s="62"/>
      <c r="D88" s="46"/>
      <c r="E88" s="46"/>
      <c r="F88" s="62"/>
      <c r="G88" s="62"/>
      <c r="H88" s="62" t="s">
        <v>102</v>
      </c>
      <c r="I88" s="46"/>
      <c r="J88" s="62"/>
      <c r="K88" s="62"/>
      <c r="L88" s="62"/>
      <c r="M88" s="46">
        <v>0.0</v>
      </c>
      <c r="N88" s="46"/>
      <c r="O88" s="46"/>
      <c r="P88" s="46"/>
      <c r="Q88" s="46"/>
      <c r="R88" s="46"/>
      <c r="S88" s="62"/>
      <c r="T88" s="63">
        <v>14023.0</v>
      </c>
      <c r="U88" s="64"/>
      <c r="V88" s="46"/>
      <c r="W88" s="46" t="s">
        <v>103</v>
      </c>
      <c r="X88" s="46"/>
      <c r="Y88" s="46"/>
      <c r="Z88" s="46"/>
    </row>
    <row r="89" ht="15.75" customHeight="1">
      <c r="A89" s="65">
        <v>45574.0</v>
      </c>
      <c r="B89" s="38">
        <f t="shared" si="1"/>
        <v>6809</v>
      </c>
      <c r="C89" s="38">
        <v>1493.0</v>
      </c>
      <c r="D89" s="38"/>
      <c r="E89" s="38"/>
      <c r="F89" s="38">
        <v>1284.0</v>
      </c>
      <c r="G89" s="38">
        <v>919.0</v>
      </c>
      <c r="H89" s="38">
        <v>54.0</v>
      </c>
      <c r="I89" s="38"/>
      <c r="J89" s="38"/>
      <c r="K89" s="38">
        <v>344.0</v>
      </c>
      <c r="L89" s="38">
        <v>555.0</v>
      </c>
      <c r="M89" s="38">
        <v>0.0</v>
      </c>
      <c r="N89" s="38"/>
      <c r="O89" s="38"/>
      <c r="P89" s="38"/>
      <c r="Q89" s="38"/>
      <c r="R89" s="38"/>
      <c r="S89" s="38">
        <v>260.0</v>
      </c>
      <c r="T89" s="38">
        <v>1900.0</v>
      </c>
      <c r="U89" s="38"/>
      <c r="V89" s="38"/>
      <c r="W89" s="38"/>
      <c r="X89" s="38"/>
      <c r="Y89" s="38"/>
      <c r="Z89" s="38"/>
    </row>
    <row r="90" ht="15.75" customHeight="1">
      <c r="A90" s="37">
        <v>45581.0</v>
      </c>
      <c r="B90" s="38">
        <f t="shared" si="1"/>
        <v>9533</v>
      </c>
      <c r="C90" s="38">
        <v>1032.0</v>
      </c>
      <c r="D90" s="38"/>
      <c r="E90" s="38"/>
      <c r="F90" s="38">
        <v>1377.0</v>
      </c>
      <c r="G90" s="38">
        <v>1332.0</v>
      </c>
      <c r="H90" s="38">
        <v>119.0</v>
      </c>
      <c r="I90" s="38"/>
      <c r="J90" s="38"/>
      <c r="K90" s="38">
        <v>431.0</v>
      </c>
      <c r="L90" s="38">
        <v>1296.0</v>
      </c>
      <c r="M90" s="38">
        <v>0.0</v>
      </c>
      <c r="N90" s="38"/>
      <c r="O90" s="38"/>
      <c r="P90" s="38"/>
      <c r="Q90" s="38"/>
      <c r="R90" s="38"/>
      <c r="S90" s="38">
        <v>200.0</v>
      </c>
      <c r="T90" s="38">
        <v>3746.0</v>
      </c>
      <c r="U90" s="38"/>
      <c r="V90" s="38"/>
      <c r="W90" s="38"/>
      <c r="X90" s="38"/>
      <c r="Y90" s="38"/>
      <c r="Z90" s="38"/>
    </row>
    <row r="91" ht="15.75" customHeight="1">
      <c r="A91" s="37">
        <v>45588.0</v>
      </c>
      <c r="B91" s="38">
        <f t="shared" si="1"/>
        <v>8760</v>
      </c>
      <c r="C91" s="38">
        <v>618.0</v>
      </c>
      <c r="D91" s="38"/>
      <c r="E91" s="38"/>
      <c r="F91" s="38">
        <v>1774.0</v>
      </c>
      <c r="G91" s="38">
        <v>594.0</v>
      </c>
      <c r="H91" s="38">
        <v>0.0</v>
      </c>
      <c r="I91" s="38"/>
      <c r="J91" s="38"/>
      <c r="K91" s="38">
        <v>224.0</v>
      </c>
      <c r="L91" s="38">
        <v>768.0</v>
      </c>
      <c r="M91" s="38">
        <v>0.0</v>
      </c>
      <c r="N91" s="38"/>
      <c r="O91" s="38"/>
      <c r="P91" s="38"/>
      <c r="Q91" s="38"/>
      <c r="R91" s="38"/>
      <c r="S91" s="38">
        <v>503.0</v>
      </c>
      <c r="T91" s="38">
        <v>4279.0</v>
      </c>
      <c r="U91" s="38"/>
      <c r="V91" s="38"/>
      <c r="W91" s="38"/>
      <c r="X91" s="38"/>
      <c r="Y91" s="38"/>
      <c r="Z91" s="38"/>
    </row>
    <row r="92" ht="15.75" customHeight="1">
      <c r="A92" s="37">
        <v>45595.0</v>
      </c>
      <c r="B92" s="38">
        <f t="shared" si="1"/>
        <v>7973</v>
      </c>
      <c r="C92" s="38">
        <v>1427.0</v>
      </c>
      <c r="D92" s="38"/>
      <c r="E92" s="38"/>
      <c r="F92" s="38">
        <v>2035.0</v>
      </c>
      <c r="G92" s="38">
        <v>1017.0</v>
      </c>
      <c r="H92" s="38">
        <v>0.0</v>
      </c>
      <c r="I92" s="38"/>
      <c r="J92" s="38"/>
      <c r="K92" s="38">
        <v>452.0</v>
      </c>
      <c r="L92" s="38">
        <v>1380.0</v>
      </c>
      <c r="M92" s="38">
        <v>0.0</v>
      </c>
      <c r="N92" s="38"/>
      <c r="O92" s="38"/>
      <c r="P92" s="38"/>
      <c r="Q92" s="38"/>
      <c r="R92" s="38"/>
      <c r="S92" s="38">
        <v>332.0</v>
      </c>
      <c r="T92" s="38">
        <v>1330.0</v>
      </c>
      <c r="U92" s="38"/>
      <c r="V92" s="38"/>
      <c r="W92" s="38"/>
      <c r="X92" s="38"/>
      <c r="Y92" s="38"/>
      <c r="Z92" s="38"/>
    </row>
    <row r="93" ht="15.75" customHeight="1">
      <c r="A93" s="65">
        <v>45602.0</v>
      </c>
      <c r="B93" s="38">
        <f t="shared" si="1"/>
        <v>6454</v>
      </c>
      <c r="C93" s="38">
        <v>1427.0</v>
      </c>
      <c r="D93" s="38"/>
      <c r="E93" s="38"/>
      <c r="F93" s="38">
        <v>1449.0</v>
      </c>
      <c r="G93" s="38">
        <v>1017.0</v>
      </c>
      <c r="H93" s="38">
        <v>0.0</v>
      </c>
      <c r="I93" s="38"/>
      <c r="J93" s="38"/>
      <c r="K93" s="38">
        <v>452.0</v>
      </c>
      <c r="L93" s="38">
        <v>1380.0</v>
      </c>
      <c r="M93" s="38">
        <v>0.0</v>
      </c>
      <c r="N93" s="38"/>
      <c r="O93" s="38"/>
      <c r="P93" s="38"/>
      <c r="Q93" s="38"/>
      <c r="R93" s="38"/>
      <c r="S93" s="56">
        <v>179.0</v>
      </c>
      <c r="T93" s="38">
        <v>550.0</v>
      </c>
      <c r="U93" s="38"/>
      <c r="V93" s="38"/>
      <c r="W93" s="38"/>
      <c r="X93" s="38"/>
      <c r="Y93" s="38"/>
      <c r="Z93" s="38"/>
    </row>
    <row r="94" ht="15.75" customHeight="1">
      <c r="A94" s="65">
        <v>45609.0</v>
      </c>
      <c r="B94" s="38">
        <f t="shared" si="1"/>
        <v>7036</v>
      </c>
      <c r="C94" s="38">
        <v>1226.0</v>
      </c>
      <c r="D94" s="38"/>
      <c r="E94" s="38"/>
      <c r="F94" s="38">
        <v>1396.0</v>
      </c>
      <c r="G94" s="38">
        <v>1389.0</v>
      </c>
      <c r="H94" s="38">
        <v>54.0</v>
      </c>
      <c r="I94" s="38"/>
      <c r="J94" s="38"/>
      <c r="K94" s="38">
        <v>554.0</v>
      </c>
      <c r="L94" s="38">
        <v>437.0</v>
      </c>
      <c r="M94" s="38">
        <v>0.0</v>
      </c>
      <c r="N94" s="38"/>
      <c r="O94" s="38"/>
      <c r="P94" s="38"/>
      <c r="Q94" s="38"/>
      <c r="R94" s="38"/>
      <c r="S94" s="38">
        <v>200.0</v>
      </c>
      <c r="T94" s="38">
        <v>1780.0</v>
      </c>
      <c r="U94" s="38"/>
      <c r="V94" s="38"/>
      <c r="W94" s="38"/>
      <c r="X94" s="38"/>
      <c r="Y94" s="38"/>
      <c r="Z94" s="38"/>
    </row>
    <row r="95" ht="15.75" customHeight="1">
      <c r="A95" s="65">
        <v>45616.0</v>
      </c>
      <c r="B95" s="38">
        <f t="shared" si="1"/>
        <v>16371</v>
      </c>
      <c r="C95" s="38">
        <v>3625.0</v>
      </c>
      <c r="D95" s="38"/>
      <c r="E95" s="38"/>
      <c r="F95" s="38">
        <v>2378.0</v>
      </c>
      <c r="G95" s="38">
        <v>1643.0</v>
      </c>
      <c r="H95" s="38">
        <v>64.0</v>
      </c>
      <c r="I95" s="38"/>
      <c r="J95" s="38"/>
      <c r="K95" s="38">
        <v>1087.0</v>
      </c>
      <c r="L95" s="38">
        <v>861.0</v>
      </c>
      <c r="M95" s="38">
        <v>0.0</v>
      </c>
      <c r="N95" s="38"/>
      <c r="O95" s="38"/>
      <c r="P95" s="38"/>
      <c r="Q95" s="38"/>
      <c r="R95" s="38"/>
      <c r="S95" s="38">
        <v>304.0</v>
      </c>
      <c r="T95" s="38">
        <v>6409.0</v>
      </c>
      <c r="U95" s="43"/>
      <c r="V95" s="38"/>
      <c r="W95" s="38"/>
      <c r="X95" s="38"/>
      <c r="Y95" s="38"/>
      <c r="Z95" s="38"/>
    </row>
    <row r="96" ht="15.75" customHeight="1">
      <c r="A96" s="66">
        <v>45623.0</v>
      </c>
      <c r="B96" s="38">
        <f t="shared" si="1"/>
        <v>0</v>
      </c>
      <c r="C96" s="67"/>
      <c r="D96" s="67"/>
      <c r="E96" s="67"/>
      <c r="F96" s="67"/>
      <c r="G96" s="67"/>
      <c r="H96" s="67"/>
      <c r="I96" s="68" t="s">
        <v>104</v>
      </c>
      <c r="J96" s="67"/>
      <c r="K96" s="67"/>
      <c r="L96" s="67"/>
      <c r="M96" s="67"/>
      <c r="N96" s="67"/>
      <c r="O96" s="67"/>
      <c r="P96" s="67"/>
      <c r="Q96" s="67"/>
      <c r="R96" s="67"/>
      <c r="S96" s="67"/>
      <c r="T96" s="67"/>
      <c r="U96" s="67"/>
      <c r="V96" s="68"/>
      <c r="W96" s="68" t="s">
        <v>105</v>
      </c>
      <c r="X96" s="67"/>
      <c r="Y96" s="67"/>
      <c r="Z96" s="67"/>
    </row>
    <row r="97" ht="15.75" customHeight="1">
      <c r="A97" s="37">
        <v>45630.0</v>
      </c>
      <c r="B97" s="38">
        <f t="shared" si="1"/>
        <v>7987</v>
      </c>
      <c r="C97" s="38">
        <v>1379.0</v>
      </c>
      <c r="D97" s="38"/>
      <c r="E97" s="38"/>
      <c r="F97" s="38">
        <v>1643.0</v>
      </c>
      <c r="G97" s="38">
        <v>1439.0</v>
      </c>
      <c r="H97" s="38">
        <v>54.0</v>
      </c>
      <c r="I97" s="60" t="s">
        <v>104</v>
      </c>
      <c r="J97" s="38"/>
      <c r="K97" s="38">
        <v>442.0</v>
      </c>
      <c r="L97" s="38">
        <v>1280.0</v>
      </c>
      <c r="M97" s="38">
        <v>0.0</v>
      </c>
      <c r="N97" s="38"/>
      <c r="O97" s="38"/>
      <c r="P97" s="38"/>
      <c r="Q97" s="38"/>
      <c r="R97" s="38"/>
      <c r="S97" s="38">
        <v>250.0</v>
      </c>
      <c r="T97" s="38">
        <v>1500.0</v>
      </c>
      <c r="U97" s="38"/>
      <c r="V97" s="60"/>
      <c r="W97" s="60" t="s">
        <v>106</v>
      </c>
      <c r="X97" s="38"/>
      <c r="Y97" s="38"/>
      <c r="Z97" s="38"/>
    </row>
    <row r="98" ht="15.75" customHeight="1">
      <c r="A98" s="37">
        <v>45637.0</v>
      </c>
      <c r="B98" s="38">
        <f t="shared" si="1"/>
        <v>14137</v>
      </c>
      <c r="C98" s="38">
        <v>2176.0</v>
      </c>
      <c r="D98" s="38"/>
      <c r="E98" s="38"/>
      <c r="F98" s="38">
        <v>2226.0</v>
      </c>
      <c r="G98" s="38">
        <v>1203.0</v>
      </c>
      <c r="H98" s="38"/>
      <c r="I98" s="60" t="s">
        <v>104</v>
      </c>
      <c r="J98" s="38"/>
      <c r="K98" s="38">
        <v>667.0</v>
      </c>
      <c r="L98" s="38">
        <v>1190.0</v>
      </c>
      <c r="M98" s="38">
        <v>0.0</v>
      </c>
      <c r="N98" s="38"/>
      <c r="O98" s="38"/>
      <c r="P98" s="38"/>
      <c r="Q98" s="38"/>
      <c r="R98" s="38"/>
      <c r="S98" s="38">
        <v>105.0</v>
      </c>
      <c r="T98" s="38">
        <v>6570.0</v>
      </c>
      <c r="U98" s="43"/>
      <c r="V98" s="38"/>
      <c r="W98" s="38"/>
      <c r="X98" s="38"/>
      <c r="Y98" s="38"/>
      <c r="Z98" s="38"/>
    </row>
    <row r="99" ht="15.75" customHeight="1">
      <c r="A99" s="37">
        <v>45644.0</v>
      </c>
      <c r="B99" s="38">
        <f t="shared" si="1"/>
        <v>10829</v>
      </c>
      <c r="C99" s="38">
        <v>848.0</v>
      </c>
      <c r="D99" s="38"/>
      <c r="E99" s="38"/>
      <c r="F99" s="38">
        <v>1342.0</v>
      </c>
      <c r="G99" s="38">
        <v>1706.0</v>
      </c>
      <c r="H99" s="38">
        <v>0.0</v>
      </c>
      <c r="I99" s="60" t="s">
        <v>104</v>
      </c>
      <c r="J99" s="38"/>
      <c r="K99" s="38">
        <v>485.0</v>
      </c>
      <c r="L99" s="38">
        <v>922.0</v>
      </c>
      <c r="M99" s="38">
        <v>0.0</v>
      </c>
      <c r="N99" s="38"/>
      <c r="O99" s="38"/>
      <c r="P99" s="38"/>
      <c r="Q99" s="38"/>
      <c r="R99" s="38"/>
      <c r="S99" s="38">
        <v>426.0</v>
      </c>
      <c r="T99" s="38">
        <v>5100.0</v>
      </c>
      <c r="U99" s="38"/>
      <c r="V99" s="38"/>
      <c r="W99" s="38"/>
      <c r="X99" s="38"/>
      <c r="Y99" s="38"/>
      <c r="Z99" s="38"/>
    </row>
    <row r="100" ht="15.75" customHeight="1">
      <c r="A100" s="65">
        <v>45652.0</v>
      </c>
      <c r="B100" s="38">
        <f t="shared" si="1"/>
        <v>2504</v>
      </c>
      <c r="C100" s="38"/>
      <c r="D100" s="38"/>
      <c r="E100" s="38"/>
      <c r="F100" s="38">
        <v>504.0</v>
      </c>
      <c r="G100" s="38"/>
      <c r="H100" s="38">
        <v>0.0</v>
      </c>
      <c r="I100" s="60" t="s">
        <v>104</v>
      </c>
      <c r="J100" s="38"/>
      <c r="K100" s="38"/>
      <c r="L100" s="38"/>
      <c r="M100" s="38">
        <v>0.0</v>
      </c>
      <c r="N100" s="38"/>
      <c r="O100" s="38"/>
      <c r="P100" s="38"/>
      <c r="Q100" s="38"/>
      <c r="R100" s="38"/>
      <c r="S100" s="38"/>
      <c r="T100" s="38">
        <v>2000.0</v>
      </c>
      <c r="U100" s="38"/>
      <c r="V100" s="60"/>
      <c r="W100" s="60" t="s">
        <v>107</v>
      </c>
      <c r="X100" s="38"/>
      <c r="Y100" s="38"/>
      <c r="Z100" s="38"/>
    </row>
    <row r="101" ht="15.75" customHeight="1">
      <c r="A101" s="37">
        <v>45658.0</v>
      </c>
      <c r="B101" s="38">
        <f t="shared" si="1"/>
        <v>748</v>
      </c>
      <c r="C101" s="38"/>
      <c r="D101" s="38"/>
      <c r="E101" s="38"/>
      <c r="F101" s="38">
        <v>563.0</v>
      </c>
      <c r="G101" s="38">
        <v>185.0</v>
      </c>
      <c r="H101" s="38">
        <v>0.0</v>
      </c>
      <c r="I101" s="60" t="s">
        <v>104</v>
      </c>
      <c r="J101" s="38"/>
      <c r="K101" s="38"/>
      <c r="L101" s="38"/>
      <c r="M101" s="38">
        <v>0.0</v>
      </c>
      <c r="N101" s="38"/>
      <c r="O101" s="38"/>
      <c r="P101" s="38"/>
      <c r="Q101" s="38"/>
      <c r="R101" s="38"/>
      <c r="S101" s="38"/>
      <c r="T101" s="38"/>
      <c r="U101" s="38"/>
      <c r="V101" s="60"/>
      <c r="W101" s="60" t="s">
        <v>107</v>
      </c>
      <c r="X101" s="38"/>
      <c r="Y101" s="38"/>
      <c r="Z101" s="38"/>
    </row>
    <row r="102" ht="15.75" customHeight="1">
      <c r="A102" s="37">
        <v>45665.0</v>
      </c>
      <c r="B102" s="38">
        <f t="shared" si="1"/>
        <v>7774</v>
      </c>
      <c r="C102" s="38">
        <v>1571.0</v>
      </c>
      <c r="D102" s="38"/>
      <c r="E102" s="38"/>
      <c r="F102" s="38">
        <v>2397.0</v>
      </c>
      <c r="G102" s="38">
        <v>1115.0</v>
      </c>
      <c r="H102" s="38">
        <v>0.0</v>
      </c>
      <c r="I102" s="60" t="s">
        <v>104</v>
      </c>
      <c r="J102" s="38"/>
      <c r="K102" s="38">
        <v>301.0</v>
      </c>
      <c r="L102" s="38">
        <v>1064.0</v>
      </c>
      <c r="M102" s="38">
        <v>0.0</v>
      </c>
      <c r="N102" s="38"/>
      <c r="O102" s="38"/>
      <c r="P102" s="38"/>
      <c r="Q102" s="38"/>
      <c r="R102" s="38"/>
      <c r="S102" s="38">
        <v>426.0</v>
      </c>
      <c r="T102" s="60">
        <v>900.0</v>
      </c>
      <c r="U102" s="38"/>
      <c r="V102" s="38"/>
      <c r="W102" s="38"/>
      <c r="X102" s="38"/>
      <c r="Y102" s="38"/>
      <c r="Z102" s="38"/>
    </row>
    <row r="103" ht="15.75" customHeight="1">
      <c r="A103" s="37">
        <v>45672.0</v>
      </c>
      <c r="B103" s="38">
        <f t="shared" si="1"/>
        <v>8691</v>
      </c>
      <c r="C103" s="38">
        <v>1180.0</v>
      </c>
      <c r="D103" s="38"/>
      <c r="E103" s="38"/>
      <c r="F103" s="38">
        <v>2384.0</v>
      </c>
      <c r="G103" s="38">
        <v>1776.0</v>
      </c>
      <c r="H103" s="38">
        <v>0.0</v>
      </c>
      <c r="I103" s="60" t="s">
        <v>104</v>
      </c>
      <c r="J103" s="38"/>
      <c r="K103" s="38">
        <v>664.0</v>
      </c>
      <c r="L103" s="38">
        <v>727.0</v>
      </c>
      <c r="M103" s="38">
        <v>0.0</v>
      </c>
      <c r="N103" s="38"/>
      <c r="O103" s="38"/>
      <c r="P103" s="38"/>
      <c r="Q103" s="38"/>
      <c r="R103" s="38"/>
      <c r="S103" s="38">
        <v>230.0</v>
      </c>
      <c r="T103" s="60">
        <v>1730.0</v>
      </c>
      <c r="U103" s="38"/>
      <c r="V103" s="38"/>
      <c r="W103" s="38"/>
      <c r="X103" s="38"/>
      <c r="Y103" s="38"/>
      <c r="Z103" s="38"/>
    </row>
    <row r="104" ht="15.75" customHeight="1">
      <c r="A104" s="37">
        <v>45677.0</v>
      </c>
      <c r="B104" s="38">
        <f t="shared" si="1"/>
        <v>4076</v>
      </c>
      <c r="C104" s="38">
        <v>436.0</v>
      </c>
      <c r="D104" s="38"/>
      <c r="E104" s="38"/>
      <c r="F104" s="38">
        <v>792.0</v>
      </c>
      <c r="G104" s="38">
        <v>400.0</v>
      </c>
      <c r="H104" s="38">
        <v>0.0</v>
      </c>
      <c r="I104" s="60" t="s">
        <v>104</v>
      </c>
      <c r="J104" s="38"/>
      <c r="K104" s="38">
        <v>328.0</v>
      </c>
      <c r="L104" s="38">
        <v>2120.0</v>
      </c>
      <c r="M104" s="38">
        <v>0.0</v>
      </c>
      <c r="N104" s="38"/>
      <c r="O104" s="38"/>
      <c r="P104" s="38"/>
      <c r="Q104" s="38"/>
      <c r="R104" s="38"/>
      <c r="S104" s="60" t="s">
        <v>108</v>
      </c>
      <c r="T104" s="38"/>
      <c r="U104" s="38"/>
      <c r="V104" s="60"/>
      <c r="W104" s="60" t="s">
        <v>109</v>
      </c>
      <c r="X104" s="38"/>
      <c r="Y104" s="38"/>
      <c r="Z104" s="38"/>
    </row>
    <row r="105" ht="15.75" customHeight="1">
      <c r="A105" s="59">
        <v>45677.0</v>
      </c>
      <c r="B105" s="38">
        <f t="shared" si="1"/>
        <v>0</v>
      </c>
      <c r="C105" s="60"/>
      <c r="D105" s="60"/>
      <c r="E105" s="60"/>
      <c r="F105" s="60"/>
      <c r="G105" s="60"/>
      <c r="H105" s="60">
        <v>0.0</v>
      </c>
      <c r="I105" s="60" t="s">
        <v>104</v>
      </c>
      <c r="J105" s="60"/>
      <c r="K105" s="60"/>
      <c r="L105" s="60"/>
      <c r="M105" s="60"/>
      <c r="N105" s="60"/>
      <c r="O105" s="60"/>
      <c r="P105" s="60"/>
      <c r="Q105" s="60"/>
      <c r="R105" s="60"/>
      <c r="S105" s="60"/>
      <c r="T105" s="60"/>
      <c r="U105" s="69"/>
      <c r="V105" s="60"/>
      <c r="W105" s="60" t="s">
        <v>110</v>
      </c>
      <c r="X105" s="60"/>
      <c r="Y105" s="60"/>
      <c r="Z105" s="60"/>
    </row>
    <row r="106" ht="15.75" customHeight="1">
      <c r="A106" s="37">
        <v>45679.0</v>
      </c>
      <c r="B106" s="38">
        <f t="shared" si="1"/>
        <v>4507</v>
      </c>
      <c r="C106" s="38">
        <v>864.0</v>
      </c>
      <c r="D106" s="38"/>
      <c r="E106" s="38"/>
      <c r="F106" s="60">
        <v>986.0</v>
      </c>
      <c r="G106" s="38">
        <v>1192.0</v>
      </c>
      <c r="H106" s="38"/>
      <c r="I106" s="60" t="s">
        <v>104</v>
      </c>
      <c r="J106" s="38"/>
      <c r="K106" s="38">
        <v>545.0</v>
      </c>
      <c r="L106" s="38">
        <v>662.0</v>
      </c>
      <c r="M106" s="38"/>
      <c r="N106" s="38"/>
      <c r="O106" s="38"/>
      <c r="P106" s="38"/>
      <c r="Q106" s="38"/>
      <c r="R106" s="38"/>
      <c r="S106" s="38">
        <v>258.0</v>
      </c>
      <c r="T106" s="60"/>
      <c r="U106" s="38"/>
      <c r="V106" s="38"/>
      <c r="W106" s="38"/>
      <c r="X106" s="38"/>
      <c r="Y106" s="38"/>
      <c r="Z106" s="38"/>
    </row>
    <row r="107" ht="15.75" customHeight="1">
      <c r="A107" s="65">
        <v>45686.0</v>
      </c>
      <c r="B107" s="38">
        <f t="shared" si="1"/>
        <v>12130</v>
      </c>
      <c r="C107" s="60" t="s">
        <v>111</v>
      </c>
      <c r="D107" s="60"/>
      <c r="E107" s="60"/>
      <c r="F107" s="60" t="s">
        <v>112</v>
      </c>
      <c r="G107" s="38">
        <v>1890.0</v>
      </c>
      <c r="H107" s="38"/>
      <c r="I107" s="38"/>
      <c r="J107" s="38"/>
      <c r="K107" s="38">
        <v>706.0</v>
      </c>
      <c r="L107" s="38">
        <v>1992.0</v>
      </c>
      <c r="M107" s="38"/>
      <c r="N107" s="38"/>
      <c r="O107" s="38"/>
      <c r="P107" s="38"/>
      <c r="Q107" s="38"/>
      <c r="R107" s="38"/>
      <c r="S107" s="38">
        <v>402.0</v>
      </c>
      <c r="T107" s="38">
        <v>7140.0</v>
      </c>
      <c r="U107" s="38"/>
      <c r="V107" s="38"/>
      <c r="W107" s="38"/>
      <c r="X107" s="38"/>
      <c r="Y107" s="38"/>
      <c r="Z107" s="38"/>
    </row>
    <row r="108" ht="15.75" customHeight="1">
      <c r="A108" s="37">
        <v>45693.0</v>
      </c>
      <c r="B108" s="38">
        <f t="shared" si="1"/>
        <v>8693</v>
      </c>
      <c r="C108" s="38">
        <v>1252.0</v>
      </c>
      <c r="D108" s="38"/>
      <c r="E108" s="38"/>
      <c r="F108" s="38">
        <v>2173.0</v>
      </c>
      <c r="G108" s="38">
        <v>1265.0</v>
      </c>
      <c r="H108" s="38"/>
      <c r="I108" s="38"/>
      <c r="J108" s="38"/>
      <c r="K108" s="38">
        <v>549.0</v>
      </c>
      <c r="L108" s="38">
        <v>854.0</v>
      </c>
      <c r="M108" s="38"/>
      <c r="N108" s="38"/>
      <c r="O108" s="38"/>
      <c r="P108" s="38"/>
      <c r="Q108" s="38"/>
      <c r="R108" s="38"/>
      <c r="S108" s="38">
        <v>0.0</v>
      </c>
      <c r="T108" s="38">
        <v>2600.0</v>
      </c>
      <c r="U108" s="38"/>
      <c r="V108" s="38">
        <v>50.0</v>
      </c>
      <c r="W108" s="38"/>
      <c r="X108" s="38"/>
      <c r="Y108" s="38"/>
      <c r="Z108" s="38"/>
    </row>
    <row r="109" ht="15.75" customHeight="1">
      <c r="A109" s="37">
        <v>45700.0</v>
      </c>
      <c r="B109" s="38">
        <v>8500.0</v>
      </c>
      <c r="C109" s="38">
        <v>1852.0</v>
      </c>
      <c r="D109" s="38"/>
      <c r="E109" s="38"/>
      <c r="F109" s="38">
        <v>1272.0</v>
      </c>
      <c r="G109" s="38">
        <v>976.0</v>
      </c>
      <c r="H109" s="38"/>
      <c r="I109" s="38"/>
      <c r="J109" s="38"/>
      <c r="K109" s="38">
        <v>538.0</v>
      </c>
      <c r="L109" s="38">
        <v>719.0</v>
      </c>
      <c r="M109" s="38"/>
      <c r="N109" s="38"/>
      <c r="O109" s="38"/>
      <c r="P109" s="38"/>
      <c r="Q109" s="38"/>
      <c r="R109" s="38"/>
      <c r="S109" s="38">
        <v>141.0</v>
      </c>
      <c r="T109" s="38">
        <v>4474.0</v>
      </c>
      <c r="U109" s="38"/>
      <c r="V109" s="38">
        <v>50.0</v>
      </c>
      <c r="W109" s="38"/>
      <c r="X109" s="38"/>
      <c r="Y109" s="38"/>
      <c r="Z109" s="38"/>
    </row>
    <row r="110" ht="15.75" customHeight="1">
      <c r="A110" s="37">
        <v>45707.0</v>
      </c>
      <c r="B110" s="38">
        <v>9446.0</v>
      </c>
      <c r="C110" s="38">
        <v>900.0</v>
      </c>
      <c r="D110" s="38"/>
      <c r="E110" s="38"/>
      <c r="F110" s="38">
        <v>2667.0</v>
      </c>
      <c r="G110" s="38">
        <v>1381.0</v>
      </c>
      <c r="H110" s="38"/>
      <c r="I110" s="38"/>
      <c r="J110" s="38"/>
      <c r="K110" s="38">
        <v>677.0</v>
      </c>
      <c r="L110" s="38">
        <v>1371.0</v>
      </c>
      <c r="M110" s="38"/>
      <c r="N110" s="38"/>
      <c r="O110" s="38"/>
      <c r="P110" s="38"/>
      <c r="Q110" s="38"/>
      <c r="R110" s="38"/>
      <c r="S110" s="38">
        <v>284.0</v>
      </c>
      <c r="T110" s="38">
        <v>2650.0</v>
      </c>
      <c r="U110" s="38"/>
      <c r="V110" s="38">
        <v>50.0</v>
      </c>
      <c r="W110" s="38"/>
      <c r="X110" s="38"/>
      <c r="Y110" s="38"/>
      <c r="Z110" s="38"/>
    </row>
    <row r="111" ht="15.75" customHeight="1">
      <c r="A111" s="37">
        <v>45714.0</v>
      </c>
      <c r="B111" s="38">
        <v>5363.0</v>
      </c>
      <c r="C111" s="38">
        <v>1010.0</v>
      </c>
      <c r="D111" s="38"/>
      <c r="E111" s="38"/>
      <c r="F111" s="38">
        <v>1153.0</v>
      </c>
      <c r="G111" s="38">
        <v>854.0</v>
      </c>
      <c r="H111" s="38"/>
      <c r="I111" s="38"/>
      <c r="J111" s="38"/>
      <c r="K111" s="38">
        <v>650.0</v>
      </c>
      <c r="L111" s="38">
        <v>605.0</v>
      </c>
      <c r="M111" s="38"/>
      <c r="N111" s="38"/>
      <c r="O111" s="38"/>
      <c r="P111" s="38"/>
      <c r="Q111" s="38"/>
      <c r="R111" s="38"/>
      <c r="S111" s="38">
        <v>516.0</v>
      </c>
      <c r="T111" s="38">
        <v>1380.0</v>
      </c>
      <c r="U111" s="38"/>
      <c r="V111" s="38">
        <v>50.0</v>
      </c>
      <c r="W111" s="38"/>
      <c r="X111" s="38"/>
      <c r="Y111" s="38"/>
      <c r="Z111" s="38"/>
    </row>
    <row r="112" ht="15.75" customHeight="1">
      <c r="A112" s="37">
        <v>45721.0</v>
      </c>
      <c r="B112" s="38">
        <v>8722.0</v>
      </c>
      <c r="C112" s="38">
        <v>1092.0</v>
      </c>
      <c r="D112" s="38"/>
      <c r="E112" s="38"/>
      <c r="F112" s="38">
        <v>769.0</v>
      </c>
      <c r="G112" s="38">
        <v>983.0</v>
      </c>
      <c r="H112" s="38"/>
      <c r="I112" s="38"/>
      <c r="J112" s="38"/>
      <c r="K112" s="38">
        <v>117.0</v>
      </c>
      <c r="L112" s="38">
        <v>815.0</v>
      </c>
      <c r="M112" s="38"/>
      <c r="N112" s="38"/>
      <c r="O112" s="38"/>
      <c r="P112" s="38"/>
      <c r="Q112" s="38"/>
      <c r="R112" s="38"/>
      <c r="S112" s="38">
        <v>351.0</v>
      </c>
      <c r="T112" s="38">
        <v>4795.0</v>
      </c>
      <c r="U112" s="38"/>
      <c r="V112" s="38">
        <v>50.0</v>
      </c>
      <c r="W112" s="38"/>
      <c r="X112" s="38"/>
      <c r="Y112" s="38"/>
      <c r="Z112" s="38"/>
    </row>
    <row r="113" ht="15.75" customHeight="1">
      <c r="A113" s="37">
        <v>45728.0</v>
      </c>
      <c r="B113" s="38">
        <v>9874.0</v>
      </c>
      <c r="C113" s="38">
        <v>1301.0</v>
      </c>
      <c r="D113" s="38"/>
      <c r="E113" s="38"/>
      <c r="F113" s="38">
        <v>840.0</v>
      </c>
      <c r="G113" s="38">
        <v>1597.0</v>
      </c>
      <c r="H113" s="38"/>
      <c r="I113" s="38"/>
      <c r="J113" s="38"/>
      <c r="K113" s="38">
        <v>485.0</v>
      </c>
      <c r="L113" s="38">
        <v>796.0</v>
      </c>
      <c r="M113" s="38"/>
      <c r="N113" s="38"/>
      <c r="O113" s="38"/>
      <c r="P113" s="38"/>
      <c r="Q113" s="38"/>
      <c r="R113" s="38"/>
      <c r="S113" s="38">
        <v>275.0</v>
      </c>
      <c r="T113" s="38">
        <v>4780.0</v>
      </c>
      <c r="U113" s="38"/>
      <c r="V113" s="38">
        <v>50.0</v>
      </c>
      <c r="W113" s="38"/>
      <c r="X113" s="38"/>
      <c r="Y113" s="38"/>
      <c r="Z113" s="38"/>
    </row>
    <row r="114" ht="15.75" customHeight="1">
      <c r="A114" s="37">
        <v>45735.0</v>
      </c>
      <c r="B114" s="38">
        <v>7974.0</v>
      </c>
      <c r="C114" s="38">
        <v>1106.0</v>
      </c>
      <c r="D114" s="38"/>
      <c r="E114" s="38"/>
      <c r="F114" s="38">
        <v>1097.0</v>
      </c>
      <c r="G114" s="38">
        <v>1270.0</v>
      </c>
      <c r="H114" s="38"/>
      <c r="I114" s="38"/>
      <c r="J114" s="38"/>
      <c r="K114" s="38">
        <v>601.0</v>
      </c>
      <c r="L114" s="56">
        <v>882.0</v>
      </c>
      <c r="M114" s="38"/>
      <c r="N114" s="38"/>
      <c r="O114" s="38"/>
      <c r="P114" s="38"/>
      <c r="Q114" s="38"/>
      <c r="R114" s="38"/>
      <c r="S114" s="38">
        <v>400.0</v>
      </c>
      <c r="T114" s="38">
        <v>2618.0</v>
      </c>
      <c r="U114" s="38"/>
      <c r="V114" s="38">
        <v>50.0</v>
      </c>
      <c r="W114" s="38"/>
      <c r="X114" s="38"/>
      <c r="Y114" s="38"/>
      <c r="Z114" s="38"/>
    </row>
    <row r="115" ht="15.75" customHeight="1">
      <c r="A115" s="37">
        <v>45743.0</v>
      </c>
      <c r="B115" s="38">
        <v>7297.0</v>
      </c>
      <c r="C115" s="38">
        <v>1100.0</v>
      </c>
      <c r="D115" s="38"/>
      <c r="E115" s="38"/>
      <c r="F115" s="38">
        <v>1503.0</v>
      </c>
      <c r="G115" s="38">
        <v>907.0</v>
      </c>
      <c r="H115" s="38"/>
      <c r="I115" s="38"/>
      <c r="J115" s="38"/>
      <c r="K115" s="38">
        <v>649.0</v>
      </c>
      <c r="L115" s="38">
        <v>884.0</v>
      </c>
      <c r="M115" s="38"/>
      <c r="N115" s="38"/>
      <c r="O115" s="38"/>
      <c r="P115" s="38"/>
      <c r="Q115" s="38"/>
      <c r="R115" s="38"/>
      <c r="S115" s="38">
        <v>256.0</v>
      </c>
      <c r="T115" s="38">
        <v>3278.0</v>
      </c>
      <c r="U115" s="38"/>
      <c r="V115" s="38">
        <v>50.0</v>
      </c>
      <c r="W115" s="38"/>
      <c r="X115" s="38"/>
      <c r="Y115" s="38"/>
      <c r="Z115" s="38"/>
    </row>
    <row r="116" ht="15.75" customHeight="1">
      <c r="A116" s="37">
        <v>45749.0</v>
      </c>
      <c r="B116" s="38">
        <v>12057.0</v>
      </c>
      <c r="C116" s="38">
        <v>850.0</v>
      </c>
      <c r="D116" s="38"/>
      <c r="E116" s="38"/>
      <c r="F116" s="38">
        <v>2053.0</v>
      </c>
      <c r="G116" s="38">
        <v>878.0</v>
      </c>
      <c r="H116" s="38"/>
      <c r="I116" s="38"/>
      <c r="J116" s="38"/>
      <c r="K116" s="38">
        <v>839.0</v>
      </c>
      <c r="L116" s="38">
        <v>1647.0</v>
      </c>
      <c r="M116" s="38"/>
      <c r="N116" s="38"/>
      <c r="O116" s="38"/>
      <c r="P116" s="38"/>
      <c r="Q116" s="38"/>
      <c r="R116" s="38"/>
      <c r="S116" s="38">
        <v>272.0</v>
      </c>
      <c r="T116" s="38">
        <v>5518.0</v>
      </c>
      <c r="U116" s="38"/>
      <c r="V116" s="38">
        <v>50.0</v>
      </c>
      <c r="W116" s="38"/>
      <c r="X116" s="38"/>
      <c r="Y116" s="38"/>
      <c r="Z116" s="38"/>
    </row>
    <row r="117" ht="15.75" customHeight="1">
      <c r="A117" s="37">
        <v>45756.0</v>
      </c>
      <c r="B117" s="38">
        <v>4114.0</v>
      </c>
      <c r="C117" s="38">
        <v>628.0</v>
      </c>
      <c r="D117" s="38"/>
      <c r="E117" s="38"/>
      <c r="F117" s="38">
        <v>1226.0</v>
      </c>
      <c r="G117" s="38">
        <v>950.0</v>
      </c>
      <c r="H117" s="38"/>
      <c r="I117" s="38"/>
      <c r="J117" s="38"/>
      <c r="K117" s="38">
        <v>418.0</v>
      </c>
      <c r="L117" s="38">
        <v>514.0</v>
      </c>
      <c r="M117" s="38"/>
      <c r="N117" s="38"/>
      <c r="O117" s="38"/>
      <c r="P117" s="38"/>
      <c r="Q117" s="38"/>
      <c r="R117" s="38"/>
      <c r="S117" s="38">
        <v>225.0</v>
      </c>
      <c r="T117" s="38">
        <v>153.0</v>
      </c>
      <c r="U117" s="38"/>
      <c r="V117" s="38"/>
      <c r="W117" s="38" t="s">
        <v>113</v>
      </c>
      <c r="X117" s="38"/>
      <c r="Y117" s="38"/>
      <c r="Z117" s="38"/>
    </row>
    <row r="118" ht="15.75" customHeight="1">
      <c r="A118" s="37">
        <v>45763.0</v>
      </c>
      <c r="B118" s="38">
        <v>8640.0</v>
      </c>
      <c r="C118" s="38">
        <v>1556.0</v>
      </c>
      <c r="D118" s="38"/>
      <c r="E118" s="38"/>
      <c r="F118" s="38">
        <v>2103.0</v>
      </c>
      <c r="G118" s="38">
        <v>993.0</v>
      </c>
      <c r="H118" s="38"/>
      <c r="I118" s="38"/>
      <c r="J118" s="38"/>
      <c r="K118" s="38">
        <v>1123.0</v>
      </c>
      <c r="L118" s="38">
        <v>1240.0</v>
      </c>
      <c r="M118" s="38"/>
      <c r="N118" s="38"/>
      <c r="O118" s="38"/>
      <c r="P118" s="38"/>
      <c r="Q118" s="38"/>
      <c r="R118" s="38"/>
      <c r="S118" s="38">
        <v>175.0</v>
      </c>
      <c r="T118" s="38">
        <v>1450.0</v>
      </c>
      <c r="U118" s="38"/>
      <c r="V118" s="38">
        <v>50.0</v>
      </c>
      <c r="W118" s="38"/>
      <c r="X118" s="38"/>
      <c r="Y118" s="38"/>
      <c r="Z118" s="38"/>
    </row>
    <row r="119" ht="15.75" customHeight="1">
      <c r="A119" s="37">
        <v>45405.0</v>
      </c>
      <c r="B119" s="38">
        <v>10850.0</v>
      </c>
      <c r="C119" s="38">
        <v>2244.0</v>
      </c>
      <c r="D119" s="38"/>
      <c r="E119" s="38"/>
      <c r="F119" s="38">
        <v>2223.0</v>
      </c>
      <c r="G119" s="38">
        <v>1122.0</v>
      </c>
      <c r="H119" s="38"/>
      <c r="I119" s="38"/>
      <c r="J119" s="38"/>
      <c r="K119" s="38">
        <v>527.0</v>
      </c>
      <c r="L119" s="38">
        <v>1344.0</v>
      </c>
      <c r="M119" s="38"/>
      <c r="N119" s="38"/>
      <c r="O119" s="38"/>
      <c r="P119" s="38"/>
      <c r="Q119" s="38"/>
      <c r="R119" s="38"/>
      <c r="S119" s="38">
        <v>350.0</v>
      </c>
      <c r="T119" s="38">
        <v>3040.0</v>
      </c>
      <c r="U119" s="38"/>
      <c r="V119" s="38">
        <v>50.0</v>
      </c>
      <c r="W119" s="38"/>
      <c r="X119" s="38"/>
      <c r="Y119" s="38"/>
      <c r="Z119" s="38"/>
    </row>
    <row r="120" ht="15.75" customHeight="1">
      <c r="A120" s="70">
        <v>45777.0</v>
      </c>
      <c r="B120" s="38">
        <v>7955.0</v>
      </c>
      <c r="C120" s="38">
        <v>618.0</v>
      </c>
      <c r="D120" s="38"/>
      <c r="E120" s="38"/>
      <c r="F120" s="38">
        <v>2032.0</v>
      </c>
      <c r="G120" s="38">
        <v>915.0</v>
      </c>
      <c r="H120" s="38"/>
      <c r="I120" s="38"/>
      <c r="J120" s="38"/>
      <c r="K120" s="38">
        <v>744.0</v>
      </c>
      <c r="L120" s="38">
        <v>1198.0</v>
      </c>
      <c r="M120" s="38"/>
      <c r="N120" s="38"/>
      <c r="O120" s="38"/>
      <c r="P120" s="38"/>
      <c r="Q120" s="38"/>
      <c r="R120" s="38"/>
      <c r="S120" s="38">
        <v>398.0</v>
      </c>
      <c r="T120" s="38">
        <v>2050.0</v>
      </c>
      <c r="U120" s="38"/>
      <c r="V120" s="38">
        <v>50.0</v>
      </c>
      <c r="W120" s="38"/>
      <c r="X120" s="38"/>
      <c r="Y120" s="38"/>
      <c r="Z120" s="38"/>
    </row>
    <row r="121" ht="15.75" customHeight="1">
      <c r="A121" s="37">
        <v>45784.0</v>
      </c>
      <c r="B121" s="38">
        <v>8569.0</v>
      </c>
      <c r="C121" s="38">
        <v>2396.0</v>
      </c>
      <c r="D121" s="38"/>
      <c r="E121" s="38"/>
      <c r="F121" s="38">
        <v>2607.0</v>
      </c>
      <c r="G121" s="38">
        <v>1052.0</v>
      </c>
      <c r="H121" s="38"/>
      <c r="I121" s="38"/>
      <c r="J121" s="38"/>
      <c r="K121" s="38">
        <v>599.0</v>
      </c>
      <c r="L121" s="38">
        <v>853.0</v>
      </c>
      <c r="M121" s="38"/>
      <c r="N121" s="38"/>
      <c r="O121" s="38"/>
      <c r="P121" s="38"/>
      <c r="Q121" s="38"/>
      <c r="R121" s="38"/>
      <c r="S121" s="38">
        <v>262.0</v>
      </c>
      <c r="T121" s="38">
        <v>800.0</v>
      </c>
      <c r="U121" s="38"/>
      <c r="V121" s="38">
        <v>50.0</v>
      </c>
      <c r="W121" s="38"/>
      <c r="X121" s="38"/>
      <c r="Y121" s="38"/>
      <c r="Z121" s="38"/>
    </row>
    <row r="122" ht="15.75" customHeight="1">
      <c r="A122" s="65">
        <v>45791.0</v>
      </c>
      <c r="B122" s="38">
        <v>9212.0</v>
      </c>
      <c r="C122" s="38">
        <v>2520.0</v>
      </c>
      <c r="D122" s="38"/>
      <c r="E122" s="38"/>
      <c r="F122" s="38">
        <v>2316.0</v>
      </c>
      <c r="G122" s="38">
        <v>726.0</v>
      </c>
      <c r="H122" s="38"/>
      <c r="I122" s="38"/>
      <c r="J122" s="38"/>
      <c r="K122" s="38">
        <v>631.0</v>
      </c>
      <c r="L122" s="38">
        <v>921.0</v>
      </c>
      <c r="M122" s="38"/>
      <c r="N122" s="38"/>
      <c r="O122" s="38"/>
      <c r="P122" s="38"/>
      <c r="Q122" s="38"/>
      <c r="R122" s="38"/>
      <c r="S122" s="38">
        <v>298.0</v>
      </c>
      <c r="T122" s="38">
        <v>1800.0</v>
      </c>
      <c r="U122" s="38"/>
      <c r="V122" s="38">
        <v>50.0</v>
      </c>
      <c r="W122" s="38"/>
      <c r="X122" s="38"/>
      <c r="Y122" s="38"/>
      <c r="Z122" s="38"/>
    </row>
    <row r="123" ht="15.75" customHeight="1">
      <c r="A123" s="37">
        <v>45798.0</v>
      </c>
      <c r="B123" s="43">
        <v>10241.0</v>
      </c>
      <c r="C123" s="60">
        <v>950.0</v>
      </c>
      <c r="D123" s="38"/>
      <c r="E123" s="38"/>
      <c r="F123" s="38">
        <v>1783.0</v>
      </c>
      <c r="G123" s="60">
        <v>1403.0</v>
      </c>
      <c r="H123" s="38"/>
      <c r="I123" s="38"/>
      <c r="J123" s="38"/>
      <c r="K123" s="38">
        <v>644.0</v>
      </c>
      <c r="L123" s="38">
        <v>516.0</v>
      </c>
      <c r="M123" s="38"/>
      <c r="N123" s="38"/>
      <c r="O123" s="38"/>
      <c r="P123" s="38"/>
      <c r="Q123" s="38"/>
      <c r="R123" s="38"/>
      <c r="S123" s="38">
        <v>285.0</v>
      </c>
      <c r="T123" s="38">
        <v>4610.0</v>
      </c>
      <c r="U123" s="38"/>
      <c r="V123" s="38">
        <v>50.0</v>
      </c>
      <c r="W123" s="38"/>
      <c r="X123" s="38"/>
      <c r="Y123" s="38"/>
      <c r="Z123" s="38"/>
    </row>
    <row r="124" ht="15.75" customHeight="1">
      <c r="A124" s="37">
        <v>45806.0</v>
      </c>
      <c r="B124" s="38">
        <v>4721.0</v>
      </c>
      <c r="C124" s="38">
        <v>768.0</v>
      </c>
      <c r="D124" s="38"/>
      <c r="E124" s="38"/>
      <c r="F124" s="38">
        <v>1066.0</v>
      </c>
      <c r="G124" s="38">
        <v>901.0</v>
      </c>
      <c r="H124" s="38"/>
      <c r="I124" s="38"/>
      <c r="J124" s="38"/>
      <c r="K124" s="38">
        <v>529.0</v>
      </c>
      <c r="L124" s="38">
        <v>832.0</v>
      </c>
      <c r="M124" s="38"/>
      <c r="N124" s="38"/>
      <c r="O124" s="38"/>
      <c r="P124" s="38"/>
      <c r="Q124" s="38"/>
      <c r="R124" s="38"/>
      <c r="S124" s="38">
        <v>275.0</v>
      </c>
      <c r="T124" s="38">
        <v>100.0</v>
      </c>
      <c r="U124" s="38"/>
      <c r="V124" s="38">
        <v>250.0</v>
      </c>
      <c r="W124" s="38"/>
      <c r="X124" s="38"/>
      <c r="Y124" s="38"/>
      <c r="Z124" s="38"/>
    </row>
    <row r="125" ht="15.75" customHeight="1">
      <c r="A125" s="37">
        <v>45812.0</v>
      </c>
      <c r="B125" s="38">
        <v>8858.0</v>
      </c>
      <c r="C125" s="38">
        <v>2767.0</v>
      </c>
      <c r="D125" s="38"/>
      <c r="E125" s="38"/>
      <c r="F125" s="38">
        <v>1188.0</v>
      </c>
      <c r="G125" s="38">
        <v>2059.0</v>
      </c>
      <c r="H125" s="38"/>
      <c r="I125" s="38"/>
      <c r="J125" s="38"/>
      <c r="K125" s="38">
        <v>134.0</v>
      </c>
      <c r="L125" s="38">
        <v>1221.0</v>
      </c>
      <c r="M125" s="38"/>
      <c r="N125" s="38"/>
      <c r="O125" s="38"/>
      <c r="P125" s="38"/>
      <c r="Q125" s="38"/>
      <c r="R125" s="38"/>
      <c r="S125" s="38">
        <v>689.0</v>
      </c>
      <c r="T125" s="38">
        <v>550.0</v>
      </c>
      <c r="U125" s="38"/>
      <c r="V125" s="38">
        <v>250.0</v>
      </c>
      <c r="W125" s="38"/>
      <c r="X125" s="38"/>
      <c r="Y125" s="38"/>
      <c r="Z125" s="38"/>
    </row>
    <row r="126" ht="15.75" customHeight="1">
      <c r="A126" s="37">
        <v>45819.0</v>
      </c>
      <c r="B126" s="43">
        <v>10421.0</v>
      </c>
      <c r="C126" s="38">
        <v>2964.0</v>
      </c>
      <c r="D126" s="38"/>
      <c r="E126" s="38"/>
      <c r="F126" s="38">
        <v>1251.0</v>
      </c>
      <c r="G126" s="38">
        <v>1186.0</v>
      </c>
      <c r="H126" s="38"/>
      <c r="I126" s="38"/>
      <c r="J126" s="38"/>
      <c r="K126" s="38">
        <v>203.0</v>
      </c>
      <c r="L126" s="38"/>
      <c r="M126" s="38"/>
      <c r="N126" s="38"/>
      <c r="O126" s="38"/>
      <c r="P126" s="38"/>
      <c r="Q126" s="38"/>
      <c r="R126" s="38"/>
      <c r="S126" s="38">
        <v>258.0</v>
      </c>
      <c r="T126" s="38">
        <v>4259.0</v>
      </c>
      <c r="U126" s="38"/>
      <c r="V126" s="38">
        <v>300.0</v>
      </c>
      <c r="W126" s="38"/>
      <c r="X126" s="38"/>
      <c r="Y126" s="38"/>
      <c r="Z126" s="38"/>
    </row>
    <row r="127" ht="15.75" customHeight="1">
      <c r="A127" s="37"/>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7"/>
      <c r="B128" s="60"/>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7">
        <f>IFERROR(__xludf.DUMMYFUNCTION("ArrayFormula(SPLIT(FLATTEN(A2:A126&amp;""🦊"" &amp;B1:W1&amp;""🦊""&amp;B2:W126),""🦊""))"),44930.0)</f>
        <v>44930</v>
      </c>
      <c r="B129" s="38" t="str">
        <f>IFERROR(__xludf.DUMMYFUNCTION("""COMPUTED_VALUE"""),"# of Sandwiches")</f>
        <v># of Sandwiches</v>
      </c>
      <c r="C129" s="38">
        <f>IFERROR(__xludf.DUMMYFUNCTION("""COMPUTED_VALUE"""),4746.0)</f>
        <v>4746</v>
      </c>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7">
        <f>IFERROR(__xludf.DUMMYFUNCTION("""COMPUTED_VALUE"""),44930.0)</f>
        <v>44930</v>
      </c>
      <c r="B130" s="38" t="str">
        <f>IFERROR(__xludf.DUMMYFUNCTION("""COMPUTED_VALUE"""),"ALPHARETTA")</f>
        <v>ALPHARETTA</v>
      </c>
      <c r="C130" s="38">
        <f>IFERROR(__xludf.DUMMYFUNCTION("""COMPUTED_VALUE"""),818.0)</f>
        <v>818</v>
      </c>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7">
        <f>IFERROR(__xludf.DUMMYFUNCTION("""COMPUTED_VALUE"""),44930.0)</f>
        <v>44930</v>
      </c>
      <c r="B131" s="38" t="str">
        <f>IFERROR(__xludf.DUMMYFUNCTION("""COMPUTED_VALUE"""),"PREVIOUS BUCKHEAD")</f>
        <v>PREVIOUS BUCKHEAD</v>
      </c>
      <c r="C131" s="38">
        <f>IFERROR(__xludf.DUMMYFUNCTION("""COMPUTED_VALUE"""),0.0)</f>
        <v>0</v>
      </c>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7">
        <f>IFERROR(__xludf.DUMMYFUNCTION("""COMPUTED_VALUE"""),44930.0)</f>
        <v>44930</v>
      </c>
      <c r="B132" s="38" t="str">
        <f>IFERROR(__xludf.DUMMYFUNCTION("""COMPUTED_VALUE"""),"PREVIOUS OAK GROVE")</f>
        <v>PREVIOUS OAK GROVE</v>
      </c>
      <c r="C132" s="38">
        <f>IFERROR(__xludf.DUMMYFUNCTION("""COMPUTED_VALUE"""),0.0)</f>
        <v>0</v>
      </c>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7">
        <f>IFERROR(__xludf.DUMMYFUNCTION("""COMPUTED_VALUE"""),44930.0)</f>
        <v>44930</v>
      </c>
      <c r="B133" s="38" t="str">
        <f>IFERROR(__xludf.DUMMYFUNCTION("""COMPUTED_VALUE"""),"DUNWOODY/PTC ")</f>
        <v>DUNWOODY/PTC </v>
      </c>
      <c r="C133" s="38">
        <f>IFERROR(__xludf.DUMMYFUNCTION("""COMPUTED_VALUE"""),1326.0)</f>
        <v>1326</v>
      </c>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7">
        <f>IFERROR(__xludf.DUMMYFUNCTION("""COMPUTED_VALUE"""),44930.0)</f>
        <v>44930</v>
      </c>
      <c r="B134" s="38" t="str">
        <f>IFERROR(__xludf.DUMMYFUNCTION("""COMPUTED_VALUE"""),"E COBB/ROSWELL")</f>
        <v>E COBB/ROSWELL</v>
      </c>
      <c r="C134" s="38">
        <f>IFERROR(__xludf.DUMMYFUNCTION("""COMPUTED_VALUE"""),1204.0)</f>
        <v>1204</v>
      </c>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7">
        <f>IFERROR(__xludf.DUMMYFUNCTION("""COMPUTED_VALUE"""),44930.0)</f>
        <v>44930</v>
      </c>
      <c r="B135" s="38" t="str">
        <f>IFERROR(__xludf.DUMMYFUNCTION("""COMPUTED_VALUE"""),"DECATUR")</f>
        <v>DECATUR</v>
      </c>
      <c r="C135" s="38">
        <f>IFERROR(__xludf.DUMMYFUNCTION("""COMPUTED_VALUE"""),161.0)</f>
        <v>161</v>
      </c>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7">
        <f>IFERROR(__xludf.DUMMYFUNCTION("""COMPUTED_VALUE"""),44930.0)</f>
        <v>44930</v>
      </c>
      <c r="B136" s="38" t="str">
        <f>IFERROR(__xludf.DUMMYFUNCTION("""COMPUTED_VALUE"""),"P'TREE CORNERS ")</f>
        <v>P'TREE CORNERS </v>
      </c>
      <c r="C136" s="38">
        <f>IFERROR(__xludf.DUMMYFUNCTION("""COMPUTED_VALUE"""),263.0)</f>
        <v>263</v>
      </c>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7">
        <f>IFERROR(__xludf.DUMMYFUNCTION("""COMPUTED_VALUE"""),44930.0)</f>
        <v>44930</v>
      </c>
      <c r="B137" s="38" t="str">
        <f>IFERROR(__xludf.DUMMYFUNCTION("""COMPUTED_VALUE"""),"UGA/Athens")</f>
        <v>UGA/Athens</v>
      </c>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7">
        <f>IFERROR(__xludf.DUMMYFUNCTION("""COMPUTED_VALUE"""),44930.0)</f>
        <v>44930</v>
      </c>
      <c r="B138" s="38" t="str">
        <f>IFERROR(__xludf.DUMMYFUNCTION("""COMPUTED_VALUE"""),"SANDY SPRINGS ")</f>
        <v>SANDY SPRINGS </v>
      </c>
      <c r="C138" s="38">
        <f>IFERROR(__xludf.DUMMYFUNCTION("""COMPUTED_VALUE"""),250.0)</f>
        <v>250</v>
      </c>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7">
        <f>IFERROR(__xludf.DUMMYFUNCTION("""COMPUTED_VALUE"""),44930.0)</f>
        <v>44930</v>
      </c>
      <c r="B139" s="38" t="str">
        <f>IFERROR(__xludf.DUMMYFUNCTION("""COMPUTED_VALUE"""),"INTOWN/DRUID HILLS ")</f>
        <v>INTOWN/DRUID HILLS </v>
      </c>
      <c r="C139" s="38">
        <f>IFERROR(__xludf.DUMMYFUNCTION("""COMPUTED_VALUE"""),206.0)</f>
        <v>206</v>
      </c>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7">
        <f>IFERROR(__xludf.DUMMYFUNCTION("""COMPUTED_VALUE"""),44930.0)</f>
        <v>44930</v>
      </c>
      <c r="B140" s="38" t="str">
        <f>IFERROR(__xludf.DUMMYFUNCTION("""COMPUTED_VALUE"""),"SNELLVILLE")</f>
        <v>SNELLVILLE</v>
      </c>
      <c r="C140" s="38">
        <f>IFERROR(__xludf.DUMMYFUNCTION("""COMPUTED_VALUE"""),106.0)</f>
        <v>106</v>
      </c>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7">
        <f>IFERROR(__xludf.DUMMYFUNCTION("""COMPUTED_VALUE"""),44930.0)</f>
        <v>44930</v>
      </c>
      <c r="B141" s="38" t="str">
        <f>IFERROR(__xludf.DUMMYFUNCTION("""COMPUTED_VALUE"""),"GROUPS")</f>
        <v>GROUPS</v>
      </c>
      <c r="C141" s="38">
        <f>IFERROR(__xludf.DUMMYFUNCTION("""COMPUTED_VALUE"""),0.0)</f>
        <v>0</v>
      </c>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7">
        <f>IFERROR(__xludf.DUMMYFUNCTION("""COMPUTED_VALUE"""),44930.0)</f>
        <v>44930</v>
      </c>
      <c r="B142" s="38" t="str">
        <f>IFERROR(__xludf.DUMMYFUNCTION("""COMPUTED_VALUE"""),"Previous Woodstock")</f>
        <v>Previous Woodstock</v>
      </c>
      <c r="C142" s="38">
        <f>IFERROR(__xludf.DUMMYFUNCTION("""COMPUTED_VALUE"""),0.0)</f>
        <v>0</v>
      </c>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7">
        <f>IFERROR(__xludf.DUMMYFUNCTION("""COMPUTED_VALUE"""),44930.0)</f>
        <v>44930</v>
      </c>
      <c r="B143" s="38" t="str">
        <f>IFERROR(__xludf.DUMMYFUNCTION("""COMPUTED_VALUE"""),"Previous Lenox/Brookhaven")</f>
        <v>Previous Lenox/Brookhaven</v>
      </c>
      <c r="C143" s="38">
        <f>IFERROR(__xludf.DUMMYFUNCTION("""COMPUTED_VALUE"""),0.0)</f>
        <v>0</v>
      </c>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7">
        <f>IFERROR(__xludf.DUMMYFUNCTION("""COMPUTED_VALUE"""),44930.0)</f>
        <v>44930</v>
      </c>
      <c r="B144" s="38" t="str">
        <f>IFERROR(__xludf.DUMMYFUNCTION("""COMPUTED_VALUE"""),"Previous New Chastain")</f>
        <v>Previous New Chastain</v>
      </c>
      <c r="C144" s="38">
        <f>IFERROR(__xludf.DUMMYFUNCTION("""COMPUTED_VALUE"""),0.0)</f>
        <v>0</v>
      </c>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7">
        <f>IFERROR(__xludf.DUMMYFUNCTION("""COMPUTED_VALUE"""),44930.0)</f>
        <v>44930</v>
      </c>
      <c r="B145" s="38" t="str">
        <f>IFERROR(__xludf.DUMMYFUNCTION("""COMPUTED_VALUE"""),"Previous Glenwood Park")</f>
        <v>Previous Glenwood Park</v>
      </c>
      <c r="C145" s="38">
        <f>IFERROR(__xludf.DUMMYFUNCTION("""COMPUTED_VALUE"""),0.0)</f>
        <v>0</v>
      </c>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7">
        <f>IFERROR(__xludf.DUMMYFUNCTION("""COMPUTED_VALUE"""),44930.0)</f>
        <v>44930</v>
      </c>
      <c r="B146" s="38" t="str">
        <f>IFERROR(__xludf.DUMMYFUNCTION("""COMPUTED_VALUE"""),"FLOWERY BRANCH")</f>
        <v>FLOWERY BRANCH</v>
      </c>
      <c r="C146" s="38">
        <f>IFERROR(__xludf.DUMMYFUNCTION("""COMPUTED_VALUE"""),412.0)</f>
        <v>412</v>
      </c>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7">
        <f>IFERROR(__xludf.DUMMYFUNCTION("""COMPUTED_VALUE"""),44930.0)</f>
        <v>44930</v>
      </c>
      <c r="B147" s="38" t="str">
        <f>IFERROR(__xludf.DUMMYFUNCTION("""COMPUTED_VALUE"""),"GROUPS ")</f>
        <v>GROUPS </v>
      </c>
      <c r="C147" s="38">
        <f>IFERROR(__xludf.DUMMYFUNCTION("""COMPUTED_VALUE"""),0.0)</f>
        <v>0</v>
      </c>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7">
        <f>IFERROR(__xludf.DUMMYFUNCTION("""COMPUTED_VALUE"""),44930.0)</f>
        <v>44930</v>
      </c>
      <c r="B148" s="38" t="str">
        <f>IFERROR(__xludf.DUMMYFUNCTION("""COMPUTED_VALUE"""),"TOTAL")</f>
        <v>TOTAL</v>
      </c>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7">
        <f>IFERROR(__xludf.DUMMYFUNCTION("""COMPUTED_VALUE"""),44930.0)</f>
        <v>44930</v>
      </c>
      <c r="B149" s="38" t="str">
        <f>IFERROR(__xludf.DUMMYFUNCTION("""COMPUTED_VALUE"""),"Collective Learning")</f>
        <v>Collective Learning</v>
      </c>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7">
        <f>IFERROR(__xludf.DUMMYFUNCTION("""COMPUTED_VALUE"""),44930.0)</f>
        <v>44930</v>
      </c>
      <c r="B150" s="38" t="str">
        <f>IFERROR(__xludf.DUMMYFUNCTION("""COMPUTED_VALUE"""),"NOTES")</f>
        <v>NOTES</v>
      </c>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7">
        <f>IFERROR(__xludf.DUMMYFUNCTION("""COMPUTED_VALUE"""),44937.0)</f>
        <v>44937</v>
      </c>
      <c r="B151" s="38" t="str">
        <f>IFERROR(__xludf.DUMMYFUNCTION("""COMPUTED_VALUE"""),"# of Sandwiches")</f>
        <v># of Sandwiches</v>
      </c>
      <c r="C151" s="38">
        <f>IFERROR(__xludf.DUMMYFUNCTION("""COMPUTED_VALUE"""),5134.0)</f>
        <v>5134</v>
      </c>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7">
        <f>IFERROR(__xludf.DUMMYFUNCTION("""COMPUTED_VALUE"""),44937.0)</f>
        <v>44937</v>
      </c>
      <c r="B152" s="38" t="str">
        <f>IFERROR(__xludf.DUMMYFUNCTION("""COMPUTED_VALUE"""),"ALPHARETTA")</f>
        <v>ALPHARETTA</v>
      </c>
      <c r="C152" s="38">
        <f>IFERROR(__xludf.DUMMYFUNCTION("""COMPUTED_VALUE"""),888.0)</f>
        <v>888</v>
      </c>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7">
        <f>IFERROR(__xludf.DUMMYFUNCTION("""COMPUTED_VALUE"""),44937.0)</f>
        <v>44937</v>
      </c>
      <c r="B153" s="38" t="str">
        <f>IFERROR(__xludf.DUMMYFUNCTION("""COMPUTED_VALUE"""),"PREVIOUS BUCKHEAD")</f>
        <v>PREVIOUS BUCKHEAD</v>
      </c>
      <c r="C153" s="38">
        <f>IFERROR(__xludf.DUMMYFUNCTION("""COMPUTED_VALUE"""),0.0)</f>
        <v>0</v>
      </c>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7">
        <f>IFERROR(__xludf.DUMMYFUNCTION("""COMPUTED_VALUE"""),44937.0)</f>
        <v>44937</v>
      </c>
      <c r="B154" s="38" t="str">
        <f>IFERROR(__xludf.DUMMYFUNCTION("""COMPUTED_VALUE"""),"PREVIOUS OAK GROVE")</f>
        <v>PREVIOUS OAK GROVE</v>
      </c>
      <c r="C154" s="38">
        <f>IFERROR(__xludf.DUMMYFUNCTION("""COMPUTED_VALUE"""),0.0)</f>
        <v>0</v>
      </c>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7">
        <f>IFERROR(__xludf.DUMMYFUNCTION("""COMPUTED_VALUE"""),44937.0)</f>
        <v>44937</v>
      </c>
      <c r="B155" s="38" t="str">
        <f>IFERROR(__xludf.DUMMYFUNCTION("""COMPUTED_VALUE"""),"DUNWOODY/PTC ")</f>
        <v>DUNWOODY/PTC </v>
      </c>
      <c r="C155" s="38">
        <f>IFERROR(__xludf.DUMMYFUNCTION("""COMPUTED_VALUE"""),1422.0)</f>
        <v>1422</v>
      </c>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7">
        <f>IFERROR(__xludf.DUMMYFUNCTION("""COMPUTED_VALUE"""),44937.0)</f>
        <v>44937</v>
      </c>
      <c r="B156" s="38" t="str">
        <f>IFERROR(__xludf.DUMMYFUNCTION("""COMPUTED_VALUE"""),"E COBB/ROSWELL")</f>
        <v>E COBB/ROSWELL</v>
      </c>
      <c r="C156" s="38">
        <f>IFERROR(__xludf.DUMMYFUNCTION("""COMPUTED_VALUE"""),650.0)</f>
        <v>650</v>
      </c>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7">
        <f>IFERROR(__xludf.DUMMYFUNCTION("""COMPUTED_VALUE"""),44937.0)</f>
        <v>44937</v>
      </c>
      <c r="B157" s="38" t="str">
        <f>IFERROR(__xludf.DUMMYFUNCTION("""COMPUTED_VALUE"""),"DECATUR")</f>
        <v>DECATUR</v>
      </c>
      <c r="C157" s="38">
        <f>IFERROR(__xludf.DUMMYFUNCTION("""COMPUTED_VALUE"""),622.0)</f>
        <v>622</v>
      </c>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7">
        <f>IFERROR(__xludf.DUMMYFUNCTION("""COMPUTED_VALUE"""),44937.0)</f>
        <v>44937</v>
      </c>
      <c r="B158" s="38" t="str">
        <f>IFERROR(__xludf.DUMMYFUNCTION("""COMPUTED_VALUE"""),"P'TREE CORNERS ")</f>
        <v>P'TREE CORNERS </v>
      </c>
      <c r="C158" s="38">
        <f>IFERROR(__xludf.DUMMYFUNCTION("""COMPUTED_VALUE"""),444.0)</f>
        <v>444</v>
      </c>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7">
        <f>IFERROR(__xludf.DUMMYFUNCTION("""COMPUTED_VALUE"""),44937.0)</f>
        <v>44937</v>
      </c>
      <c r="B159" s="38" t="str">
        <f>IFERROR(__xludf.DUMMYFUNCTION("""COMPUTED_VALUE"""),"UGA/Athens")</f>
        <v>UGA/Athens</v>
      </c>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7">
        <f>IFERROR(__xludf.DUMMYFUNCTION("""COMPUTED_VALUE"""),44937.0)</f>
        <v>44937</v>
      </c>
      <c r="B160" s="38" t="str">
        <f>IFERROR(__xludf.DUMMYFUNCTION("""COMPUTED_VALUE"""),"SANDY SPRINGS ")</f>
        <v>SANDY SPRINGS </v>
      </c>
      <c r="C160" s="38">
        <f>IFERROR(__xludf.DUMMYFUNCTION("""COMPUTED_VALUE"""),514.0)</f>
        <v>514</v>
      </c>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7">
        <f>IFERROR(__xludf.DUMMYFUNCTION("""COMPUTED_VALUE"""),44937.0)</f>
        <v>44937</v>
      </c>
      <c r="B161" s="38" t="str">
        <f>IFERROR(__xludf.DUMMYFUNCTION("""COMPUTED_VALUE"""),"INTOWN/DRUID HILLS ")</f>
        <v>INTOWN/DRUID HILLS </v>
      </c>
      <c r="C161" s="38">
        <f>IFERROR(__xludf.DUMMYFUNCTION("""COMPUTED_VALUE"""),152.0)</f>
        <v>152</v>
      </c>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7">
        <f>IFERROR(__xludf.DUMMYFUNCTION("""COMPUTED_VALUE"""),44937.0)</f>
        <v>44937</v>
      </c>
      <c r="B162" s="38" t="str">
        <f>IFERROR(__xludf.DUMMYFUNCTION("""COMPUTED_VALUE"""),"SNELLVILLE")</f>
        <v>SNELLVILLE</v>
      </c>
      <c r="C162" s="38">
        <f>IFERROR(__xludf.DUMMYFUNCTION("""COMPUTED_VALUE"""),151.0)</f>
        <v>151</v>
      </c>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7">
        <f>IFERROR(__xludf.DUMMYFUNCTION("""COMPUTED_VALUE"""),44937.0)</f>
        <v>44937</v>
      </c>
      <c r="B163" s="38" t="str">
        <f>IFERROR(__xludf.DUMMYFUNCTION("""COMPUTED_VALUE"""),"GROUPS")</f>
        <v>GROUPS</v>
      </c>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7">
        <f>IFERROR(__xludf.DUMMYFUNCTION("""COMPUTED_VALUE"""),44937.0)</f>
        <v>44937</v>
      </c>
      <c r="B164" s="38" t="str">
        <f>IFERROR(__xludf.DUMMYFUNCTION("""COMPUTED_VALUE"""),"Previous Woodstock")</f>
        <v>Previous Woodstock</v>
      </c>
      <c r="C164" s="38">
        <f>IFERROR(__xludf.DUMMYFUNCTION("""COMPUTED_VALUE"""),0.0)</f>
        <v>0</v>
      </c>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7">
        <f>IFERROR(__xludf.DUMMYFUNCTION("""COMPUTED_VALUE"""),44937.0)</f>
        <v>44937</v>
      </c>
      <c r="B165" s="38" t="str">
        <f>IFERROR(__xludf.DUMMYFUNCTION("""COMPUTED_VALUE"""),"Previous Lenox/Brookhaven")</f>
        <v>Previous Lenox/Brookhaven</v>
      </c>
      <c r="C165" s="38">
        <f>IFERROR(__xludf.DUMMYFUNCTION("""COMPUTED_VALUE"""),0.0)</f>
        <v>0</v>
      </c>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7">
        <f>IFERROR(__xludf.DUMMYFUNCTION("""COMPUTED_VALUE"""),44937.0)</f>
        <v>44937</v>
      </c>
      <c r="B166" s="38" t="str">
        <f>IFERROR(__xludf.DUMMYFUNCTION("""COMPUTED_VALUE"""),"Previous New Chastain")</f>
        <v>Previous New Chastain</v>
      </c>
      <c r="C166" s="38">
        <f>IFERROR(__xludf.DUMMYFUNCTION("""COMPUTED_VALUE"""),0.0)</f>
        <v>0</v>
      </c>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7">
        <f>IFERROR(__xludf.DUMMYFUNCTION("""COMPUTED_VALUE"""),44937.0)</f>
        <v>44937</v>
      </c>
      <c r="B167" s="38" t="str">
        <f>IFERROR(__xludf.DUMMYFUNCTION("""COMPUTED_VALUE"""),"Previous Glenwood Park")</f>
        <v>Previous Glenwood Park</v>
      </c>
      <c r="C167" s="38">
        <f>IFERROR(__xludf.DUMMYFUNCTION("""COMPUTED_VALUE"""),0.0)</f>
        <v>0</v>
      </c>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7">
        <f>IFERROR(__xludf.DUMMYFUNCTION("""COMPUTED_VALUE"""),44937.0)</f>
        <v>44937</v>
      </c>
      <c r="B168" s="38" t="str">
        <f>IFERROR(__xludf.DUMMYFUNCTION("""COMPUTED_VALUE"""),"FLOWERY BRANCH")</f>
        <v>FLOWERY BRANCH</v>
      </c>
      <c r="C168" s="38">
        <f>IFERROR(__xludf.DUMMYFUNCTION("""COMPUTED_VALUE"""),291.0)</f>
        <v>291</v>
      </c>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7">
        <f>IFERROR(__xludf.DUMMYFUNCTION("""COMPUTED_VALUE"""),44937.0)</f>
        <v>44937</v>
      </c>
      <c r="B169" s="38" t="str">
        <f>IFERROR(__xludf.DUMMYFUNCTION("""COMPUTED_VALUE"""),"GROUPS ")</f>
        <v>GROUPS </v>
      </c>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7">
        <f>IFERROR(__xludf.DUMMYFUNCTION("""COMPUTED_VALUE"""),44937.0)</f>
        <v>44937</v>
      </c>
      <c r="B170" s="38" t="str">
        <f>IFERROR(__xludf.DUMMYFUNCTION("""COMPUTED_VALUE"""),"TOTAL")</f>
        <v>TOTAL</v>
      </c>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7">
        <f>IFERROR(__xludf.DUMMYFUNCTION("""COMPUTED_VALUE"""),44937.0)</f>
        <v>44937</v>
      </c>
      <c r="B171" s="38" t="str">
        <f>IFERROR(__xludf.DUMMYFUNCTION("""COMPUTED_VALUE"""),"Collective Learning")</f>
        <v>Collective Learning</v>
      </c>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7">
        <f>IFERROR(__xludf.DUMMYFUNCTION("""COMPUTED_VALUE"""),44937.0)</f>
        <v>44937</v>
      </c>
      <c r="B172" s="38" t="str">
        <f>IFERROR(__xludf.DUMMYFUNCTION("""COMPUTED_VALUE"""),"NOTES")</f>
        <v>NOTES</v>
      </c>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7">
        <f>IFERROR(__xludf.DUMMYFUNCTION("""COMPUTED_VALUE"""),44944.0)</f>
        <v>44944</v>
      </c>
      <c r="B173" s="38" t="str">
        <f>IFERROR(__xludf.DUMMYFUNCTION("""COMPUTED_VALUE"""),"# of Sandwiches")</f>
        <v># of Sandwiches</v>
      </c>
      <c r="C173" s="38">
        <f>IFERROR(__xludf.DUMMYFUNCTION("""COMPUTED_VALUE"""),6388.0)</f>
        <v>6388</v>
      </c>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7">
        <f>IFERROR(__xludf.DUMMYFUNCTION("""COMPUTED_VALUE"""),44944.0)</f>
        <v>44944</v>
      </c>
      <c r="B174" s="38" t="str">
        <f>IFERROR(__xludf.DUMMYFUNCTION("""COMPUTED_VALUE"""),"ALPHARETTA")</f>
        <v>ALPHARETTA</v>
      </c>
      <c r="C174" s="38">
        <f>IFERROR(__xludf.DUMMYFUNCTION("""COMPUTED_VALUE"""),908.0)</f>
        <v>908</v>
      </c>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7">
        <f>IFERROR(__xludf.DUMMYFUNCTION("""COMPUTED_VALUE"""),44944.0)</f>
        <v>44944</v>
      </c>
      <c r="B175" s="38" t="str">
        <f>IFERROR(__xludf.DUMMYFUNCTION("""COMPUTED_VALUE"""),"PREVIOUS BUCKHEAD")</f>
        <v>PREVIOUS BUCKHEAD</v>
      </c>
      <c r="C175" s="38">
        <f>IFERROR(__xludf.DUMMYFUNCTION("""COMPUTED_VALUE"""),0.0)</f>
        <v>0</v>
      </c>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7">
        <f>IFERROR(__xludf.DUMMYFUNCTION("""COMPUTED_VALUE"""),44944.0)</f>
        <v>44944</v>
      </c>
      <c r="B176" s="38" t="str">
        <f>IFERROR(__xludf.DUMMYFUNCTION("""COMPUTED_VALUE"""),"PREVIOUS OAK GROVE")</f>
        <v>PREVIOUS OAK GROVE</v>
      </c>
      <c r="C176" s="38">
        <f>IFERROR(__xludf.DUMMYFUNCTION("""COMPUTED_VALUE"""),0.0)</f>
        <v>0</v>
      </c>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7">
        <f>IFERROR(__xludf.DUMMYFUNCTION("""COMPUTED_VALUE"""),44944.0)</f>
        <v>44944</v>
      </c>
      <c r="B177" s="38" t="str">
        <f>IFERROR(__xludf.DUMMYFUNCTION("""COMPUTED_VALUE"""),"DUNWOODY/PTC ")</f>
        <v>DUNWOODY/PTC </v>
      </c>
      <c r="C177" s="38">
        <f>IFERROR(__xludf.DUMMYFUNCTION("""COMPUTED_VALUE"""),1243.0)</f>
        <v>1243</v>
      </c>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7">
        <f>IFERROR(__xludf.DUMMYFUNCTION("""COMPUTED_VALUE"""),44944.0)</f>
        <v>44944</v>
      </c>
      <c r="B178" s="38" t="str">
        <f>IFERROR(__xludf.DUMMYFUNCTION("""COMPUTED_VALUE"""),"E COBB/ROSWELL")</f>
        <v>E COBB/ROSWELL</v>
      </c>
      <c r="C178" s="38">
        <f>IFERROR(__xludf.DUMMYFUNCTION("""COMPUTED_VALUE"""),1614.0)</f>
        <v>1614</v>
      </c>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7">
        <f>IFERROR(__xludf.DUMMYFUNCTION("""COMPUTED_VALUE"""),44944.0)</f>
        <v>44944</v>
      </c>
      <c r="B179" s="38" t="str">
        <f>IFERROR(__xludf.DUMMYFUNCTION("""COMPUTED_VALUE"""),"DECATUR")</f>
        <v>DECATUR</v>
      </c>
      <c r="C179" s="38">
        <f>IFERROR(__xludf.DUMMYFUNCTION("""COMPUTED_VALUE"""),465.0)</f>
        <v>465</v>
      </c>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7">
        <f>IFERROR(__xludf.DUMMYFUNCTION("""COMPUTED_VALUE"""),44944.0)</f>
        <v>44944</v>
      </c>
      <c r="B180" s="38" t="str">
        <f>IFERROR(__xludf.DUMMYFUNCTION("""COMPUTED_VALUE"""),"P'TREE CORNERS ")</f>
        <v>P'TREE CORNERS </v>
      </c>
      <c r="C180" s="38">
        <f>IFERROR(__xludf.DUMMYFUNCTION("""COMPUTED_VALUE"""),290.0)</f>
        <v>290</v>
      </c>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7">
        <f>IFERROR(__xludf.DUMMYFUNCTION("""COMPUTED_VALUE"""),44944.0)</f>
        <v>44944</v>
      </c>
      <c r="B181" s="38" t="str">
        <f>IFERROR(__xludf.DUMMYFUNCTION("""COMPUTED_VALUE"""),"UGA/Athens")</f>
        <v>UGA/Athens</v>
      </c>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7">
        <f>IFERROR(__xludf.DUMMYFUNCTION("""COMPUTED_VALUE"""),44944.0)</f>
        <v>44944</v>
      </c>
      <c r="B182" s="38" t="str">
        <f>IFERROR(__xludf.DUMMYFUNCTION("""COMPUTED_VALUE"""),"SANDY SPRINGS ")</f>
        <v>SANDY SPRINGS </v>
      </c>
      <c r="C182" s="38">
        <f>IFERROR(__xludf.DUMMYFUNCTION("""COMPUTED_VALUE"""),603.0)</f>
        <v>603</v>
      </c>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7">
        <f>IFERROR(__xludf.DUMMYFUNCTION("""COMPUTED_VALUE"""),44944.0)</f>
        <v>44944</v>
      </c>
      <c r="B183" s="38" t="str">
        <f>IFERROR(__xludf.DUMMYFUNCTION("""COMPUTED_VALUE"""),"INTOWN/DRUID HILLS ")</f>
        <v>INTOWN/DRUID HILLS </v>
      </c>
      <c r="C183" s="38">
        <f>IFERROR(__xludf.DUMMYFUNCTION("""COMPUTED_VALUE"""),627.0)</f>
        <v>627</v>
      </c>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7">
        <f>IFERROR(__xludf.DUMMYFUNCTION("""COMPUTED_VALUE"""),44944.0)</f>
        <v>44944</v>
      </c>
      <c r="B184" s="38" t="str">
        <f>IFERROR(__xludf.DUMMYFUNCTION("""COMPUTED_VALUE"""),"SNELLVILLE")</f>
        <v>SNELLVILLE</v>
      </c>
      <c r="C184" s="38">
        <f>IFERROR(__xludf.DUMMYFUNCTION("""COMPUTED_VALUE"""),148.0)</f>
        <v>148</v>
      </c>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7">
        <f>IFERROR(__xludf.DUMMYFUNCTION("""COMPUTED_VALUE"""),44944.0)</f>
        <v>44944</v>
      </c>
      <c r="B185" s="38" t="str">
        <f>IFERROR(__xludf.DUMMYFUNCTION("""COMPUTED_VALUE"""),"GROUPS")</f>
        <v>GROUPS</v>
      </c>
      <c r="C185" s="38">
        <f>IFERROR(__xludf.DUMMYFUNCTION("""COMPUTED_VALUE"""),0.0)</f>
        <v>0</v>
      </c>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7">
        <f>IFERROR(__xludf.DUMMYFUNCTION("""COMPUTED_VALUE"""),44944.0)</f>
        <v>44944</v>
      </c>
      <c r="B186" s="38" t="str">
        <f>IFERROR(__xludf.DUMMYFUNCTION("""COMPUTED_VALUE"""),"Previous Woodstock")</f>
        <v>Previous Woodstock</v>
      </c>
      <c r="C186" s="38">
        <f>IFERROR(__xludf.DUMMYFUNCTION("""COMPUTED_VALUE"""),0.0)</f>
        <v>0</v>
      </c>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7">
        <f>IFERROR(__xludf.DUMMYFUNCTION("""COMPUTED_VALUE"""),44944.0)</f>
        <v>44944</v>
      </c>
      <c r="B187" s="38" t="str">
        <f>IFERROR(__xludf.DUMMYFUNCTION("""COMPUTED_VALUE"""),"Previous Lenox/Brookhaven")</f>
        <v>Previous Lenox/Brookhaven</v>
      </c>
      <c r="C187" s="38">
        <f>IFERROR(__xludf.DUMMYFUNCTION("""COMPUTED_VALUE"""),0.0)</f>
        <v>0</v>
      </c>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7">
        <f>IFERROR(__xludf.DUMMYFUNCTION("""COMPUTED_VALUE"""),44944.0)</f>
        <v>44944</v>
      </c>
      <c r="B188" s="38" t="str">
        <f>IFERROR(__xludf.DUMMYFUNCTION("""COMPUTED_VALUE"""),"Previous New Chastain")</f>
        <v>Previous New Chastain</v>
      </c>
      <c r="C188" s="38">
        <f>IFERROR(__xludf.DUMMYFUNCTION("""COMPUTED_VALUE"""),0.0)</f>
        <v>0</v>
      </c>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7">
        <f>IFERROR(__xludf.DUMMYFUNCTION("""COMPUTED_VALUE"""),44944.0)</f>
        <v>44944</v>
      </c>
      <c r="B189" s="38" t="str">
        <f>IFERROR(__xludf.DUMMYFUNCTION("""COMPUTED_VALUE"""),"Previous Glenwood Park")</f>
        <v>Previous Glenwood Park</v>
      </c>
      <c r="C189" s="38">
        <f>IFERROR(__xludf.DUMMYFUNCTION("""COMPUTED_VALUE"""),0.0)</f>
        <v>0</v>
      </c>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7">
        <f>IFERROR(__xludf.DUMMYFUNCTION("""COMPUTED_VALUE"""),44944.0)</f>
        <v>44944</v>
      </c>
      <c r="B190" s="38" t="str">
        <f>IFERROR(__xludf.DUMMYFUNCTION("""COMPUTED_VALUE"""),"FLOWERY BRANCH")</f>
        <v>FLOWERY BRANCH</v>
      </c>
      <c r="C190" s="38">
        <f>IFERROR(__xludf.DUMMYFUNCTION("""COMPUTED_VALUE"""),490.0)</f>
        <v>490</v>
      </c>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7">
        <f>IFERROR(__xludf.DUMMYFUNCTION("""COMPUTED_VALUE"""),44944.0)</f>
        <v>44944</v>
      </c>
      <c r="B191" s="38" t="str">
        <f>IFERROR(__xludf.DUMMYFUNCTION("""COMPUTED_VALUE"""),"GROUPS ")</f>
        <v>GROUPS </v>
      </c>
      <c r="C191" s="38">
        <f>IFERROR(__xludf.DUMMYFUNCTION("""COMPUTED_VALUE"""),0.0)</f>
        <v>0</v>
      </c>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7">
        <f>IFERROR(__xludf.DUMMYFUNCTION("""COMPUTED_VALUE"""),44944.0)</f>
        <v>44944</v>
      </c>
      <c r="B192" s="38" t="str">
        <f>IFERROR(__xludf.DUMMYFUNCTION("""COMPUTED_VALUE"""),"TOTAL")</f>
        <v>TOTAL</v>
      </c>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7">
        <f>IFERROR(__xludf.DUMMYFUNCTION("""COMPUTED_VALUE"""),44944.0)</f>
        <v>44944</v>
      </c>
      <c r="B193" s="38" t="str">
        <f>IFERROR(__xludf.DUMMYFUNCTION("""COMPUTED_VALUE"""),"Collective Learning")</f>
        <v>Collective Learning</v>
      </c>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7">
        <f>IFERROR(__xludf.DUMMYFUNCTION("""COMPUTED_VALUE"""),44944.0)</f>
        <v>44944</v>
      </c>
      <c r="B194" s="38" t="str">
        <f>IFERROR(__xludf.DUMMYFUNCTION("""COMPUTED_VALUE"""),"NOTES")</f>
        <v>NOTES</v>
      </c>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7">
        <f>IFERROR(__xludf.DUMMYFUNCTION("""COMPUTED_VALUE"""),44951.0)</f>
        <v>44951</v>
      </c>
      <c r="B195" s="38" t="str">
        <f>IFERROR(__xludf.DUMMYFUNCTION("""COMPUTED_VALUE"""),"# of Sandwiches")</f>
        <v># of Sandwiches</v>
      </c>
      <c r="C195" s="38">
        <f>IFERROR(__xludf.DUMMYFUNCTION("""COMPUTED_VALUE"""),7153.0)</f>
        <v>7153</v>
      </c>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7">
        <f>IFERROR(__xludf.DUMMYFUNCTION("""COMPUTED_VALUE"""),44951.0)</f>
        <v>44951</v>
      </c>
      <c r="B196" s="38" t="str">
        <f>IFERROR(__xludf.DUMMYFUNCTION("""COMPUTED_VALUE"""),"ALPHARETTA")</f>
        <v>ALPHARETTA</v>
      </c>
      <c r="C196" s="38">
        <f>IFERROR(__xludf.DUMMYFUNCTION("""COMPUTED_VALUE"""),1025.0)</f>
        <v>1025</v>
      </c>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7">
        <f>IFERROR(__xludf.DUMMYFUNCTION("""COMPUTED_VALUE"""),44951.0)</f>
        <v>44951</v>
      </c>
      <c r="B197" s="38" t="str">
        <f>IFERROR(__xludf.DUMMYFUNCTION("""COMPUTED_VALUE"""),"PREVIOUS BUCKHEAD")</f>
        <v>PREVIOUS BUCKHEAD</v>
      </c>
      <c r="C197" s="38">
        <f>IFERROR(__xludf.DUMMYFUNCTION("""COMPUTED_VALUE"""),0.0)</f>
        <v>0</v>
      </c>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7">
        <f>IFERROR(__xludf.DUMMYFUNCTION("""COMPUTED_VALUE"""),44951.0)</f>
        <v>44951</v>
      </c>
      <c r="B198" s="38" t="str">
        <f>IFERROR(__xludf.DUMMYFUNCTION("""COMPUTED_VALUE"""),"PREVIOUS OAK GROVE")</f>
        <v>PREVIOUS OAK GROVE</v>
      </c>
      <c r="C198" s="38">
        <f>IFERROR(__xludf.DUMMYFUNCTION("""COMPUTED_VALUE"""),0.0)</f>
        <v>0</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7">
        <f>IFERROR(__xludf.DUMMYFUNCTION("""COMPUTED_VALUE"""),44951.0)</f>
        <v>44951</v>
      </c>
      <c r="B199" s="38" t="str">
        <f>IFERROR(__xludf.DUMMYFUNCTION("""COMPUTED_VALUE"""),"DUNWOODY/PTC ")</f>
        <v>DUNWOODY/PTC </v>
      </c>
      <c r="C199" s="38">
        <f>IFERROR(__xludf.DUMMYFUNCTION("""COMPUTED_VALUE"""),2023.0)</f>
        <v>2023</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7">
        <f>IFERROR(__xludf.DUMMYFUNCTION("""COMPUTED_VALUE"""),44951.0)</f>
        <v>44951</v>
      </c>
      <c r="B200" s="38" t="str">
        <f>IFERROR(__xludf.DUMMYFUNCTION("""COMPUTED_VALUE"""),"E COBB/ROSWELL")</f>
        <v>E COBB/ROSWELL</v>
      </c>
      <c r="C200" s="38">
        <f>IFERROR(__xludf.DUMMYFUNCTION("""COMPUTED_VALUE"""),1465.0)</f>
        <v>1465</v>
      </c>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7">
        <f>IFERROR(__xludf.DUMMYFUNCTION("""COMPUTED_VALUE"""),44951.0)</f>
        <v>44951</v>
      </c>
      <c r="B201" s="38" t="str">
        <f>IFERROR(__xludf.DUMMYFUNCTION("""COMPUTED_VALUE"""),"DECATUR")</f>
        <v>DECATUR</v>
      </c>
      <c r="C201" s="38">
        <f>IFERROR(__xludf.DUMMYFUNCTION("""COMPUTED_VALUE"""),345.0)</f>
        <v>345</v>
      </c>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7">
        <f>IFERROR(__xludf.DUMMYFUNCTION("""COMPUTED_VALUE"""),44951.0)</f>
        <v>44951</v>
      </c>
      <c r="B202" s="38" t="str">
        <f>IFERROR(__xludf.DUMMYFUNCTION("""COMPUTED_VALUE"""),"P'TREE CORNERS ")</f>
        <v>P'TREE CORNERS </v>
      </c>
      <c r="C202" s="38">
        <f>IFERROR(__xludf.DUMMYFUNCTION("""COMPUTED_VALUE"""),514.0)</f>
        <v>514</v>
      </c>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7">
        <f>IFERROR(__xludf.DUMMYFUNCTION("""COMPUTED_VALUE"""),44951.0)</f>
        <v>44951</v>
      </c>
      <c r="B203" s="38" t="str">
        <f>IFERROR(__xludf.DUMMYFUNCTION("""COMPUTED_VALUE"""),"UGA/Athens")</f>
        <v>UGA/Athens</v>
      </c>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7">
        <f>IFERROR(__xludf.DUMMYFUNCTION("""COMPUTED_VALUE"""),44951.0)</f>
        <v>44951</v>
      </c>
      <c r="B204" s="38" t="str">
        <f>IFERROR(__xludf.DUMMYFUNCTION("""COMPUTED_VALUE"""),"SANDY SPRINGS ")</f>
        <v>SANDY SPRINGS </v>
      </c>
      <c r="C204" s="38">
        <f>IFERROR(__xludf.DUMMYFUNCTION("""COMPUTED_VALUE"""),710.0)</f>
        <v>710</v>
      </c>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7">
        <f>IFERROR(__xludf.DUMMYFUNCTION("""COMPUTED_VALUE"""),44951.0)</f>
        <v>44951</v>
      </c>
      <c r="B205" s="38" t="str">
        <f>IFERROR(__xludf.DUMMYFUNCTION("""COMPUTED_VALUE"""),"INTOWN/DRUID HILLS ")</f>
        <v>INTOWN/DRUID HILLS </v>
      </c>
      <c r="C205" s="38">
        <f>IFERROR(__xludf.DUMMYFUNCTION("""COMPUTED_VALUE"""),605.0)</f>
        <v>605</v>
      </c>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7">
        <f>IFERROR(__xludf.DUMMYFUNCTION("""COMPUTED_VALUE"""),44951.0)</f>
        <v>44951</v>
      </c>
      <c r="B206" s="38" t="str">
        <f>IFERROR(__xludf.DUMMYFUNCTION("""COMPUTED_VALUE"""),"SNELLVILLE")</f>
        <v>SNELLVILLE</v>
      </c>
      <c r="C206" s="38">
        <f>IFERROR(__xludf.DUMMYFUNCTION("""COMPUTED_VALUE"""),166.0)</f>
        <v>166</v>
      </c>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7">
        <f>IFERROR(__xludf.DUMMYFUNCTION("""COMPUTED_VALUE"""),44951.0)</f>
        <v>44951</v>
      </c>
      <c r="B207" s="38" t="str">
        <f>IFERROR(__xludf.DUMMYFUNCTION("""COMPUTED_VALUE"""),"GROUPS")</f>
        <v>GROUPS</v>
      </c>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7">
        <f>IFERROR(__xludf.DUMMYFUNCTION("""COMPUTED_VALUE"""),44951.0)</f>
        <v>44951</v>
      </c>
      <c r="B208" s="38" t="str">
        <f>IFERROR(__xludf.DUMMYFUNCTION("""COMPUTED_VALUE"""),"Previous Woodstock")</f>
        <v>Previous Woodstock</v>
      </c>
      <c r="C208" s="38">
        <f>IFERROR(__xludf.DUMMYFUNCTION("""COMPUTED_VALUE"""),0.0)</f>
        <v>0</v>
      </c>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7">
        <f>IFERROR(__xludf.DUMMYFUNCTION("""COMPUTED_VALUE"""),44951.0)</f>
        <v>44951</v>
      </c>
      <c r="B209" s="38" t="str">
        <f>IFERROR(__xludf.DUMMYFUNCTION("""COMPUTED_VALUE"""),"Previous Lenox/Brookhaven")</f>
        <v>Previous Lenox/Brookhaven</v>
      </c>
      <c r="C209" s="38">
        <f>IFERROR(__xludf.DUMMYFUNCTION("""COMPUTED_VALUE"""),0.0)</f>
        <v>0</v>
      </c>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7">
        <f>IFERROR(__xludf.DUMMYFUNCTION("""COMPUTED_VALUE"""),44951.0)</f>
        <v>44951</v>
      </c>
      <c r="B210" s="38" t="str">
        <f>IFERROR(__xludf.DUMMYFUNCTION("""COMPUTED_VALUE"""),"Previous New Chastain")</f>
        <v>Previous New Chastain</v>
      </c>
      <c r="C210" s="38">
        <f>IFERROR(__xludf.DUMMYFUNCTION("""COMPUTED_VALUE"""),0.0)</f>
        <v>0</v>
      </c>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7">
        <f>IFERROR(__xludf.DUMMYFUNCTION("""COMPUTED_VALUE"""),44951.0)</f>
        <v>44951</v>
      </c>
      <c r="B211" s="38" t="str">
        <f>IFERROR(__xludf.DUMMYFUNCTION("""COMPUTED_VALUE"""),"Previous Glenwood Park")</f>
        <v>Previous Glenwood Park</v>
      </c>
      <c r="C211" s="38">
        <f>IFERROR(__xludf.DUMMYFUNCTION("""COMPUTED_VALUE"""),0.0)</f>
        <v>0</v>
      </c>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7">
        <f>IFERROR(__xludf.DUMMYFUNCTION("""COMPUTED_VALUE"""),44951.0)</f>
        <v>44951</v>
      </c>
      <c r="B212" s="38" t="str">
        <f>IFERROR(__xludf.DUMMYFUNCTION("""COMPUTED_VALUE"""),"FLOWERY BRANCH")</f>
        <v>FLOWERY BRANCH</v>
      </c>
      <c r="C212" s="38">
        <f>IFERROR(__xludf.DUMMYFUNCTION("""COMPUTED_VALUE"""),300.0)</f>
        <v>300</v>
      </c>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7">
        <f>IFERROR(__xludf.DUMMYFUNCTION("""COMPUTED_VALUE"""),44951.0)</f>
        <v>44951</v>
      </c>
      <c r="B213" s="38" t="str">
        <f>IFERROR(__xludf.DUMMYFUNCTION("""COMPUTED_VALUE"""),"GROUPS ")</f>
        <v>GROUPS </v>
      </c>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7">
        <f>IFERROR(__xludf.DUMMYFUNCTION("""COMPUTED_VALUE"""),44951.0)</f>
        <v>44951</v>
      </c>
      <c r="B214" s="38" t="str">
        <f>IFERROR(__xludf.DUMMYFUNCTION("""COMPUTED_VALUE"""),"TOTAL")</f>
        <v>TOTAL</v>
      </c>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7">
        <f>IFERROR(__xludf.DUMMYFUNCTION("""COMPUTED_VALUE"""),44951.0)</f>
        <v>44951</v>
      </c>
      <c r="B215" s="38" t="str">
        <f>IFERROR(__xludf.DUMMYFUNCTION("""COMPUTED_VALUE"""),"Collective Learning")</f>
        <v>Collective Learning</v>
      </c>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7">
        <f>IFERROR(__xludf.DUMMYFUNCTION("""COMPUTED_VALUE"""),44951.0)</f>
        <v>44951</v>
      </c>
      <c r="B216" s="38" t="str">
        <f>IFERROR(__xludf.DUMMYFUNCTION("""COMPUTED_VALUE"""),"NOTES")</f>
        <v>NOTES</v>
      </c>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7">
        <f>IFERROR(__xludf.DUMMYFUNCTION("""COMPUTED_VALUE"""),44958.0)</f>
        <v>44958</v>
      </c>
      <c r="B217" s="38" t="str">
        <f>IFERROR(__xludf.DUMMYFUNCTION("""COMPUTED_VALUE"""),"# of Sandwiches")</f>
        <v># of Sandwiches</v>
      </c>
      <c r="C217" s="38">
        <f>IFERROR(__xludf.DUMMYFUNCTION("""COMPUTED_VALUE"""),13902.0)</f>
        <v>13902</v>
      </c>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7">
        <f>IFERROR(__xludf.DUMMYFUNCTION("""COMPUTED_VALUE"""),44958.0)</f>
        <v>44958</v>
      </c>
      <c r="B218" s="38" t="str">
        <f>IFERROR(__xludf.DUMMYFUNCTION("""COMPUTED_VALUE"""),"ALPHARETTA")</f>
        <v>ALPHARETTA</v>
      </c>
      <c r="C218" s="38">
        <f>IFERROR(__xludf.DUMMYFUNCTION("""COMPUTED_VALUE"""),1471.0)</f>
        <v>1471</v>
      </c>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7">
        <f>IFERROR(__xludf.DUMMYFUNCTION("""COMPUTED_VALUE"""),44958.0)</f>
        <v>44958</v>
      </c>
      <c r="B219" s="38" t="str">
        <f>IFERROR(__xludf.DUMMYFUNCTION("""COMPUTED_VALUE"""),"PREVIOUS BUCKHEAD")</f>
        <v>PREVIOUS BUCKHEAD</v>
      </c>
      <c r="C219" s="38">
        <f>IFERROR(__xludf.DUMMYFUNCTION("""COMPUTED_VALUE"""),0.0)</f>
        <v>0</v>
      </c>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7">
        <f>IFERROR(__xludf.DUMMYFUNCTION("""COMPUTED_VALUE"""),44958.0)</f>
        <v>44958</v>
      </c>
      <c r="B220" s="38" t="str">
        <f>IFERROR(__xludf.DUMMYFUNCTION("""COMPUTED_VALUE"""),"PREVIOUS OAK GROVE")</f>
        <v>PREVIOUS OAK GROVE</v>
      </c>
      <c r="C220" s="38">
        <f>IFERROR(__xludf.DUMMYFUNCTION("""COMPUTED_VALUE"""),0.0)</f>
        <v>0</v>
      </c>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7">
        <f>IFERROR(__xludf.DUMMYFUNCTION("""COMPUTED_VALUE"""),44958.0)</f>
        <v>44958</v>
      </c>
      <c r="B221" s="38" t="str">
        <f>IFERROR(__xludf.DUMMYFUNCTION("""COMPUTED_VALUE"""),"DUNWOODY/PTC ")</f>
        <v>DUNWOODY/PTC </v>
      </c>
      <c r="C221" s="38">
        <f>IFERROR(__xludf.DUMMYFUNCTION("""COMPUTED_VALUE"""),1461.0)</f>
        <v>1461</v>
      </c>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7">
        <f>IFERROR(__xludf.DUMMYFUNCTION("""COMPUTED_VALUE"""),44958.0)</f>
        <v>44958</v>
      </c>
      <c r="B222" s="38" t="str">
        <f>IFERROR(__xludf.DUMMYFUNCTION("""COMPUTED_VALUE"""),"E COBB/ROSWELL")</f>
        <v>E COBB/ROSWELL</v>
      </c>
      <c r="C222" s="38">
        <f>IFERROR(__xludf.DUMMYFUNCTION("""COMPUTED_VALUE"""),2096.0)</f>
        <v>2096</v>
      </c>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7">
        <f>IFERROR(__xludf.DUMMYFUNCTION("""COMPUTED_VALUE"""),44958.0)</f>
        <v>44958</v>
      </c>
      <c r="B223" s="38" t="str">
        <f>IFERROR(__xludf.DUMMYFUNCTION("""COMPUTED_VALUE"""),"DECATUR")</f>
        <v>DECATUR</v>
      </c>
      <c r="C223" s="38">
        <f>IFERROR(__xludf.DUMMYFUNCTION("""COMPUTED_VALUE"""),230.0)</f>
        <v>230</v>
      </c>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7">
        <f>IFERROR(__xludf.DUMMYFUNCTION("""COMPUTED_VALUE"""),44958.0)</f>
        <v>44958</v>
      </c>
      <c r="B224" s="38" t="str">
        <f>IFERROR(__xludf.DUMMYFUNCTION("""COMPUTED_VALUE"""),"P'TREE CORNERS ")</f>
        <v>P'TREE CORNERS </v>
      </c>
      <c r="C224" s="38">
        <f>IFERROR(__xludf.DUMMYFUNCTION("""COMPUTED_VALUE"""),496.0)</f>
        <v>496</v>
      </c>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7">
        <f>IFERROR(__xludf.DUMMYFUNCTION("""COMPUTED_VALUE"""),44958.0)</f>
        <v>44958</v>
      </c>
      <c r="B225" s="38" t="str">
        <f>IFERROR(__xludf.DUMMYFUNCTION("""COMPUTED_VALUE"""),"UGA/Athens")</f>
        <v>UGA/Athens</v>
      </c>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7">
        <f>IFERROR(__xludf.DUMMYFUNCTION("""COMPUTED_VALUE"""),44958.0)</f>
        <v>44958</v>
      </c>
      <c r="B226" s="38" t="str">
        <f>IFERROR(__xludf.DUMMYFUNCTION("""COMPUTED_VALUE"""),"SANDY SPRINGS ")</f>
        <v>SANDY SPRINGS </v>
      </c>
      <c r="C226" s="38">
        <f>IFERROR(__xludf.DUMMYFUNCTION("""COMPUTED_VALUE"""),988.0)</f>
        <v>988</v>
      </c>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7">
        <f>IFERROR(__xludf.DUMMYFUNCTION("""COMPUTED_VALUE"""),44958.0)</f>
        <v>44958</v>
      </c>
      <c r="B227" s="38" t="str">
        <f>IFERROR(__xludf.DUMMYFUNCTION("""COMPUTED_VALUE"""),"INTOWN/DRUID HILLS ")</f>
        <v>INTOWN/DRUID HILLS </v>
      </c>
      <c r="C227" s="38">
        <f>IFERROR(__xludf.DUMMYFUNCTION("""COMPUTED_VALUE"""),762.0)</f>
        <v>762</v>
      </c>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7">
        <f>IFERROR(__xludf.DUMMYFUNCTION("""COMPUTED_VALUE"""),44958.0)</f>
        <v>44958</v>
      </c>
      <c r="B228" s="38" t="str">
        <f>IFERROR(__xludf.DUMMYFUNCTION("""COMPUTED_VALUE"""),"SNELLVILLE")</f>
        <v>SNELLVILLE</v>
      </c>
      <c r="C228" s="38">
        <f>IFERROR(__xludf.DUMMYFUNCTION("""COMPUTED_VALUE"""),183.0)</f>
        <v>183</v>
      </c>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7">
        <f>IFERROR(__xludf.DUMMYFUNCTION("""COMPUTED_VALUE"""),44958.0)</f>
        <v>44958</v>
      </c>
      <c r="B229" s="38" t="str">
        <f>IFERROR(__xludf.DUMMYFUNCTION("""COMPUTED_VALUE"""),"GROUPS")</f>
        <v>GROUPS</v>
      </c>
      <c r="C229" s="38">
        <f>IFERROR(__xludf.DUMMYFUNCTION("""COMPUTED_VALUE"""),2998.0)</f>
        <v>2998</v>
      </c>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7">
        <f>IFERROR(__xludf.DUMMYFUNCTION("""COMPUTED_VALUE"""),44958.0)</f>
        <v>44958</v>
      </c>
      <c r="B230" s="38" t="str">
        <f>IFERROR(__xludf.DUMMYFUNCTION("""COMPUTED_VALUE"""),"Previous Woodstock")</f>
        <v>Previous Woodstock</v>
      </c>
      <c r="C230" s="38">
        <f>IFERROR(__xludf.DUMMYFUNCTION("""COMPUTED_VALUE"""),0.0)</f>
        <v>0</v>
      </c>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7">
        <f>IFERROR(__xludf.DUMMYFUNCTION("""COMPUTED_VALUE"""),44958.0)</f>
        <v>44958</v>
      </c>
      <c r="B231" s="38" t="str">
        <f>IFERROR(__xludf.DUMMYFUNCTION("""COMPUTED_VALUE"""),"Previous Lenox/Brookhaven")</f>
        <v>Previous Lenox/Brookhaven</v>
      </c>
      <c r="C231" s="38">
        <f>IFERROR(__xludf.DUMMYFUNCTION("""COMPUTED_VALUE"""),0.0)</f>
        <v>0</v>
      </c>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7">
        <f>IFERROR(__xludf.DUMMYFUNCTION("""COMPUTED_VALUE"""),44958.0)</f>
        <v>44958</v>
      </c>
      <c r="B232" s="38" t="str">
        <f>IFERROR(__xludf.DUMMYFUNCTION("""COMPUTED_VALUE"""),"Previous New Chastain")</f>
        <v>Previous New Chastain</v>
      </c>
      <c r="C232" s="38">
        <f>IFERROR(__xludf.DUMMYFUNCTION("""COMPUTED_VALUE"""),0.0)</f>
        <v>0</v>
      </c>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7">
        <f>IFERROR(__xludf.DUMMYFUNCTION("""COMPUTED_VALUE"""),44958.0)</f>
        <v>44958</v>
      </c>
      <c r="B233" s="38" t="str">
        <f>IFERROR(__xludf.DUMMYFUNCTION("""COMPUTED_VALUE"""),"Previous Glenwood Park")</f>
        <v>Previous Glenwood Park</v>
      </c>
      <c r="C233" s="38">
        <f>IFERROR(__xludf.DUMMYFUNCTION("""COMPUTED_VALUE"""),0.0)</f>
        <v>0</v>
      </c>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7">
        <f>IFERROR(__xludf.DUMMYFUNCTION("""COMPUTED_VALUE"""),44958.0)</f>
        <v>44958</v>
      </c>
      <c r="B234" s="38" t="str">
        <f>IFERROR(__xludf.DUMMYFUNCTION("""COMPUTED_VALUE"""),"FLOWERY BRANCH")</f>
        <v>FLOWERY BRANCH</v>
      </c>
      <c r="C234" s="38">
        <f>IFERROR(__xludf.DUMMYFUNCTION("""COMPUTED_VALUE"""),219.0)</f>
        <v>219</v>
      </c>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7">
        <f>IFERROR(__xludf.DUMMYFUNCTION("""COMPUTED_VALUE"""),44958.0)</f>
        <v>44958</v>
      </c>
      <c r="B235" s="38" t="str">
        <f>IFERROR(__xludf.DUMMYFUNCTION("""COMPUTED_VALUE"""),"GROUPS ")</f>
        <v>GROUPS </v>
      </c>
      <c r="C235" s="38">
        <f>IFERROR(__xludf.DUMMYFUNCTION("""COMPUTED_VALUE"""),2998.0)</f>
        <v>2998</v>
      </c>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7">
        <f>IFERROR(__xludf.DUMMYFUNCTION("""COMPUTED_VALUE"""),44958.0)</f>
        <v>44958</v>
      </c>
      <c r="B236" s="38" t="str">
        <f>IFERROR(__xludf.DUMMYFUNCTION("""COMPUTED_VALUE"""),"TOTAL")</f>
        <v>TOTAL</v>
      </c>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7">
        <f>IFERROR(__xludf.DUMMYFUNCTION("""COMPUTED_VALUE"""),44958.0)</f>
        <v>44958</v>
      </c>
      <c r="B237" s="38" t="str">
        <f>IFERROR(__xludf.DUMMYFUNCTION("""COMPUTED_VALUE"""),"Collective Learning")</f>
        <v>Collective Learning</v>
      </c>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7">
        <f>IFERROR(__xludf.DUMMYFUNCTION("""COMPUTED_VALUE"""),44958.0)</f>
        <v>44958</v>
      </c>
      <c r="B238" s="38" t="str">
        <f>IFERROR(__xludf.DUMMYFUNCTION("""COMPUTED_VALUE"""),"NOTES")</f>
        <v>NOTES</v>
      </c>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7">
        <f>IFERROR(__xludf.DUMMYFUNCTION("""COMPUTED_VALUE"""),44965.0)</f>
        <v>44965</v>
      </c>
      <c r="B239" s="38" t="str">
        <f>IFERROR(__xludf.DUMMYFUNCTION("""COMPUTED_VALUE"""),"# of Sandwiches")</f>
        <v># of Sandwiches</v>
      </c>
      <c r="C239" s="38">
        <f>IFERROR(__xludf.DUMMYFUNCTION("""COMPUTED_VALUE"""),6283.0)</f>
        <v>6283</v>
      </c>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7">
        <f>IFERROR(__xludf.DUMMYFUNCTION("""COMPUTED_VALUE"""),44965.0)</f>
        <v>44965</v>
      </c>
      <c r="B240" s="38" t="str">
        <f>IFERROR(__xludf.DUMMYFUNCTION("""COMPUTED_VALUE"""),"ALPHARETTA")</f>
        <v>ALPHARETTA</v>
      </c>
      <c r="C240" s="38">
        <f>IFERROR(__xludf.DUMMYFUNCTION("""COMPUTED_VALUE"""),1889.0)</f>
        <v>1889</v>
      </c>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7">
        <f>IFERROR(__xludf.DUMMYFUNCTION("""COMPUTED_VALUE"""),44965.0)</f>
        <v>44965</v>
      </c>
      <c r="B241" s="38" t="str">
        <f>IFERROR(__xludf.DUMMYFUNCTION("""COMPUTED_VALUE"""),"PREVIOUS BUCKHEAD")</f>
        <v>PREVIOUS BUCKHEAD</v>
      </c>
      <c r="C241" s="38">
        <f>IFERROR(__xludf.DUMMYFUNCTION("""COMPUTED_VALUE"""),0.0)</f>
        <v>0</v>
      </c>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7">
        <f>IFERROR(__xludf.DUMMYFUNCTION("""COMPUTED_VALUE"""),44965.0)</f>
        <v>44965</v>
      </c>
      <c r="B242" s="38" t="str">
        <f>IFERROR(__xludf.DUMMYFUNCTION("""COMPUTED_VALUE"""),"PREVIOUS OAK GROVE")</f>
        <v>PREVIOUS OAK GROVE</v>
      </c>
      <c r="C242" s="38">
        <f>IFERROR(__xludf.DUMMYFUNCTION("""COMPUTED_VALUE"""),0.0)</f>
        <v>0</v>
      </c>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7">
        <f>IFERROR(__xludf.DUMMYFUNCTION("""COMPUTED_VALUE"""),44965.0)</f>
        <v>44965</v>
      </c>
      <c r="B243" s="38" t="str">
        <f>IFERROR(__xludf.DUMMYFUNCTION("""COMPUTED_VALUE"""),"DUNWOODY/PTC ")</f>
        <v>DUNWOODY/PTC </v>
      </c>
      <c r="C243" s="38">
        <f>IFERROR(__xludf.DUMMYFUNCTION("""COMPUTED_VALUE"""),1488.0)</f>
        <v>1488</v>
      </c>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7">
        <f>IFERROR(__xludf.DUMMYFUNCTION("""COMPUTED_VALUE"""),44965.0)</f>
        <v>44965</v>
      </c>
      <c r="B244" s="38" t="str">
        <f>IFERROR(__xludf.DUMMYFUNCTION("""COMPUTED_VALUE"""),"E COBB/ROSWELL")</f>
        <v>E COBB/ROSWELL</v>
      </c>
      <c r="C244" s="38">
        <f>IFERROR(__xludf.DUMMYFUNCTION("""COMPUTED_VALUE"""),872.0)</f>
        <v>872</v>
      </c>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7">
        <f>IFERROR(__xludf.DUMMYFUNCTION("""COMPUTED_VALUE"""),44965.0)</f>
        <v>44965</v>
      </c>
      <c r="B245" s="38" t="str">
        <f>IFERROR(__xludf.DUMMYFUNCTION("""COMPUTED_VALUE"""),"DECATUR")</f>
        <v>DECATUR</v>
      </c>
      <c r="C245" s="38">
        <f>IFERROR(__xludf.DUMMYFUNCTION("""COMPUTED_VALUE"""),140.0)</f>
        <v>140</v>
      </c>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7">
        <f>IFERROR(__xludf.DUMMYFUNCTION("""COMPUTED_VALUE"""),44965.0)</f>
        <v>44965</v>
      </c>
      <c r="B246" s="38" t="str">
        <f>IFERROR(__xludf.DUMMYFUNCTION("""COMPUTED_VALUE"""),"P'TREE CORNERS ")</f>
        <v>P'TREE CORNERS </v>
      </c>
      <c r="C246" s="38">
        <f>IFERROR(__xludf.DUMMYFUNCTION("""COMPUTED_VALUE"""),0.0)</f>
        <v>0</v>
      </c>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7">
        <f>IFERROR(__xludf.DUMMYFUNCTION("""COMPUTED_VALUE"""),44965.0)</f>
        <v>44965</v>
      </c>
      <c r="B247" s="38" t="str">
        <f>IFERROR(__xludf.DUMMYFUNCTION("""COMPUTED_VALUE"""),"UGA/Athens")</f>
        <v>UGA/Athens</v>
      </c>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7">
        <f>IFERROR(__xludf.DUMMYFUNCTION("""COMPUTED_VALUE"""),44965.0)</f>
        <v>44965</v>
      </c>
      <c r="B248" s="38" t="str">
        <f>IFERROR(__xludf.DUMMYFUNCTION("""COMPUTED_VALUE"""),"SANDY SPRINGS ")</f>
        <v>SANDY SPRINGS </v>
      </c>
      <c r="C248" s="38">
        <f>IFERROR(__xludf.DUMMYFUNCTION("""COMPUTED_VALUE"""),531.0)</f>
        <v>531</v>
      </c>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7">
        <f>IFERROR(__xludf.DUMMYFUNCTION("""COMPUTED_VALUE"""),44965.0)</f>
        <v>44965</v>
      </c>
      <c r="B249" s="38" t="str">
        <f>IFERROR(__xludf.DUMMYFUNCTION("""COMPUTED_VALUE"""),"INTOWN/DRUID HILLS ")</f>
        <v>INTOWN/DRUID HILLS </v>
      </c>
      <c r="C249" s="38">
        <f>IFERROR(__xludf.DUMMYFUNCTION("""COMPUTED_VALUE"""),1176.0)</f>
        <v>1176</v>
      </c>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7">
        <f>IFERROR(__xludf.DUMMYFUNCTION("""COMPUTED_VALUE"""),44965.0)</f>
        <v>44965</v>
      </c>
      <c r="B250" s="38" t="str">
        <f>IFERROR(__xludf.DUMMYFUNCTION("""COMPUTED_VALUE"""),"SNELLVILLE")</f>
        <v>SNELLVILLE</v>
      </c>
      <c r="C250" s="38">
        <f>IFERROR(__xludf.DUMMYFUNCTION("""COMPUTED_VALUE"""),187.0)</f>
        <v>187</v>
      </c>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7">
        <f>IFERROR(__xludf.DUMMYFUNCTION("""COMPUTED_VALUE"""),44965.0)</f>
        <v>44965</v>
      </c>
      <c r="B251" s="38" t="str">
        <f>IFERROR(__xludf.DUMMYFUNCTION("""COMPUTED_VALUE"""),"GROUPS")</f>
        <v>GROUPS</v>
      </c>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7">
        <f>IFERROR(__xludf.DUMMYFUNCTION("""COMPUTED_VALUE"""),44965.0)</f>
        <v>44965</v>
      </c>
      <c r="B252" s="38" t="str">
        <f>IFERROR(__xludf.DUMMYFUNCTION("""COMPUTED_VALUE"""),"Previous Woodstock")</f>
        <v>Previous Woodstock</v>
      </c>
      <c r="C252" s="38">
        <f>IFERROR(__xludf.DUMMYFUNCTION("""COMPUTED_VALUE"""),0.0)</f>
        <v>0</v>
      </c>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7">
        <f>IFERROR(__xludf.DUMMYFUNCTION("""COMPUTED_VALUE"""),44965.0)</f>
        <v>44965</v>
      </c>
      <c r="B253" s="38" t="str">
        <f>IFERROR(__xludf.DUMMYFUNCTION("""COMPUTED_VALUE"""),"Previous Lenox/Brookhaven")</f>
        <v>Previous Lenox/Brookhaven</v>
      </c>
      <c r="C253" s="38">
        <f>IFERROR(__xludf.DUMMYFUNCTION("""COMPUTED_VALUE"""),0.0)</f>
        <v>0</v>
      </c>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7">
        <f>IFERROR(__xludf.DUMMYFUNCTION("""COMPUTED_VALUE"""),44965.0)</f>
        <v>44965</v>
      </c>
      <c r="B254" s="38" t="str">
        <f>IFERROR(__xludf.DUMMYFUNCTION("""COMPUTED_VALUE"""),"Previous New Chastain")</f>
        <v>Previous New Chastain</v>
      </c>
      <c r="C254" s="38">
        <f>IFERROR(__xludf.DUMMYFUNCTION("""COMPUTED_VALUE"""),0.0)</f>
        <v>0</v>
      </c>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7">
        <f>IFERROR(__xludf.DUMMYFUNCTION("""COMPUTED_VALUE"""),44965.0)</f>
        <v>44965</v>
      </c>
      <c r="B255" s="38" t="str">
        <f>IFERROR(__xludf.DUMMYFUNCTION("""COMPUTED_VALUE"""),"Previous Glenwood Park")</f>
        <v>Previous Glenwood Park</v>
      </c>
      <c r="C255" s="38">
        <f>IFERROR(__xludf.DUMMYFUNCTION("""COMPUTED_VALUE"""),0.0)</f>
        <v>0</v>
      </c>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7">
        <f>IFERROR(__xludf.DUMMYFUNCTION("""COMPUTED_VALUE"""),44965.0)</f>
        <v>44965</v>
      </c>
      <c r="B256" s="38" t="str">
        <f>IFERROR(__xludf.DUMMYFUNCTION("""COMPUTED_VALUE"""),"FLOWERY BRANCH")</f>
        <v>FLOWERY BRANCH</v>
      </c>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7">
        <f>IFERROR(__xludf.DUMMYFUNCTION("""COMPUTED_VALUE"""),44965.0)</f>
        <v>44965</v>
      </c>
      <c r="B257" s="38" t="str">
        <f>IFERROR(__xludf.DUMMYFUNCTION("""COMPUTED_VALUE"""),"GROUPS ")</f>
        <v>GROUPS </v>
      </c>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7">
        <f>IFERROR(__xludf.DUMMYFUNCTION("""COMPUTED_VALUE"""),44965.0)</f>
        <v>44965</v>
      </c>
      <c r="B258" s="38" t="str">
        <f>IFERROR(__xludf.DUMMYFUNCTION("""COMPUTED_VALUE"""),"TOTAL")</f>
        <v>TOTAL</v>
      </c>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7">
        <f>IFERROR(__xludf.DUMMYFUNCTION("""COMPUTED_VALUE"""),44965.0)</f>
        <v>44965</v>
      </c>
      <c r="B259" s="38" t="str">
        <f>IFERROR(__xludf.DUMMYFUNCTION("""COMPUTED_VALUE"""),"Collective Learning")</f>
        <v>Collective Learning</v>
      </c>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7">
        <f>IFERROR(__xludf.DUMMYFUNCTION("""COMPUTED_VALUE"""),44965.0)</f>
        <v>44965</v>
      </c>
      <c r="B260" s="38" t="str">
        <f>IFERROR(__xludf.DUMMYFUNCTION("""COMPUTED_VALUE"""),"NOTES")</f>
        <v>NOTES</v>
      </c>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7">
        <f>IFERROR(__xludf.DUMMYFUNCTION("""COMPUTED_VALUE"""),44972.0)</f>
        <v>44972</v>
      </c>
      <c r="B261" s="38" t="str">
        <f>IFERROR(__xludf.DUMMYFUNCTION("""COMPUTED_VALUE"""),"# of Sandwiches")</f>
        <v># of Sandwiches</v>
      </c>
      <c r="C261" s="38">
        <f>IFERROR(__xludf.DUMMYFUNCTION("""COMPUTED_VALUE"""),17340.0)</f>
        <v>17340</v>
      </c>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7">
        <f>IFERROR(__xludf.DUMMYFUNCTION("""COMPUTED_VALUE"""),44972.0)</f>
        <v>44972</v>
      </c>
      <c r="B262" s="38" t="str">
        <f>IFERROR(__xludf.DUMMYFUNCTION("""COMPUTED_VALUE"""),"ALPHARETTA")</f>
        <v>ALPHARETTA</v>
      </c>
      <c r="C262" s="38">
        <f>IFERROR(__xludf.DUMMYFUNCTION("""COMPUTED_VALUE"""),2637.0)</f>
        <v>2637</v>
      </c>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7">
        <f>IFERROR(__xludf.DUMMYFUNCTION("""COMPUTED_VALUE"""),44972.0)</f>
        <v>44972</v>
      </c>
      <c r="B263" s="38" t="str">
        <f>IFERROR(__xludf.DUMMYFUNCTION("""COMPUTED_VALUE"""),"PREVIOUS BUCKHEAD")</f>
        <v>PREVIOUS BUCKHEAD</v>
      </c>
      <c r="C263" s="38">
        <f>IFERROR(__xludf.DUMMYFUNCTION("""COMPUTED_VALUE"""),0.0)</f>
        <v>0</v>
      </c>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7">
        <f>IFERROR(__xludf.DUMMYFUNCTION("""COMPUTED_VALUE"""),44972.0)</f>
        <v>44972</v>
      </c>
      <c r="B264" s="38" t="str">
        <f>IFERROR(__xludf.DUMMYFUNCTION("""COMPUTED_VALUE"""),"PREVIOUS OAK GROVE")</f>
        <v>PREVIOUS OAK GROVE</v>
      </c>
      <c r="C264" s="38">
        <f>IFERROR(__xludf.DUMMYFUNCTION("""COMPUTED_VALUE"""),0.0)</f>
        <v>0</v>
      </c>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7">
        <f>IFERROR(__xludf.DUMMYFUNCTION("""COMPUTED_VALUE"""),44972.0)</f>
        <v>44972</v>
      </c>
      <c r="B265" s="38" t="str">
        <f>IFERROR(__xludf.DUMMYFUNCTION("""COMPUTED_VALUE"""),"DUNWOODY/PTC ")</f>
        <v>DUNWOODY/PTC </v>
      </c>
      <c r="C265" s="38">
        <f>IFERROR(__xludf.DUMMYFUNCTION("""COMPUTED_VALUE"""),2342.0)</f>
        <v>2342</v>
      </c>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7">
        <f>IFERROR(__xludf.DUMMYFUNCTION("""COMPUTED_VALUE"""),44972.0)</f>
        <v>44972</v>
      </c>
      <c r="B266" s="38" t="str">
        <f>IFERROR(__xludf.DUMMYFUNCTION("""COMPUTED_VALUE"""),"E COBB/ROSWELL")</f>
        <v>E COBB/ROSWELL</v>
      </c>
      <c r="C266" s="38">
        <f>IFERROR(__xludf.DUMMYFUNCTION("""COMPUTED_VALUE"""),1292.0)</f>
        <v>1292</v>
      </c>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7">
        <f>IFERROR(__xludf.DUMMYFUNCTION("""COMPUTED_VALUE"""),44972.0)</f>
        <v>44972</v>
      </c>
      <c r="B267" s="38" t="str">
        <f>IFERROR(__xludf.DUMMYFUNCTION("""COMPUTED_VALUE"""),"DECATUR")</f>
        <v>DECATUR</v>
      </c>
      <c r="C267" s="38">
        <f>IFERROR(__xludf.DUMMYFUNCTION("""COMPUTED_VALUE"""),269.0)</f>
        <v>269</v>
      </c>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7">
        <f>IFERROR(__xludf.DUMMYFUNCTION("""COMPUTED_VALUE"""),44972.0)</f>
        <v>44972</v>
      </c>
      <c r="B268" s="38" t="str">
        <f>IFERROR(__xludf.DUMMYFUNCTION("""COMPUTED_VALUE"""),"P'TREE CORNERS ")</f>
        <v>P'TREE CORNERS </v>
      </c>
      <c r="C268" s="38">
        <f>IFERROR(__xludf.DUMMYFUNCTION("""COMPUTED_VALUE"""),0.0)</f>
        <v>0</v>
      </c>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7">
        <f>IFERROR(__xludf.DUMMYFUNCTION("""COMPUTED_VALUE"""),44972.0)</f>
        <v>44972</v>
      </c>
      <c r="B269" s="38" t="str">
        <f>IFERROR(__xludf.DUMMYFUNCTION("""COMPUTED_VALUE"""),"UGA/Athens")</f>
        <v>UGA/Athens</v>
      </c>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7">
        <f>IFERROR(__xludf.DUMMYFUNCTION("""COMPUTED_VALUE"""),44972.0)</f>
        <v>44972</v>
      </c>
      <c r="B270" s="38" t="str">
        <f>IFERROR(__xludf.DUMMYFUNCTION("""COMPUTED_VALUE"""),"SANDY SPRINGS ")</f>
        <v>SANDY SPRINGS </v>
      </c>
      <c r="C270" s="38">
        <f>IFERROR(__xludf.DUMMYFUNCTION("""COMPUTED_VALUE"""),479.0)</f>
        <v>479</v>
      </c>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7">
        <f>IFERROR(__xludf.DUMMYFUNCTION("""COMPUTED_VALUE"""),44972.0)</f>
        <v>44972</v>
      </c>
      <c r="B271" s="38" t="str">
        <f>IFERROR(__xludf.DUMMYFUNCTION("""COMPUTED_VALUE"""),"INTOWN/DRUID HILLS ")</f>
        <v>INTOWN/DRUID HILLS </v>
      </c>
      <c r="C271" s="38">
        <f>IFERROR(__xludf.DUMMYFUNCTION("""COMPUTED_VALUE"""),855.0)</f>
        <v>855</v>
      </c>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7">
        <f>IFERROR(__xludf.DUMMYFUNCTION("""COMPUTED_VALUE"""),44972.0)</f>
        <v>44972</v>
      </c>
      <c r="B272" s="38" t="str">
        <f>IFERROR(__xludf.DUMMYFUNCTION("""COMPUTED_VALUE"""),"SNELLVILLE")</f>
        <v>SNELLVILLE</v>
      </c>
      <c r="C272" s="38">
        <f>IFERROR(__xludf.DUMMYFUNCTION("""COMPUTED_VALUE"""),191.0)</f>
        <v>191</v>
      </c>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7">
        <f>IFERROR(__xludf.DUMMYFUNCTION("""COMPUTED_VALUE"""),44972.0)</f>
        <v>44972</v>
      </c>
      <c r="B273" s="38" t="str">
        <f>IFERROR(__xludf.DUMMYFUNCTION("""COMPUTED_VALUE"""),"GROUPS")</f>
        <v>GROUPS</v>
      </c>
      <c r="C273" s="38">
        <f>IFERROR(__xludf.DUMMYFUNCTION("""COMPUTED_VALUE"""),4485.0)</f>
        <v>4485</v>
      </c>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7">
        <f>IFERROR(__xludf.DUMMYFUNCTION("""COMPUTED_VALUE"""),44972.0)</f>
        <v>44972</v>
      </c>
      <c r="B274" s="38" t="str">
        <f>IFERROR(__xludf.DUMMYFUNCTION("""COMPUTED_VALUE"""),"Previous Woodstock")</f>
        <v>Previous Woodstock</v>
      </c>
      <c r="C274" s="38">
        <f>IFERROR(__xludf.DUMMYFUNCTION("""COMPUTED_VALUE"""),0.0)</f>
        <v>0</v>
      </c>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7">
        <f>IFERROR(__xludf.DUMMYFUNCTION("""COMPUTED_VALUE"""),44972.0)</f>
        <v>44972</v>
      </c>
      <c r="B275" s="38" t="str">
        <f>IFERROR(__xludf.DUMMYFUNCTION("""COMPUTED_VALUE"""),"Previous Lenox/Brookhaven")</f>
        <v>Previous Lenox/Brookhaven</v>
      </c>
      <c r="C275" s="38">
        <f>IFERROR(__xludf.DUMMYFUNCTION("""COMPUTED_VALUE"""),0.0)</f>
        <v>0</v>
      </c>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7">
        <f>IFERROR(__xludf.DUMMYFUNCTION("""COMPUTED_VALUE"""),44972.0)</f>
        <v>44972</v>
      </c>
      <c r="B276" s="38" t="str">
        <f>IFERROR(__xludf.DUMMYFUNCTION("""COMPUTED_VALUE"""),"Previous New Chastain")</f>
        <v>Previous New Chastain</v>
      </c>
      <c r="C276" s="38">
        <f>IFERROR(__xludf.DUMMYFUNCTION("""COMPUTED_VALUE"""),0.0)</f>
        <v>0</v>
      </c>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7">
        <f>IFERROR(__xludf.DUMMYFUNCTION("""COMPUTED_VALUE"""),44972.0)</f>
        <v>44972</v>
      </c>
      <c r="B277" s="38" t="str">
        <f>IFERROR(__xludf.DUMMYFUNCTION("""COMPUTED_VALUE"""),"Previous Glenwood Park")</f>
        <v>Previous Glenwood Park</v>
      </c>
      <c r="C277" s="38">
        <f>IFERROR(__xludf.DUMMYFUNCTION("""COMPUTED_VALUE"""),0.0)</f>
        <v>0</v>
      </c>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7">
        <f>IFERROR(__xludf.DUMMYFUNCTION("""COMPUTED_VALUE"""),44972.0)</f>
        <v>44972</v>
      </c>
      <c r="B278" s="38" t="str">
        <f>IFERROR(__xludf.DUMMYFUNCTION("""COMPUTED_VALUE"""),"FLOWERY BRANCH")</f>
        <v>FLOWERY BRANCH</v>
      </c>
      <c r="C278" s="38">
        <f>IFERROR(__xludf.DUMMYFUNCTION("""COMPUTED_VALUE"""),305.0)</f>
        <v>305</v>
      </c>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7">
        <f>IFERROR(__xludf.DUMMYFUNCTION("""COMPUTED_VALUE"""),44972.0)</f>
        <v>44972</v>
      </c>
      <c r="B279" s="38" t="str">
        <f>IFERROR(__xludf.DUMMYFUNCTION("""COMPUTED_VALUE"""),"GROUPS ")</f>
        <v>GROUPS </v>
      </c>
      <c r="C279" s="38">
        <f>IFERROR(__xludf.DUMMYFUNCTION("""COMPUTED_VALUE"""),4485.0)</f>
        <v>4485</v>
      </c>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7">
        <f>IFERROR(__xludf.DUMMYFUNCTION("""COMPUTED_VALUE"""),44972.0)</f>
        <v>44972</v>
      </c>
      <c r="B280" s="38" t="str">
        <f>IFERROR(__xludf.DUMMYFUNCTION("""COMPUTED_VALUE"""),"TOTAL")</f>
        <v>TOTAL</v>
      </c>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7">
        <f>IFERROR(__xludf.DUMMYFUNCTION("""COMPUTED_VALUE"""),44972.0)</f>
        <v>44972</v>
      </c>
      <c r="B281" s="38" t="str">
        <f>IFERROR(__xludf.DUMMYFUNCTION("""COMPUTED_VALUE"""),"Collective Learning")</f>
        <v>Collective Learning</v>
      </c>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7">
        <f>IFERROR(__xludf.DUMMYFUNCTION("""COMPUTED_VALUE"""),44972.0)</f>
        <v>44972</v>
      </c>
      <c r="B282" s="38" t="str">
        <f>IFERROR(__xludf.DUMMYFUNCTION("""COMPUTED_VALUE"""),"NOTES")</f>
        <v>NOTES</v>
      </c>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7">
        <f>IFERROR(__xludf.DUMMYFUNCTION("""COMPUTED_VALUE"""),44979.0)</f>
        <v>44979</v>
      </c>
      <c r="B283" s="38" t="str">
        <f>IFERROR(__xludf.DUMMYFUNCTION("""COMPUTED_VALUE"""),"# of Sandwiches")</f>
        <v># of Sandwiches</v>
      </c>
      <c r="C283" s="38">
        <f>IFERROR(__xludf.DUMMYFUNCTION("""COMPUTED_VALUE"""),9385.0)</f>
        <v>9385</v>
      </c>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7">
        <f>IFERROR(__xludf.DUMMYFUNCTION("""COMPUTED_VALUE"""),44979.0)</f>
        <v>44979</v>
      </c>
      <c r="B284" s="38" t="str">
        <f>IFERROR(__xludf.DUMMYFUNCTION("""COMPUTED_VALUE"""),"ALPHARETTA")</f>
        <v>ALPHARETTA</v>
      </c>
      <c r="C284" s="38">
        <f>IFERROR(__xludf.DUMMYFUNCTION("""COMPUTED_VALUE"""),2195.0)</f>
        <v>2195</v>
      </c>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7">
        <f>IFERROR(__xludf.DUMMYFUNCTION("""COMPUTED_VALUE"""),44979.0)</f>
        <v>44979</v>
      </c>
      <c r="B285" s="38" t="str">
        <f>IFERROR(__xludf.DUMMYFUNCTION("""COMPUTED_VALUE"""),"PREVIOUS BUCKHEAD")</f>
        <v>PREVIOUS BUCKHEAD</v>
      </c>
      <c r="C285" s="38">
        <f>IFERROR(__xludf.DUMMYFUNCTION("""COMPUTED_VALUE"""),0.0)</f>
        <v>0</v>
      </c>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7">
        <f>IFERROR(__xludf.DUMMYFUNCTION("""COMPUTED_VALUE"""),44979.0)</f>
        <v>44979</v>
      </c>
      <c r="B286" s="38" t="str">
        <f>IFERROR(__xludf.DUMMYFUNCTION("""COMPUTED_VALUE"""),"PREVIOUS OAK GROVE")</f>
        <v>PREVIOUS OAK GROVE</v>
      </c>
      <c r="C286" s="38">
        <f>IFERROR(__xludf.DUMMYFUNCTION("""COMPUTED_VALUE"""),0.0)</f>
        <v>0</v>
      </c>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7">
        <f>IFERROR(__xludf.DUMMYFUNCTION("""COMPUTED_VALUE"""),44979.0)</f>
        <v>44979</v>
      </c>
      <c r="B287" s="38" t="str">
        <f>IFERROR(__xludf.DUMMYFUNCTION("""COMPUTED_VALUE"""),"DUNWOODY/PTC ")</f>
        <v>DUNWOODY/PTC </v>
      </c>
      <c r="C287" s="38">
        <f>IFERROR(__xludf.DUMMYFUNCTION("""COMPUTED_VALUE"""),2462.0)</f>
        <v>2462</v>
      </c>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7">
        <f>IFERROR(__xludf.DUMMYFUNCTION("""COMPUTED_VALUE"""),44979.0)</f>
        <v>44979</v>
      </c>
      <c r="B288" s="38" t="str">
        <f>IFERROR(__xludf.DUMMYFUNCTION("""COMPUTED_VALUE"""),"E COBB/ROSWELL")</f>
        <v>E COBB/ROSWELL</v>
      </c>
      <c r="C288" s="38">
        <f>IFERROR(__xludf.DUMMYFUNCTION("""COMPUTED_VALUE"""),1513.0)</f>
        <v>1513</v>
      </c>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7">
        <f>IFERROR(__xludf.DUMMYFUNCTION("""COMPUTED_VALUE"""),44979.0)</f>
        <v>44979</v>
      </c>
      <c r="B289" s="38" t="str">
        <f>IFERROR(__xludf.DUMMYFUNCTION("""COMPUTED_VALUE"""),"DECATUR")</f>
        <v>DECATUR</v>
      </c>
      <c r="C289" s="38">
        <f>IFERROR(__xludf.DUMMYFUNCTION("""COMPUTED_VALUE"""),72.0)</f>
        <v>72</v>
      </c>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7">
        <f>IFERROR(__xludf.DUMMYFUNCTION("""COMPUTED_VALUE"""),44979.0)</f>
        <v>44979</v>
      </c>
      <c r="B290" s="38" t="str">
        <f>IFERROR(__xludf.DUMMYFUNCTION("""COMPUTED_VALUE"""),"P'TREE CORNERS ")</f>
        <v>P'TREE CORNERS </v>
      </c>
      <c r="C290" s="38">
        <f>IFERROR(__xludf.DUMMYFUNCTION("""COMPUTED_VALUE"""),0.0)</f>
        <v>0</v>
      </c>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7">
        <f>IFERROR(__xludf.DUMMYFUNCTION("""COMPUTED_VALUE"""),44979.0)</f>
        <v>44979</v>
      </c>
      <c r="B291" s="38" t="str">
        <f>IFERROR(__xludf.DUMMYFUNCTION("""COMPUTED_VALUE"""),"UGA/Athens")</f>
        <v>UGA/Athens</v>
      </c>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7">
        <f>IFERROR(__xludf.DUMMYFUNCTION("""COMPUTED_VALUE"""),44979.0)</f>
        <v>44979</v>
      </c>
      <c r="B292" s="38" t="str">
        <f>IFERROR(__xludf.DUMMYFUNCTION("""COMPUTED_VALUE"""),"SANDY SPRINGS ")</f>
        <v>SANDY SPRINGS </v>
      </c>
      <c r="C292" s="38">
        <f>IFERROR(__xludf.DUMMYFUNCTION("""COMPUTED_VALUE"""),618.0)</f>
        <v>618</v>
      </c>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7">
        <f>IFERROR(__xludf.DUMMYFUNCTION("""COMPUTED_VALUE"""),44979.0)</f>
        <v>44979</v>
      </c>
      <c r="B293" s="38" t="str">
        <f>IFERROR(__xludf.DUMMYFUNCTION("""COMPUTED_VALUE"""),"INTOWN/DRUID HILLS ")</f>
        <v>INTOWN/DRUID HILLS </v>
      </c>
      <c r="C293" s="38">
        <f>IFERROR(__xludf.DUMMYFUNCTION("""COMPUTED_VALUE"""),792.0)</f>
        <v>792</v>
      </c>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7">
        <f>IFERROR(__xludf.DUMMYFUNCTION("""COMPUTED_VALUE"""),44979.0)</f>
        <v>44979</v>
      </c>
      <c r="B294" s="38" t="str">
        <f>IFERROR(__xludf.DUMMYFUNCTION("""COMPUTED_VALUE"""),"SNELLVILLE")</f>
        <v>SNELLVILLE</v>
      </c>
      <c r="C294" s="38">
        <f>IFERROR(__xludf.DUMMYFUNCTION("""COMPUTED_VALUE"""),103.0)</f>
        <v>103</v>
      </c>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7">
        <f>IFERROR(__xludf.DUMMYFUNCTION("""COMPUTED_VALUE"""),44979.0)</f>
        <v>44979</v>
      </c>
      <c r="B295" s="38" t="str">
        <f>IFERROR(__xludf.DUMMYFUNCTION("""COMPUTED_VALUE"""),"GROUPS")</f>
        <v>GROUPS</v>
      </c>
      <c r="C295" s="38">
        <f>IFERROR(__xludf.DUMMYFUNCTION("""COMPUTED_VALUE"""),200.0)</f>
        <v>200</v>
      </c>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7">
        <f>IFERROR(__xludf.DUMMYFUNCTION("""COMPUTED_VALUE"""),44979.0)</f>
        <v>44979</v>
      </c>
      <c r="B296" s="38" t="str">
        <f>IFERROR(__xludf.DUMMYFUNCTION("""COMPUTED_VALUE"""),"Previous Woodstock")</f>
        <v>Previous Woodstock</v>
      </c>
      <c r="C296" s="38">
        <f>IFERROR(__xludf.DUMMYFUNCTION("""COMPUTED_VALUE"""),0.0)</f>
        <v>0</v>
      </c>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7">
        <f>IFERROR(__xludf.DUMMYFUNCTION("""COMPUTED_VALUE"""),44979.0)</f>
        <v>44979</v>
      </c>
      <c r="B297" s="38" t="str">
        <f>IFERROR(__xludf.DUMMYFUNCTION("""COMPUTED_VALUE"""),"Previous Lenox/Brookhaven")</f>
        <v>Previous Lenox/Brookhaven</v>
      </c>
      <c r="C297" s="38">
        <f>IFERROR(__xludf.DUMMYFUNCTION("""COMPUTED_VALUE"""),0.0)</f>
        <v>0</v>
      </c>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7">
        <f>IFERROR(__xludf.DUMMYFUNCTION("""COMPUTED_VALUE"""),44979.0)</f>
        <v>44979</v>
      </c>
      <c r="B298" s="38" t="str">
        <f>IFERROR(__xludf.DUMMYFUNCTION("""COMPUTED_VALUE"""),"Previous New Chastain")</f>
        <v>Previous New Chastain</v>
      </c>
      <c r="C298" s="38">
        <f>IFERROR(__xludf.DUMMYFUNCTION("""COMPUTED_VALUE"""),0.0)</f>
        <v>0</v>
      </c>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7">
        <f>IFERROR(__xludf.DUMMYFUNCTION("""COMPUTED_VALUE"""),44979.0)</f>
        <v>44979</v>
      </c>
      <c r="B299" s="38" t="str">
        <f>IFERROR(__xludf.DUMMYFUNCTION("""COMPUTED_VALUE"""),"Previous Glenwood Park")</f>
        <v>Previous Glenwood Park</v>
      </c>
      <c r="C299" s="38">
        <f>IFERROR(__xludf.DUMMYFUNCTION("""COMPUTED_VALUE"""),0.0)</f>
        <v>0</v>
      </c>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7">
        <f>IFERROR(__xludf.DUMMYFUNCTION("""COMPUTED_VALUE"""),44979.0)</f>
        <v>44979</v>
      </c>
      <c r="B300" s="38" t="str">
        <f>IFERROR(__xludf.DUMMYFUNCTION("""COMPUTED_VALUE"""),"FLOWERY BRANCH")</f>
        <v>FLOWERY BRANCH</v>
      </c>
      <c r="C300" s="38">
        <f>IFERROR(__xludf.DUMMYFUNCTION("""COMPUTED_VALUE"""),1230.0)</f>
        <v>1230</v>
      </c>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7">
        <f>IFERROR(__xludf.DUMMYFUNCTION("""COMPUTED_VALUE"""),44979.0)</f>
        <v>44979</v>
      </c>
      <c r="B301" s="38" t="str">
        <f>IFERROR(__xludf.DUMMYFUNCTION("""COMPUTED_VALUE"""),"GROUPS ")</f>
        <v>GROUPS </v>
      </c>
      <c r="C301" s="38">
        <f>IFERROR(__xludf.DUMMYFUNCTION("""COMPUTED_VALUE"""),200.0)</f>
        <v>200</v>
      </c>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7">
        <f>IFERROR(__xludf.DUMMYFUNCTION("""COMPUTED_VALUE"""),44979.0)</f>
        <v>44979</v>
      </c>
      <c r="B302" s="38" t="str">
        <f>IFERROR(__xludf.DUMMYFUNCTION("""COMPUTED_VALUE"""),"TOTAL")</f>
        <v>TOTAL</v>
      </c>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7">
        <f>IFERROR(__xludf.DUMMYFUNCTION("""COMPUTED_VALUE"""),44979.0)</f>
        <v>44979</v>
      </c>
      <c r="B303" s="38" t="str">
        <f>IFERROR(__xludf.DUMMYFUNCTION("""COMPUTED_VALUE"""),"Collective Learning")</f>
        <v>Collective Learning</v>
      </c>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7">
        <f>IFERROR(__xludf.DUMMYFUNCTION("""COMPUTED_VALUE"""),44979.0)</f>
        <v>44979</v>
      </c>
      <c r="B304" s="38" t="str">
        <f>IFERROR(__xludf.DUMMYFUNCTION("""COMPUTED_VALUE"""),"NOTES")</f>
        <v>NOTES</v>
      </c>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7">
        <f>IFERROR(__xludf.DUMMYFUNCTION("""COMPUTED_VALUE"""),44986.0)</f>
        <v>44986</v>
      </c>
      <c r="B305" s="38" t="str">
        <f>IFERROR(__xludf.DUMMYFUNCTION("""COMPUTED_VALUE"""),"# of Sandwiches")</f>
        <v># of Sandwiches</v>
      </c>
      <c r="C305" s="38">
        <f>IFERROR(__xludf.DUMMYFUNCTION("""COMPUTED_VALUE"""),6780.0)</f>
        <v>6780</v>
      </c>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37">
        <f>IFERROR(__xludf.DUMMYFUNCTION("""COMPUTED_VALUE"""),44986.0)</f>
        <v>44986</v>
      </c>
      <c r="B306" s="38" t="str">
        <f>IFERROR(__xludf.DUMMYFUNCTION("""COMPUTED_VALUE"""),"ALPHARETTA")</f>
        <v>ALPHARETTA</v>
      </c>
      <c r="C306" s="38">
        <f>IFERROR(__xludf.DUMMYFUNCTION("""COMPUTED_VALUE"""),1251.0)</f>
        <v>1251</v>
      </c>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37">
        <f>IFERROR(__xludf.DUMMYFUNCTION("""COMPUTED_VALUE"""),44986.0)</f>
        <v>44986</v>
      </c>
      <c r="B307" s="38" t="str">
        <f>IFERROR(__xludf.DUMMYFUNCTION("""COMPUTED_VALUE"""),"PREVIOUS BUCKHEAD")</f>
        <v>PREVIOUS BUCKHEAD</v>
      </c>
      <c r="C307" s="38">
        <f>IFERROR(__xludf.DUMMYFUNCTION("""COMPUTED_VALUE"""),0.0)</f>
        <v>0</v>
      </c>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37">
        <f>IFERROR(__xludf.DUMMYFUNCTION("""COMPUTED_VALUE"""),44986.0)</f>
        <v>44986</v>
      </c>
      <c r="B308" s="38" t="str">
        <f>IFERROR(__xludf.DUMMYFUNCTION("""COMPUTED_VALUE"""),"PREVIOUS OAK GROVE")</f>
        <v>PREVIOUS OAK GROVE</v>
      </c>
      <c r="C308" s="38">
        <f>IFERROR(__xludf.DUMMYFUNCTION("""COMPUTED_VALUE"""),0.0)</f>
        <v>0</v>
      </c>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37">
        <f>IFERROR(__xludf.DUMMYFUNCTION("""COMPUTED_VALUE"""),44986.0)</f>
        <v>44986</v>
      </c>
      <c r="B309" s="38" t="str">
        <f>IFERROR(__xludf.DUMMYFUNCTION("""COMPUTED_VALUE"""),"DUNWOODY/PTC ")</f>
        <v>DUNWOODY/PTC </v>
      </c>
      <c r="C309" s="38">
        <f>IFERROR(__xludf.DUMMYFUNCTION("""COMPUTED_VALUE"""),2243.0)</f>
        <v>2243</v>
      </c>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37">
        <f>IFERROR(__xludf.DUMMYFUNCTION("""COMPUTED_VALUE"""),44986.0)</f>
        <v>44986</v>
      </c>
      <c r="B310" s="38" t="str">
        <f>IFERROR(__xludf.DUMMYFUNCTION("""COMPUTED_VALUE"""),"E COBB/ROSWELL")</f>
        <v>E COBB/ROSWELL</v>
      </c>
      <c r="C310" s="38">
        <f>IFERROR(__xludf.DUMMYFUNCTION("""COMPUTED_VALUE"""),885.0)</f>
        <v>885</v>
      </c>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37">
        <f>IFERROR(__xludf.DUMMYFUNCTION("""COMPUTED_VALUE"""),44986.0)</f>
        <v>44986</v>
      </c>
      <c r="B311" s="38" t="str">
        <f>IFERROR(__xludf.DUMMYFUNCTION("""COMPUTED_VALUE"""),"DECATUR")</f>
        <v>DECATUR</v>
      </c>
      <c r="C311" s="38">
        <f>IFERROR(__xludf.DUMMYFUNCTION("""COMPUTED_VALUE"""),498.0)</f>
        <v>498</v>
      </c>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37">
        <f>IFERROR(__xludf.DUMMYFUNCTION("""COMPUTED_VALUE"""),44986.0)</f>
        <v>44986</v>
      </c>
      <c r="B312" s="38" t="str">
        <f>IFERROR(__xludf.DUMMYFUNCTION("""COMPUTED_VALUE"""),"P'TREE CORNERS ")</f>
        <v>P'TREE CORNERS </v>
      </c>
      <c r="C312" s="38">
        <f>IFERROR(__xludf.DUMMYFUNCTION("""COMPUTED_VALUE"""),0.0)</f>
        <v>0</v>
      </c>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37">
        <f>IFERROR(__xludf.DUMMYFUNCTION("""COMPUTED_VALUE"""),44986.0)</f>
        <v>44986</v>
      </c>
      <c r="B313" s="38" t="str">
        <f>IFERROR(__xludf.DUMMYFUNCTION("""COMPUTED_VALUE"""),"UGA/Athens")</f>
        <v>UGA/Athens</v>
      </c>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37">
        <f>IFERROR(__xludf.DUMMYFUNCTION("""COMPUTED_VALUE"""),44986.0)</f>
        <v>44986</v>
      </c>
      <c r="B314" s="38" t="str">
        <f>IFERROR(__xludf.DUMMYFUNCTION("""COMPUTED_VALUE"""),"SANDY SPRINGS ")</f>
        <v>SANDY SPRINGS </v>
      </c>
      <c r="C314" s="38">
        <f>IFERROR(__xludf.DUMMYFUNCTION("""COMPUTED_VALUE"""),958.0)</f>
        <v>958</v>
      </c>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37">
        <f>IFERROR(__xludf.DUMMYFUNCTION("""COMPUTED_VALUE"""),44986.0)</f>
        <v>44986</v>
      </c>
      <c r="B315" s="38" t="str">
        <f>IFERROR(__xludf.DUMMYFUNCTION("""COMPUTED_VALUE"""),"INTOWN/DRUID HILLS ")</f>
        <v>INTOWN/DRUID HILLS </v>
      </c>
      <c r="C315" s="38">
        <f>IFERROR(__xludf.DUMMYFUNCTION("""COMPUTED_VALUE"""),350.0)</f>
        <v>350</v>
      </c>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37">
        <f>IFERROR(__xludf.DUMMYFUNCTION("""COMPUTED_VALUE"""),44986.0)</f>
        <v>44986</v>
      </c>
      <c r="B316" s="38" t="str">
        <f>IFERROR(__xludf.DUMMYFUNCTION("""COMPUTED_VALUE"""),"SNELLVILLE")</f>
        <v>SNELLVILLE</v>
      </c>
      <c r="C316" s="38">
        <f>IFERROR(__xludf.DUMMYFUNCTION("""COMPUTED_VALUE"""),159.0)</f>
        <v>159</v>
      </c>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37">
        <f>IFERROR(__xludf.DUMMYFUNCTION("""COMPUTED_VALUE"""),44986.0)</f>
        <v>44986</v>
      </c>
      <c r="B317" s="38" t="str">
        <f>IFERROR(__xludf.DUMMYFUNCTION("""COMPUTED_VALUE"""),"GROUPS")</f>
        <v>GROUPS</v>
      </c>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37">
        <f>IFERROR(__xludf.DUMMYFUNCTION("""COMPUTED_VALUE"""),44986.0)</f>
        <v>44986</v>
      </c>
      <c r="B318" s="38" t="str">
        <f>IFERROR(__xludf.DUMMYFUNCTION("""COMPUTED_VALUE"""),"Previous Woodstock")</f>
        <v>Previous Woodstock</v>
      </c>
      <c r="C318" s="38">
        <f>IFERROR(__xludf.DUMMYFUNCTION("""COMPUTED_VALUE"""),0.0)</f>
        <v>0</v>
      </c>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37">
        <f>IFERROR(__xludf.DUMMYFUNCTION("""COMPUTED_VALUE"""),44986.0)</f>
        <v>44986</v>
      </c>
      <c r="B319" s="38" t="str">
        <f>IFERROR(__xludf.DUMMYFUNCTION("""COMPUTED_VALUE"""),"Previous Lenox/Brookhaven")</f>
        <v>Previous Lenox/Brookhaven</v>
      </c>
      <c r="C319" s="38">
        <f>IFERROR(__xludf.DUMMYFUNCTION("""COMPUTED_VALUE"""),0.0)</f>
        <v>0</v>
      </c>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37">
        <f>IFERROR(__xludf.DUMMYFUNCTION("""COMPUTED_VALUE"""),44986.0)</f>
        <v>44986</v>
      </c>
      <c r="B320" s="38" t="str">
        <f>IFERROR(__xludf.DUMMYFUNCTION("""COMPUTED_VALUE"""),"Previous New Chastain")</f>
        <v>Previous New Chastain</v>
      </c>
      <c r="C320" s="38">
        <f>IFERROR(__xludf.DUMMYFUNCTION("""COMPUTED_VALUE"""),0.0)</f>
        <v>0</v>
      </c>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37">
        <f>IFERROR(__xludf.DUMMYFUNCTION("""COMPUTED_VALUE"""),44986.0)</f>
        <v>44986</v>
      </c>
      <c r="B321" s="38" t="str">
        <f>IFERROR(__xludf.DUMMYFUNCTION("""COMPUTED_VALUE"""),"Previous Glenwood Park")</f>
        <v>Previous Glenwood Park</v>
      </c>
      <c r="C321" s="38">
        <f>IFERROR(__xludf.DUMMYFUNCTION("""COMPUTED_VALUE"""),0.0)</f>
        <v>0</v>
      </c>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37">
        <f>IFERROR(__xludf.DUMMYFUNCTION("""COMPUTED_VALUE"""),44986.0)</f>
        <v>44986</v>
      </c>
      <c r="B322" s="38" t="str">
        <f>IFERROR(__xludf.DUMMYFUNCTION("""COMPUTED_VALUE"""),"FLOWERY BRANCH")</f>
        <v>FLOWERY BRANCH</v>
      </c>
      <c r="C322" s="38">
        <f>IFERROR(__xludf.DUMMYFUNCTION("""COMPUTED_VALUE"""),436.0)</f>
        <v>436</v>
      </c>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37">
        <f>IFERROR(__xludf.DUMMYFUNCTION("""COMPUTED_VALUE"""),44986.0)</f>
        <v>44986</v>
      </c>
      <c r="B323" s="38" t="str">
        <f>IFERROR(__xludf.DUMMYFUNCTION("""COMPUTED_VALUE"""),"GROUPS ")</f>
        <v>GROUPS </v>
      </c>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37">
        <f>IFERROR(__xludf.DUMMYFUNCTION("""COMPUTED_VALUE"""),44986.0)</f>
        <v>44986</v>
      </c>
      <c r="B324" s="38" t="str">
        <f>IFERROR(__xludf.DUMMYFUNCTION("""COMPUTED_VALUE"""),"TOTAL")</f>
        <v>TOTAL</v>
      </c>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37">
        <f>IFERROR(__xludf.DUMMYFUNCTION("""COMPUTED_VALUE"""),44986.0)</f>
        <v>44986</v>
      </c>
      <c r="B325" s="38" t="str">
        <f>IFERROR(__xludf.DUMMYFUNCTION("""COMPUTED_VALUE"""),"Collective Learning")</f>
        <v>Collective Learning</v>
      </c>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37">
        <f>IFERROR(__xludf.DUMMYFUNCTION("""COMPUTED_VALUE"""),44986.0)</f>
        <v>44986</v>
      </c>
      <c r="B326" s="38" t="str">
        <f>IFERROR(__xludf.DUMMYFUNCTION("""COMPUTED_VALUE"""),"NOTES")</f>
        <v>NOTES</v>
      </c>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37">
        <f>IFERROR(__xludf.DUMMYFUNCTION("""COMPUTED_VALUE"""),44993.0)</f>
        <v>44993</v>
      </c>
      <c r="B327" s="38" t="str">
        <f>IFERROR(__xludf.DUMMYFUNCTION("""COMPUTED_VALUE"""),"# of Sandwiches")</f>
        <v># of Sandwiches</v>
      </c>
      <c r="C327" s="38">
        <f>IFERROR(__xludf.DUMMYFUNCTION("""COMPUTED_VALUE"""),6593.0)</f>
        <v>6593</v>
      </c>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37">
        <f>IFERROR(__xludf.DUMMYFUNCTION("""COMPUTED_VALUE"""),44993.0)</f>
        <v>44993</v>
      </c>
      <c r="B328" s="38" t="str">
        <f>IFERROR(__xludf.DUMMYFUNCTION("""COMPUTED_VALUE"""),"ALPHARETTA")</f>
        <v>ALPHARETTA</v>
      </c>
      <c r="C328" s="38">
        <f>IFERROR(__xludf.DUMMYFUNCTION("""COMPUTED_VALUE"""),1334.0)</f>
        <v>1334</v>
      </c>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2">
        <f>IFERROR(__xludf.DUMMYFUNCTION("""COMPUTED_VALUE"""),44993.0)</f>
        <v>44993</v>
      </c>
      <c r="B329" s="2" t="str">
        <f>IFERROR(__xludf.DUMMYFUNCTION("""COMPUTED_VALUE"""),"PREVIOUS BUCKHEAD")</f>
        <v>PREVIOUS BUCKHEAD</v>
      </c>
      <c r="C329" s="2">
        <f>IFERROR(__xludf.DUMMYFUNCTION("""COMPUTED_VALUE"""),0.0)</f>
        <v>0</v>
      </c>
    </row>
    <row r="330" ht="15.75" customHeight="1">
      <c r="A330" s="2">
        <f>IFERROR(__xludf.DUMMYFUNCTION("""COMPUTED_VALUE"""),44993.0)</f>
        <v>44993</v>
      </c>
      <c r="B330" s="2" t="str">
        <f>IFERROR(__xludf.DUMMYFUNCTION("""COMPUTED_VALUE"""),"PREVIOUS OAK GROVE")</f>
        <v>PREVIOUS OAK GROVE</v>
      </c>
      <c r="C330" s="2">
        <f>IFERROR(__xludf.DUMMYFUNCTION("""COMPUTED_VALUE"""),0.0)</f>
        <v>0</v>
      </c>
    </row>
    <row r="331" ht="15.75" customHeight="1">
      <c r="A331" s="2">
        <f>IFERROR(__xludf.DUMMYFUNCTION("""COMPUTED_VALUE"""),44993.0)</f>
        <v>44993</v>
      </c>
      <c r="B331" s="2" t="str">
        <f>IFERROR(__xludf.DUMMYFUNCTION("""COMPUTED_VALUE"""),"DUNWOODY/PTC ")</f>
        <v>DUNWOODY/PTC </v>
      </c>
      <c r="C331" s="2">
        <f>IFERROR(__xludf.DUMMYFUNCTION("""COMPUTED_VALUE"""),2572.0)</f>
        <v>2572</v>
      </c>
    </row>
    <row r="332" ht="15.75" customHeight="1">
      <c r="A332" s="2">
        <f>IFERROR(__xludf.DUMMYFUNCTION("""COMPUTED_VALUE"""),44993.0)</f>
        <v>44993</v>
      </c>
      <c r="B332" s="2" t="str">
        <f>IFERROR(__xludf.DUMMYFUNCTION("""COMPUTED_VALUE"""),"E COBB/ROSWELL")</f>
        <v>E COBB/ROSWELL</v>
      </c>
      <c r="C332" s="2">
        <f>IFERROR(__xludf.DUMMYFUNCTION("""COMPUTED_VALUE"""),1075.0)</f>
        <v>1075</v>
      </c>
    </row>
    <row r="333" ht="15.75" customHeight="1">
      <c r="A333" s="2">
        <f>IFERROR(__xludf.DUMMYFUNCTION("""COMPUTED_VALUE"""),44993.0)</f>
        <v>44993</v>
      </c>
      <c r="B333" s="2" t="str">
        <f>IFERROR(__xludf.DUMMYFUNCTION("""COMPUTED_VALUE"""),"DECATUR")</f>
        <v>DECATUR</v>
      </c>
      <c r="C333" s="2">
        <f>IFERROR(__xludf.DUMMYFUNCTION("""COMPUTED_VALUE"""),220.0)</f>
        <v>220</v>
      </c>
    </row>
    <row r="334" ht="15.75" customHeight="1">
      <c r="A334" s="2">
        <f>IFERROR(__xludf.DUMMYFUNCTION("""COMPUTED_VALUE"""),44993.0)</f>
        <v>44993</v>
      </c>
      <c r="B334" s="2" t="str">
        <f>IFERROR(__xludf.DUMMYFUNCTION("""COMPUTED_VALUE"""),"P'TREE CORNERS ")</f>
        <v>P'TREE CORNERS </v>
      </c>
      <c r="C334" s="2">
        <f>IFERROR(__xludf.DUMMYFUNCTION("""COMPUTED_VALUE"""),0.0)</f>
        <v>0</v>
      </c>
    </row>
    <row r="335" ht="15.75" customHeight="1">
      <c r="A335" s="2">
        <f>IFERROR(__xludf.DUMMYFUNCTION("""COMPUTED_VALUE"""),44993.0)</f>
        <v>44993</v>
      </c>
      <c r="B335" s="2" t="str">
        <f>IFERROR(__xludf.DUMMYFUNCTION("""COMPUTED_VALUE"""),"UGA/Athens")</f>
        <v>UGA/Athens</v>
      </c>
      <c r="C335" s="2"/>
    </row>
    <row r="336" ht="15.75" customHeight="1">
      <c r="A336" s="2">
        <f>IFERROR(__xludf.DUMMYFUNCTION("""COMPUTED_VALUE"""),44993.0)</f>
        <v>44993</v>
      </c>
      <c r="B336" s="2" t="str">
        <f>IFERROR(__xludf.DUMMYFUNCTION("""COMPUTED_VALUE"""),"SANDY SPRINGS ")</f>
        <v>SANDY SPRINGS </v>
      </c>
      <c r="C336" s="2">
        <f>IFERROR(__xludf.DUMMYFUNCTION("""COMPUTED_VALUE"""),313.0)</f>
        <v>313</v>
      </c>
    </row>
    <row r="337" ht="15.75" customHeight="1">
      <c r="A337" s="2">
        <f>IFERROR(__xludf.DUMMYFUNCTION("""COMPUTED_VALUE"""),44993.0)</f>
        <v>44993</v>
      </c>
      <c r="B337" s="2" t="str">
        <f>IFERROR(__xludf.DUMMYFUNCTION("""COMPUTED_VALUE"""),"INTOWN/DRUID HILLS ")</f>
        <v>INTOWN/DRUID HILLS </v>
      </c>
      <c r="C337" s="2">
        <f>IFERROR(__xludf.DUMMYFUNCTION("""COMPUTED_VALUE"""),326.0)</f>
        <v>326</v>
      </c>
    </row>
    <row r="338" ht="15.75" customHeight="1">
      <c r="A338" s="2">
        <f>IFERROR(__xludf.DUMMYFUNCTION("""COMPUTED_VALUE"""),44993.0)</f>
        <v>44993</v>
      </c>
      <c r="B338" s="2" t="str">
        <f>IFERROR(__xludf.DUMMYFUNCTION("""COMPUTED_VALUE"""),"SNELLVILLE")</f>
        <v>SNELLVILLE</v>
      </c>
      <c r="C338" s="2">
        <f>IFERROR(__xludf.DUMMYFUNCTION("""COMPUTED_VALUE"""),217.0)</f>
        <v>217</v>
      </c>
    </row>
    <row r="339" ht="15.75" customHeight="1">
      <c r="A339" s="2">
        <f>IFERROR(__xludf.DUMMYFUNCTION("""COMPUTED_VALUE"""),44993.0)</f>
        <v>44993</v>
      </c>
      <c r="B339" s="2" t="str">
        <f>IFERROR(__xludf.DUMMYFUNCTION("""COMPUTED_VALUE"""),"GROUPS")</f>
        <v>GROUPS</v>
      </c>
      <c r="C339" s="2"/>
    </row>
    <row r="340" ht="15.75" customHeight="1">
      <c r="A340" s="2">
        <f>IFERROR(__xludf.DUMMYFUNCTION("""COMPUTED_VALUE"""),44993.0)</f>
        <v>44993</v>
      </c>
      <c r="B340" s="2" t="str">
        <f>IFERROR(__xludf.DUMMYFUNCTION("""COMPUTED_VALUE"""),"Previous Woodstock")</f>
        <v>Previous Woodstock</v>
      </c>
      <c r="C340" s="2">
        <f>IFERROR(__xludf.DUMMYFUNCTION("""COMPUTED_VALUE"""),0.0)</f>
        <v>0</v>
      </c>
    </row>
    <row r="341" ht="15.75" customHeight="1">
      <c r="A341" s="2">
        <f>IFERROR(__xludf.DUMMYFUNCTION("""COMPUTED_VALUE"""),44993.0)</f>
        <v>44993</v>
      </c>
      <c r="B341" s="2" t="str">
        <f>IFERROR(__xludf.DUMMYFUNCTION("""COMPUTED_VALUE"""),"Previous Lenox/Brookhaven")</f>
        <v>Previous Lenox/Brookhaven</v>
      </c>
      <c r="C341" s="2">
        <f>IFERROR(__xludf.DUMMYFUNCTION("""COMPUTED_VALUE"""),0.0)</f>
        <v>0</v>
      </c>
    </row>
    <row r="342" ht="15.75" customHeight="1">
      <c r="A342" s="2">
        <f>IFERROR(__xludf.DUMMYFUNCTION("""COMPUTED_VALUE"""),44993.0)</f>
        <v>44993</v>
      </c>
      <c r="B342" s="2" t="str">
        <f>IFERROR(__xludf.DUMMYFUNCTION("""COMPUTED_VALUE"""),"Previous New Chastain")</f>
        <v>Previous New Chastain</v>
      </c>
      <c r="C342" s="2">
        <f>IFERROR(__xludf.DUMMYFUNCTION("""COMPUTED_VALUE"""),0.0)</f>
        <v>0</v>
      </c>
    </row>
    <row r="343" ht="15.75" customHeight="1">
      <c r="A343" s="2">
        <f>IFERROR(__xludf.DUMMYFUNCTION("""COMPUTED_VALUE"""),44993.0)</f>
        <v>44993</v>
      </c>
      <c r="B343" s="2" t="str">
        <f>IFERROR(__xludf.DUMMYFUNCTION("""COMPUTED_VALUE"""),"Previous Glenwood Park")</f>
        <v>Previous Glenwood Park</v>
      </c>
      <c r="C343" s="2">
        <f>IFERROR(__xludf.DUMMYFUNCTION("""COMPUTED_VALUE"""),0.0)</f>
        <v>0</v>
      </c>
    </row>
    <row r="344" ht="15.75" customHeight="1">
      <c r="A344" s="2">
        <f>IFERROR(__xludf.DUMMYFUNCTION("""COMPUTED_VALUE"""),44993.0)</f>
        <v>44993</v>
      </c>
      <c r="B344" s="2" t="str">
        <f>IFERROR(__xludf.DUMMYFUNCTION("""COMPUTED_VALUE"""),"FLOWERY BRANCH")</f>
        <v>FLOWERY BRANCH</v>
      </c>
      <c r="C344" s="2">
        <f>IFERROR(__xludf.DUMMYFUNCTION("""COMPUTED_VALUE"""),536.0)</f>
        <v>536</v>
      </c>
    </row>
    <row r="345" ht="15.75" customHeight="1">
      <c r="A345" s="2">
        <f>IFERROR(__xludf.DUMMYFUNCTION("""COMPUTED_VALUE"""),44993.0)</f>
        <v>44993</v>
      </c>
      <c r="B345" s="2" t="str">
        <f>IFERROR(__xludf.DUMMYFUNCTION("""COMPUTED_VALUE"""),"GROUPS ")</f>
        <v>GROUPS </v>
      </c>
      <c r="C345" s="2"/>
    </row>
    <row r="346" ht="15.75" customHeight="1">
      <c r="A346" s="2">
        <f>IFERROR(__xludf.DUMMYFUNCTION("""COMPUTED_VALUE"""),44993.0)</f>
        <v>44993</v>
      </c>
      <c r="B346" s="2" t="str">
        <f>IFERROR(__xludf.DUMMYFUNCTION("""COMPUTED_VALUE"""),"TOTAL")</f>
        <v>TOTAL</v>
      </c>
      <c r="C346" s="2"/>
    </row>
    <row r="347" ht="15.75" customHeight="1">
      <c r="A347" s="2">
        <f>IFERROR(__xludf.DUMMYFUNCTION("""COMPUTED_VALUE"""),44993.0)</f>
        <v>44993</v>
      </c>
      <c r="B347" s="2" t="str">
        <f>IFERROR(__xludf.DUMMYFUNCTION("""COMPUTED_VALUE"""),"Collective Learning")</f>
        <v>Collective Learning</v>
      </c>
      <c r="C347" s="2"/>
    </row>
    <row r="348" ht="15.75" customHeight="1">
      <c r="A348" s="2">
        <f>IFERROR(__xludf.DUMMYFUNCTION("""COMPUTED_VALUE"""),44993.0)</f>
        <v>44993</v>
      </c>
      <c r="B348" s="2" t="str">
        <f>IFERROR(__xludf.DUMMYFUNCTION("""COMPUTED_VALUE"""),"NOTES")</f>
        <v>NOTES</v>
      </c>
      <c r="C348" s="2"/>
    </row>
    <row r="349" ht="15.75" customHeight="1">
      <c r="A349" s="2">
        <f>IFERROR(__xludf.DUMMYFUNCTION("""COMPUTED_VALUE"""),45000.0)</f>
        <v>45000</v>
      </c>
      <c r="B349" s="2" t="str">
        <f>IFERROR(__xludf.DUMMYFUNCTION("""COMPUTED_VALUE"""),"# of Sandwiches")</f>
        <v># of Sandwiches</v>
      </c>
      <c r="C349" s="2">
        <f>IFERROR(__xludf.DUMMYFUNCTION("""COMPUTED_VALUE"""),0.0)</f>
        <v>0</v>
      </c>
    </row>
    <row r="350" ht="15.75" customHeight="1">
      <c r="A350" s="2">
        <f>IFERROR(__xludf.DUMMYFUNCTION("""COMPUTED_VALUE"""),45000.0)</f>
        <v>45000</v>
      </c>
      <c r="B350" s="2" t="str">
        <f>IFERROR(__xludf.DUMMYFUNCTION("""COMPUTED_VALUE"""),"ALPHARETTA")</f>
        <v>ALPHARETTA</v>
      </c>
      <c r="C350" s="2"/>
    </row>
    <row r="351" ht="15.75" customHeight="1">
      <c r="A351" s="2">
        <f>IFERROR(__xludf.DUMMYFUNCTION("""COMPUTED_VALUE"""),45000.0)</f>
        <v>45000</v>
      </c>
      <c r="B351" s="2" t="str">
        <f>IFERROR(__xludf.DUMMYFUNCTION("""COMPUTED_VALUE"""),"PREVIOUS BUCKHEAD")</f>
        <v>PREVIOUS BUCKHEAD</v>
      </c>
      <c r="C351" s="2"/>
    </row>
    <row r="352" ht="15.75" customHeight="1">
      <c r="A352" s="2">
        <f>IFERROR(__xludf.DUMMYFUNCTION("""COMPUTED_VALUE"""),45000.0)</f>
        <v>45000</v>
      </c>
      <c r="B352" s="2" t="str">
        <f>IFERROR(__xludf.DUMMYFUNCTION("""COMPUTED_VALUE"""),"PREVIOUS OAK GROVE")</f>
        <v>PREVIOUS OAK GROVE</v>
      </c>
      <c r="C352" s="2"/>
    </row>
    <row r="353" ht="15.75" customHeight="1">
      <c r="A353" s="2">
        <f>IFERROR(__xludf.DUMMYFUNCTION("""COMPUTED_VALUE"""),45000.0)</f>
        <v>45000</v>
      </c>
      <c r="B353" s="2" t="str">
        <f>IFERROR(__xludf.DUMMYFUNCTION("""COMPUTED_VALUE"""),"DUNWOODY/PTC ")</f>
        <v>DUNWOODY/PTC </v>
      </c>
      <c r="C353" s="2"/>
    </row>
    <row r="354" ht="15.75" customHeight="1">
      <c r="A354" s="2">
        <f>IFERROR(__xludf.DUMMYFUNCTION("""COMPUTED_VALUE"""),45000.0)</f>
        <v>45000</v>
      </c>
      <c r="B354" s="2" t="str">
        <f>IFERROR(__xludf.DUMMYFUNCTION("""COMPUTED_VALUE"""),"E COBB/ROSWELL")</f>
        <v>E COBB/ROSWELL</v>
      </c>
      <c r="C354" s="2"/>
    </row>
    <row r="355" ht="15.75" customHeight="1">
      <c r="A355" s="2">
        <f>IFERROR(__xludf.DUMMYFUNCTION("""COMPUTED_VALUE"""),45000.0)</f>
        <v>45000</v>
      </c>
      <c r="B355" s="2" t="str">
        <f>IFERROR(__xludf.DUMMYFUNCTION("""COMPUTED_VALUE"""),"DECATUR")</f>
        <v>DECATUR</v>
      </c>
      <c r="C355" s="2"/>
    </row>
    <row r="356" ht="15.75" customHeight="1">
      <c r="A356" s="2">
        <f>IFERROR(__xludf.DUMMYFUNCTION("""COMPUTED_VALUE"""),45000.0)</f>
        <v>45000</v>
      </c>
      <c r="B356" s="2" t="str">
        <f>IFERROR(__xludf.DUMMYFUNCTION("""COMPUTED_VALUE"""),"P'TREE CORNERS ")</f>
        <v>P'TREE CORNERS </v>
      </c>
      <c r="C356" s="2"/>
    </row>
    <row r="357" ht="15.75" customHeight="1">
      <c r="A357" s="2">
        <f>IFERROR(__xludf.DUMMYFUNCTION("""COMPUTED_VALUE"""),45000.0)</f>
        <v>45000</v>
      </c>
      <c r="B357" s="2" t="str">
        <f>IFERROR(__xludf.DUMMYFUNCTION("""COMPUTED_VALUE"""),"UGA/Athens")</f>
        <v>UGA/Athens</v>
      </c>
      <c r="C357" s="2"/>
    </row>
    <row r="358" ht="15.75" customHeight="1">
      <c r="A358" s="2">
        <f>IFERROR(__xludf.DUMMYFUNCTION("""COMPUTED_VALUE"""),45000.0)</f>
        <v>45000</v>
      </c>
      <c r="B358" s="2" t="str">
        <f>IFERROR(__xludf.DUMMYFUNCTION("""COMPUTED_VALUE"""),"SANDY SPRINGS ")</f>
        <v>SANDY SPRINGS </v>
      </c>
      <c r="C358" s="2"/>
    </row>
    <row r="359" ht="15.75" customHeight="1">
      <c r="A359" s="2">
        <f>IFERROR(__xludf.DUMMYFUNCTION("""COMPUTED_VALUE"""),45000.0)</f>
        <v>45000</v>
      </c>
      <c r="B359" s="2" t="str">
        <f>IFERROR(__xludf.DUMMYFUNCTION("""COMPUTED_VALUE"""),"INTOWN/DRUID HILLS ")</f>
        <v>INTOWN/DRUID HILLS </v>
      </c>
      <c r="C359" s="2"/>
    </row>
    <row r="360" ht="15.75" customHeight="1">
      <c r="A360" s="2">
        <f>IFERROR(__xludf.DUMMYFUNCTION("""COMPUTED_VALUE"""),45000.0)</f>
        <v>45000</v>
      </c>
      <c r="B360" s="2" t="str">
        <f>IFERROR(__xludf.DUMMYFUNCTION("""COMPUTED_VALUE"""),"SNELLVILLE")</f>
        <v>SNELLVILLE</v>
      </c>
      <c r="C360" s="2"/>
    </row>
    <row r="361" ht="15.75" customHeight="1">
      <c r="A361" s="2">
        <f>IFERROR(__xludf.DUMMYFUNCTION("""COMPUTED_VALUE"""),45000.0)</f>
        <v>45000</v>
      </c>
      <c r="B361" s="2" t="str">
        <f>IFERROR(__xludf.DUMMYFUNCTION("""COMPUTED_VALUE"""),"GROUPS")</f>
        <v>GROUPS</v>
      </c>
      <c r="C361" s="2"/>
    </row>
    <row r="362" ht="15.75" customHeight="1">
      <c r="A362" s="2">
        <f>IFERROR(__xludf.DUMMYFUNCTION("""COMPUTED_VALUE"""),45000.0)</f>
        <v>45000</v>
      </c>
      <c r="B362" s="2" t="str">
        <f>IFERROR(__xludf.DUMMYFUNCTION("""COMPUTED_VALUE"""),"Previous Woodstock")</f>
        <v>Previous Woodstock</v>
      </c>
      <c r="C362" s="2"/>
    </row>
    <row r="363" ht="15.75" customHeight="1">
      <c r="A363" s="2">
        <f>IFERROR(__xludf.DUMMYFUNCTION("""COMPUTED_VALUE"""),45000.0)</f>
        <v>45000</v>
      </c>
      <c r="B363" s="2" t="str">
        <f>IFERROR(__xludf.DUMMYFUNCTION("""COMPUTED_VALUE"""),"Previous Lenox/Brookhaven")</f>
        <v>Previous Lenox/Brookhaven</v>
      </c>
      <c r="C363" s="2"/>
    </row>
    <row r="364" ht="15.75" customHeight="1">
      <c r="A364" s="2">
        <f>IFERROR(__xludf.DUMMYFUNCTION("""COMPUTED_VALUE"""),45000.0)</f>
        <v>45000</v>
      </c>
      <c r="B364" s="2" t="str">
        <f>IFERROR(__xludf.DUMMYFUNCTION("""COMPUTED_VALUE"""),"Previous New Chastain")</f>
        <v>Previous New Chastain</v>
      </c>
      <c r="C364" s="2"/>
    </row>
    <row r="365" ht="15.75" customHeight="1">
      <c r="A365" s="2">
        <f>IFERROR(__xludf.DUMMYFUNCTION("""COMPUTED_VALUE"""),45000.0)</f>
        <v>45000</v>
      </c>
      <c r="B365" s="2" t="str">
        <f>IFERROR(__xludf.DUMMYFUNCTION("""COMPUTED_VALUE"""),"Previous Glenwood Park")</f>
        <v>Previous Glenwood Park</v>
      </c>
      <c r="C365" s="2"/>
    </row>
    <row r="366" ht="15.75" customHeight="1">
      <c r="A366" s="2">
        <f>IFERROR(__xludf.DUMMYFUNCTION("""COMPUTED_VALUE"""),45000.0)</f>
        <v>45000</v>
      </c>
      <c r="B366" s="2" t="str">
        <f>IFERROR(__xludf.DUMMYFUNCTION("""COMPUTED_VALUE"""),"FLOWERY BRANCH")</f>
        <v>FLOWERY BRANCH</v>
      </c>
      <c r="C366" s="2"/>
    </row>
    <row r="367" ht="15.75" customHeight="1">
      <c r="A367" s="2">
        <f>IFERROR(__xludf.DUMMYFUNCTION("""COMPUTED_VALUE"""),45000.0)</f>
        <v>45000</v>
      </c>
      <c r="B367" s="2" t="str">
        <f>IFERROR(__xludf.DUMMYFUNCTION("""COMPUTED_VALUE"""),"GROUPS ")</f>
        <v>GROUPS </v>
      </c>
      <c r="C367" s="2"/>
    </row>
    <row r="368" ht="15.75" customHeight="1">
      <c r="A368" s="2">
        <f>IFERROR(__xludf.DUMMYFUNCTION("""COMPUTED_VALUE"""),45000.0)</f>
        <v>45000</v>
      </c>
      <c r="B368" s="2" t="str">
        <f>IFERROR(__xludf.DUMMYFUNCTION("""COMPUTED_VALUE"""),"TOTAL")</f>
        <v>TOTAL</v>
      </c>
      <c r="C368" s="2"/>
    </row>
    <row r="369" ht="15.75" customHeight="1">
      <c r="A369" s="2">
        <f>IFERROR(__xludf.DUMMYFUNCTION("""COMPUTED_VALUE"""),45000.0)</f>
        <v>45000</v>
      </c>
      <c r="B369" s="2" t="str">
        <f>IFERROR(__xludf.DUMMYFUNCTION("""COMPUTED_VALUE"""),"Collective Learning")</f>
        <v>Collective Learning</v>
      </c>
      <c r="C369" s="2"/>
    </row>
    <row r="370" ht="15.75" customHeight="1">
      <c r="A370" s="2">
        <f>IFERROR(__xludf.DUMMYFUNCTION("""COMPUTED_VALUE"""),45000.0)</f>
        <v>45000</v>
      </c>
      <c r="B370" s="2" t="str">
        <f>IFERROR(__xludf.DUMMYFUNCTION("""COMPUTED_VALUE"""),"NOTES")</f>
        <v>NOTES</v>
      </c>
      <c r="C370" s="2"/>
    </row>
    <row r="371" ht="15.75" customHeight="1">
      <c r="A371" s="2">
        <f>IFERROR(__xludf.DUMMYFUNCTION("""COMPUTED_VALUE"""),45007.0)</f>
        <v>45007</v>
      </c>
      <c r="B371" s="2" t="str">
        <f>IFERROR(__xludf.DUMMYFUNCTION("""COMPUTED_VALUE"""),"# of Sandwiches")</f>
        <v># of Sandwiches</v>
      </c>
      <c r="C371" s="2">
        <f>IFERROR(__xludf.DUMMYFUNCTION("""COMPUTED_VALUE"""),8681.0)</f>
        <v>8681</v>
      </c>
    </row>
    <row r="372" ht="15.75" customHeight="1">
      <c r="A372" s="2">
        <f>IFERROR(__xludf.DUMMYFUNCTION("""COMPUTED_VALUE"""),45007.0)</f>
        <v>45007</v>
      </c>
      <c r="B372" s="2" t="str">
        <f>IFERROR(__xludf.DUMMYFUNCTION("""COMPUTED_VALUE"""),"ALPHARETTA")</f>
        <v>ALPHARETTA</v>
      </c>
      <c r="C372" s="2">
        <f>IFERROR(__xludf.DUMMYFUNCTION("""COMPUTED_VALUE"""),3005.0)</f>
        <v>3005</v>
      </c>
    </row>
    <row r="373" ht="15.75" customHeight="1">
      <c r="A373" s="2">
        <f>IFERROR(__xludf.DUMMYFUNCTION("""COMPUTED_VALUE"""),45007.0)</f>
        <v>45007</v>
      </c>
      <c r="B373" s="2" t="str">
        <f>IFERROR(__xludf.DUMMYFUNCTION("""COMPUTED_VALUE"""),"PREVIOUS BUCKHEAD")</f>
        <v>PREVIOUS BUCKHEAD</v>
      </c>
      <c r="C373" s="2">
        <f>IFERROR(__xludf.DUMMYFUNCTION("""COMPUTED_VALUE"""),0.0)</f>
        <v>0</v>
      </c>
    </row>
    <row r="374" ht="15.75" customHeight="1">
      <c r="A374" s="2">
        <f>IFERROR(__xludf.DUMMYFUNCTION("""COMPUTED_VALUE"""),45007.0)</f>
        <v>45007</v>
      </c>
      <c r="B374" s="2" t="str">
        <f>IFERROR(__xludf.DUMMYFUNCTION("""COMPUTED_VALUE"""),"PREVIOUS OAK GROVE")</f>
        <v>PREVIOUS OAK GROVE</v>
      </c>
      <c r="C374" s="2">
        <f>IFERROR(__xludf.DUMMYFUNCTION("""COMPUTED_VALUE"""),0.0)</f>
        <v>0</v>
      </c>
    </row>
    <row r="375" ht="15.75" customHeight="1">
      <c r="A375" s="2">
        <f>IFERROR(__xludf.DUMMYFUNCTION("""COMPUTED_VALUE"""),45007.0)</f>
        <v>45007</v>
      </c>
      <c r="B375" s="2" t="str">
        <f>IFERROR(__xludf.DUMMYFUNCTION("""COMPUTED_VALUE"""),"DUNWOODY/PTC ")</f>
        <v>DUNWOODY/PTC </v>
      </c>
      <c r="C375" s="2">
        <f>IFERROR(__xludf.DUMMYFUNCTION("""COMPUTED_VALUE"""),2775.0)</f>
        <v>2775</v>
      </c>
    </row>
    <row r="376" ht="15.75" customHeight="1">
      <c r="A376" s="2">
        <f>IFERROR(__xludf.DUMMYFUNCTION("""COMPUTED_VALUE"""),45007.0)</f>
        <v>45007</v>
      </c>
      <c r="B376" s="2" t="str">
        <f>IFERROR(__xludf.DUMMYFUNCTION("""COMPUTED_VALUE"""),"E COBB/ROSWELL")</f>
        <v>E COBB/ROSWELL</v>
      </c>
      <c r="C376" s="2">
        <f>IFERROR(__xludf.DUMMYFUNCTION("""COMPUTED_VALUE"""),882.0)</f>
        <v>882</v>
      </c>
    </row>
    <row r="377" ht="15.75" customHeight="1">
      <c r="A377" s="2">
        <f>IFERROR(__xludf.DUMMYFUNCTION("""COMPUTED_VALUE"""),45007.0)</f>
        <v>45007</v>
      </c>
      <c r="B377" s="2" t="str">
        <f>IFERROR(__xludf.DUMMYFUNCTION("""COMPUTED_VALUE"""),"DECATUR")</f>
        <v>DECATUR</v>
      </c>
      <c r="C377" s="2">
        <f>IFERROR(__xludf.DUMMYFUNCTION("""COMPUTED_VALUE"""),433.0)</f>
        <v>433</v>
      </c>
    </row>
    <row r="378" ht="15.75" customHeight="1">
      <c r="A378" s="2">
        <f>IFERROR(__xludf.DUMMYFUNCTION("""COMPUTED_VALUE"""),45007.0)</f>
        <v>45007</v>
      </c>
      <c r="B378" s="2" t="str">
        <f>IFERROR(__xludf.DUMMYFUNCTION("""COMPUTED_VALUE"""),"P'TREE CORNERS ")</f>
        <v>P'TREE CORNERS </v>
      </c>
      <c r="C378" s="2">
        <f>IFERROR(__xludf.DUMMYFUNCTION("""COMPUTED_VALUE"""),0.0)</f>
        <v>0</v>
      </c>
    </row>
    <row r="379" ht="15.75" customHeight="1">
      <c r="A379" s="2">
        <f>IFERROR(__xludf.DUMMYFUNCTION("""COMPUTED_VALUE"""),45007.0)</f>
        <v>45007</v>
      </c>
      <c r="B379" s="2" t="str">
        <f>IFERROR(__xludf.DUMMYFUNCTION("""COMPUTED_VALUE"""),"UGA/Athens")</f>
        <v>UGA/Athens</v>
      </c>
      <c r="C379" s="2"/>
    </row>
    <row r="380" ht="15.75" customHeight="1">
      <c r="A380" s="2">
        <f>IFERROR(__xludf.DUMMYFUNCTION("""COMPUTED_VALUE"""),45007.0)</f>
        <v>45007</v>
      </c>
      <c r="B380" s="2" t="str">
        <f>IFERROR(__xludf.DUMMYFUNCTION("""COMPUTED_VALUE"""),"SANDY SPRINGS ")</f>
        <v>SANDY SPRINGS </v>
      </c>
      <c r="C380" s="2">
        <f>IFERROR(__xludf.DUMMYFUNCTION("""COMPUTED_VALUE"""),747.0)</f>
        <v>747</v>
      </c>
    </row>
    <row r="381" ht="15.75" customHeight="1">
      <c r="A381" s="2">
        <f>IFERROR(__xludf.DUMMYFUNCTION("""COMPUTED_VALUE"""),45007.0)</f>
        <v>45007</v>
      </c>
      <c r="B381" s="2" t="str">
        <f>IFERROR(__xludf.DUMMYFUNCTION("""COMPUTED_VALUE"""),"INTOWN/DRUID HILLS ")</f>
        <v>INTOWN/DRUID HILLS </v>
      </c>
      <c r="C381" s="2">
        <f>IFERROR(__xludf.DUMMYFUNCTION("""COMPUTED_VALUE"""),279.0)</f>
        <v>279</v>
      </c>
    </row>
    <row r="382" ht="15.75" customHeight="1">
      <c r="A382" s="2">
        <f>IFERROR(__xludf.DUMMYFUNCTION("""COMPUTED_VALUE"""),45007.0)</f>
        <v>45007</v>
      </c>
      <c r="B382" s="2" t="str">
        <f>IFERROR(__xludf.DUMMYFUNCTION("""COMPUTED_VALUE"""),"SNELLVILLE")</f>
        <v>SNELLVILLE</v>
      </c>
      <c r="C382" s="2">
        <f>IFERROR(__xludf.DUMMYFUNCTION("""COMPUTED_VALUE"""),189.0)</f>
        <v>189</v>
      </c>
    </row>
    <row r="383" ht="15.75" customHeight="1">
      <c r="A383" s="2">
        <f>IFERROR(__xludf.DUMMYFUNCTION("""COMPUTED_VALUE"""),45007.0)</f>
        <v>45007</v>
      </c>
      <c r="B383" s="2" t="str">
        <f>IFERROR(__xludf.DUMMYFUNCTION("""COMPUTED_VALUE"""),"GROUPS")</f>
        <v>GROUPS</v>
      </c>
      <c r="C383" s="2"/>
    </row>
    <row r="384" ht="15.75" customHeight="1">
      <c r="A384" s="2">
        <f>IFERROR(__xludf.DUMMYFUNCTION("""COMPUTED_VALUE"""),45007.0)</f>
        <v>45007</v>
      </c>
      <c r="B384" s="2" t="str">
        <f>IFERROR(__xludf.DUMMYFUNCTION("""COMPUTED_VALUE"""),"Previous Woodstock")</f>
        <v>Previous Woodstock</v>
      </c>
      <c r="C384" s="2">
        <f>IFERROR(__xludf.DUMMYFUNCTION("""COMPUTED_VALUE"""),0.0)</f>
        <v>0</v>
      </c>
    </row>
    <row r="385" ht="15.75" customHeight="1">
      <c r="A385" s="2">
        <f>IFERROR(__xludf.DUMMYFUNCTION("""COMPUTED_VALUE"""),45007.0)</f>
        <v>45007</v>
      </c>
      <c r="B385" s="2" t="str">
        <f>IFERROR(__xludf.DUMMYFUNCTION("""COMPUTED_VALUE"""),"Previous Lenox/Brookhaven")</f>
        <v>Previous Lenox/Brookhaven</v>
      </c>
      <c r="C385" s="2">
        <f>IFERROR(__xludf.DUMMYFUNCTION("""COMPUTED_VALUE"""),0.0)</f>
        <v>0</v>
      </c>
    </row>
    <row r="386" ht="15.75" customHeight="1">
      <c r="A386" s="2">
        <f>IFERROR(__xludf.DUMMYFUNCTION("""COMPUTED_VALUE"""),45007.0)</f>
        <v>45007</v>
      </c>
      <c r="B386" s="2" t="str">
        <f>IFERROR(__xludf.DUMMYFUNCTION("""COMPUTED_VALUE"""),"Previous New Chastain")</f>
        <v>Previous New Chastain</v>
      </c>
      <c r="C386" s="2">
        <f>IFERROR(__xludf.DUMMYFUNCTION("""COMPUTED_VALUE"""),0.0)</f>
        <v>0</v>
      </c>
    </row>
    <row r="387" ht="15.75" customHeight="1">
      <c r="A387" s="2">
        <f>IFERROR(__xludf.DUMMYFUNCTION("""COMPUTED_VALUE"""),45007.0)</f>
        <v>45007</v>
      </c>
      <c r="B387" s="2" t="str">
        <f>IFERROR(__xludf.DUMMYFUNCTION("""COMPUTED_VALUE"""),"Previous Glenwood Park")</f>
        <v>Previous Glenwood Park</v>
      </c>
      <c r="C387" s="2">
        <f>IFERROR(__xludf.DUMMYFUNCTION("""COMPUTED_VALUE"""),0.0)</f>
        <v>0</v>
      </c>
    </row>
    <row r="388" ht="15.75" customHeight="1">
      <c r="A388" s="2">
        <f>IFERROR(__xludf.DUMMYFUNCTION("""COMPUTED_VALUE"""),45007.0)</f>
        <v>45007</v>
      </c>
      <c r="B388" s="2" t="str">
        <f>IFERROR(__xludf.DUMMYFUNCTION("""COMPUTED_VALUE"""),"FLOWERY BRANCH")</f>
        <v>FLOWERY BRANCH</v>
      </c>
      <c r="C388" s="2">
        <f>IFERROR(__xludf.DUMMYFUNCTION("""COMPUTED_VALUE"""),371.0)</f>
        <v>371</v>
      </c>
    </row>
    <row r="389" ht="15.75" customHeight="1">
      <c r="A389" s="2">
        <f>IFERROR(__xludf.DUMMYFUNCTION("""COMPUTED_VALUE"""),45007.0)</f>
        <v>45007</v>
      </c>
      <c r="B389" s="2" t="str">
        <f>IFERROR(__xludf.DUMMYFUNCTION("""COMPUTED_VALUE"""),"GROUPS ")</f>
        <v>GROUPS </v>
      </c>
      <c r="C389" s="2"/>
    </row>
    <row r="390" ht="15.75" customHeight="1">
      <c r="A390" s="2">
        <f>IFERROR(__xludf.DUMMYFUNCTION("""COMPUTED_VALUE"""),45007.0)</f>
        <v>45007</v>
      </c>
      <c r="B390" s="2" t="str">
        <f>IFERROR(__xludf.DUMMYFUNCTION("""COMPUTED_VALUE"""),"TOTAL")</f>
        <v>TOTAL</v>
      </c>
      <c r="C390" s="2"/>
    </row>
    <row r="391" ht="15.75" customHeight="1">
      <c r="A391" s="2">
        <f>IFERROR(__xludf.DUMMYFUNCTION("""COMPUTED_VALUE"""),45007.0)</f>
        <v>45007</v>
      </c>
      <c r="B391" s="2" t="str">
        <f>IFERROR(__xludf.DUMMYFUNCTION("""COMPUTED_VALUE"""),"Collective Learning")</f>
        <v>Collective Learning</v>
      </c>
      <c r="C391" s="2"/>
    </row>
    <row r="392" ht="15.75" customHeight="1">
      <c r="A392" s="2">
        <f>IFERROR(__xludf.DUMMYFUNCTION("""COMPUTED_VALUE"""),45007.0)</f>
        <v>45007</v>
      </c>
      <c r="B392" s="2" t="str">
        <f>IFERROR(__xludf.DUMMYFUNCTION("""COMPUTED_VALUE"""),"NOTES")</f>
        <v>NOTES</v>
      </c>
      <c r="C392" s="2"/>
    </row>
    <row r="393" ht="15.75" customHeight="1">
      <c r="A393" s="2">
        <f>IFERROR(__xludf.DUMMYFUNCTION("""COMPUTED_VALUE"""),45014.0)</f>
        <v>45014</v>
      </c>
      <c r="B393" s="2" t="str">
        <f>IFERROR(__xludf.DUMMYFUNCTION("""COMPUTED_VALUE"""),"# of Sandwiches")</f>
        <v># of Sandwiches</v>
      </c>
      <c r="C393" s="2">
        <f>IFERROR(__xludf.DUMMYFUNCTION("""COMPUTED_VALUE"""),9998.0)</f>
        <v>9998</v>
      </c>
    </row>
    <row r="394" ht="15.75" customHeight="1">
      <c r="A394" s="2">
        <f>IFERROR(__xludf.DUMMYFUNCTION("""COMPUTED_VALUE"""),45014.0)</f>
        <v>45014</v>
      </c>
      <c r="B394" s="2" t="str">
        <f>IFERROR(__xludf.DUMMYFUNCTION("""COMPUTED_VALUE"""),"ALPHARETTA")</f>
        <v>ALPHARETTA</v>
      </c>
      <c r="C394" s="2">
        <f>IFERROR(__xludf.DUMMYFUNCTION("""COMPUTED_VALUE"""),702.0)</f>
        <v>702</v>
      </c>
    </row>
    <row r="395" ht="15.75" customHeight="1">
      <c r="A395" s="2">
        <f>IFERROR(__xludf.DUMMYFUNCTION("""COMPUTED_VALUE"""),45014.0)</f>
        <v>45014</v>
      </c>
      <c r="B395" s="2" t="str">
        <f>IFERROR(__xludf.DUMMYFUNCTION("""COMPUTED_VALUE"""),"PREVIOUS BUCKHEAD")</f>
        <v>PREVIOUS BUCKHEAD</v>
      </c>
      <c r="C395" s="2">
        <f>IFERROR(__xludf.DUMMYFUNCTION("""COMPUTED_VALUE"""),0.0)</f>
        <v>0</v>
      </c>
    </row>
    <row r="396" ht="15.75" customHeight="1">
      <c r="A396" s="2">
        <f>IFERROR(__xludf.DUMMYFUNCTION("""COMPUTED_VALUE"""),45014.0)</f>
        <v>45014</v>
      </c>
      <c r="B396" s="2" t="str">
        <f>IFERROR(__xludf.DUMMYFUNCTION("""COMPUTED_VALUE"""),"PREVIOUS OAK GROVE")</f>
        <v>PREVIOUS OAK GROVE</v>
      </c>
      <c r="C396" s="2">
        <f>IFERROR(__xludf.DUMMYFUNCTION("""COMPUTED_VALUE"""),0.0)</f>
        <v>0</v>
      </c>
    </row>
    <row r="397" ht="15.75" customHeight="1">
      <c r="A397" s="2">
        <f>IFERROR(__xludf.DUMMYFUNCTION("""COMPUTED_VALUE"""),45014.0)</f>
        <v>45014</v>
      </c>
      <c r="B397" s="2" t="str">
        <f>IFERROR(__xludf.DUMMYFUNCTION("""COMPUTED_VALUE"""),"DUNWOODY/PTC ")</f>
        <v>DUNWOODY/PTC </v>
      </c>
      <c r="C397" s="2">
        <f>IFERROR(__xludf.DUMMYFUNCTION("""COMPUTED_VALUE"""),4041.0)</f>
        <v>4041</v>
      </c>
    </row>
    <row r="398" ht="15.75" customHeight="1">
      <c r="A398" s="2">
        <f>IFERROR(__xludf.DUMMYFUNCTION("""COMPUTED_VALUE"""),45014.0)</f>
        <v>45014</v>
      </c>
      <c r="B398" s="2" t="str">
        <f>IFERROR(__xludf.DUMMYFUNCTION("""COMPUTED_VALUE"""),"E COBB/ROSWELL")</f>
        <v>E COBB/ROSWELL</v>
      </c>
      <c r="C398" s="2">
        <f>IFERROR(__xludf.DUMMYFUNCTION("""COMPUTED_VALUE"""),1310.0)</f>
        <v>1310</v>
      </c>
    </row>
    <row r="399" ht="15.75" customHeight="1">
      <c r="A399" s="2">
        <f>IFERROR(__xludf.DUMMYFUNCTION("""COMPUTED_VALUE"""),45014.0)</f>
        <v>45014</v>
      </c>
      <c r="B399" s="2" t="str">
        <f>IFERROR(__xludf.DUMMYFUNCTION("""COMPUTED_VALUE"""),"DECATUR")</f>
        <v>DECATUR</v>
      </c>
      <c r="C399" s="2">
        <f>IFERROR(__xludf.DUMMYFUNCTION("""COMPUTED_VALUE"""),220.0)</f>
        <v>220</v>
      </c>
    </row>
    <row r="400" ht="15.75" customHeight="1">
      <c r="A400" s="2">
        <f>IFERROR(__xludf.DUMMYFUNCTION("""COMPUTED_VALUE"""),45014.0)</f>
        <v>45014</v>
      </c>
      <c r="B400" s="2" t="str">
        <f>IFERROR(__xludf.DUMMYFUNCTION("""COMPUTED_VALUE"""),"P'TREE CORNERS ")</f>
        <v>P'TREE CORNERS </v>
      </c>
      <c r="C400" s="2"/>
    </row>
    <row r="401" ht="15.75" customHeight="1">
      <c r="A401" s="2">
        <f>IFERROR(__xludf.DUMMYFUNCTION("""COMPUTED_VALUE"""),45014.0)</f>
        <v>45014</v>
      </c>
      <c r="B401" s="2" t="str">
        <f>IFERROR(__xludf.DUMMYFUNCTION("""COMPUTED_VALUE"""),"UGA/Athens")</f>
        <v>UGA/Athens</v>
      </c>
      <c r="C401" s="2"/>
    </row>
    <row r="402" ht="15.75" customHeight="1">
      <c r="A402" s="2">
        <f>IFERROR(__xludf.DUMMYFUNCTION("""COMPUTED_VALUE"""),45014.0)</f>
        <v>45014</v>
      </c>
      <c r="B402" s="2" t="str">
        <f>IFERROR(__xludf.DUMMYFUNCTION("""COMPUTED_VALUE"""),"SANDY SPRINGS ")</f>
        <v>SANDY SPRINGS </v>
      </c>
      <c r="C402" s="2">
        <f>IFERROR(__xludf.DUMMYFUNCTION("""COMPUTED_VALUE"""),1319.0)</f>
        <v>1319</v>
      </c>
    </row>
    <row r="403" ht="15.75" customHeight="1">
      <c r="A403" s="2">
        <f>IFERROR(__xludf.DUMMYFUNCTION("""COMPUTED_VALUE"""),45014.0)</f>
        <v>45014</v>
      </c>
      <c r="B403" s="2" t="str">
        <f>IFERROR(__xludf.DUMMYFUNCTION("""COMPUTED_VALUE"""),"INTOWN/DRUID HILLS ")</f>
        <v>INTOWN/DRUID HILLS </v>
      </c>
      <c r="C403" s="2">
        <f>IFERROR(__xludf.DUMMYFUNCTION("""COMPUTED_VALUE"""),1328.0)</f>
        <v>1328</v>
      </c>
    </row>
    <row r="404" ht="15.75" customHeight="1">
      <c r="A404" s="2">
        <f>IFERROR(__xludf.DUMMYFUNCTION("""COMPUTED_VALUE"""),45014.0)</f>
        <v>45014</v>
      </c>
      <c r="B404" s="2" t="str">
        <f>IFERROR(__xludf.DUMMYFUNCTION("""COMPUTED_VALUE"""),"SNELLVILLE")</f>
        <v>SNELLVILLE</v>
      </c>
      <c r="C404" s="2">
        <f>IFERROR(__xludf.DUMMYFUNCTION("""COMPUTED_VALUE"""),104.0)</f>
        <v>104</v>
      </c>
    </row>
    <row r="405" ht="15.75" customHeight="1">
      <c r="A405" s="2">
        <f>IFERROR(__xludf.DUMMYFUNCTION("""COMPUTED_VALUE"""),45014.0)</f>
        <v>45014</v>
      </c>
      <c r="B405" s="2" t="str">
        <f>IFERROR(__xludf.DUMMYFUNCTION("""COMPUTED_VALUE"""),"GROUPS")</f>
        <v>GROUPS</v>
      </c>
      <c r="C405" s="2"/>
    </row>
    <row r="406" ht="15.75" customHeight="1">
      <c r="A406" s="2">
        <f>IFERROR(__xludf.DUMMYFUNCTION("""COMPUTED_VALUE"""),45014.0)</f>
        <v>45014</v>
      </c>
      <c r="B406" s="2" t="str">
        <f>IFERROR(__xludf.DUMMYFUNCTION("""COMPUTED_VALUE"""),"Previous Woodstock")</f>
        <v>Previous Woodstock</v>
      </c>
      <c r="C406" s="2"/>
    </row>
    <row r="407" ht="15.75" customHeight="1">
      <c r="A407" s="2">
        <f>IFERROR(__xludf.DUMMYFUNCTION("""COMPUTED_VALUE"""),45014.0)</f>
        <v>45014</v>
      </c>
      <c r="B407" s="2" t="str">
        <f>IFERROR(__xludf.DUMMYFUNCTION("""COMPUTED_VALUE"""),"Previous Lenox/Brookhaven")</f>
        <v>Previous Lenox/Brookhaven</v>
      </c>
      <c r="C407" s="2"/>
    </row>
    <row r="408" ht="15.75" customHeight="1">
      <c r="A408" s="2">
        <f>IFERROR(__xludf.DUMMYFUNCTION("""COMPUTED_VALUE"""),45014.0)</f>
        <v>45014</v>
      </c>
      <c r="B408" s="2" t="str">
        <f>IFERROR(__xludf.DUMMYFUNCTION("""COMPUTED_VALUE"""),"Previous New Chastain")</f>
        <v>Previous New Chastain</v>
      </c>
      <c r="C408" s="2"/>
    </row>
    <row r="409" ht="15.75" customHeight="1">
      <c r="A409" s="2">
        <f>IFERROR(__xludf.DUMMYFUNCTION("""COMPUTED_VALUE"""),45014.0)</f>
        <v>45014</v>
      </c>
      <c r="B409" s="2" t="str">
        <f>IFERROR(__xludf.DUMMYFUNCTION("""COMPUTED_VALUE"""),"Previous Glenwood Park")</f>
        <v>Previous Glenwood Park</v>
      </c>
      <c r="C409" s="2"/>
    </row>
    <row r="410" ht="15.75" customHeight="1">
      <c r="A410" s="2">
        <f>IFERROR(__xludf.DUMMYFUNCTION("""COMPUTED_VALUE"""),45014.0)</f>
        <v>45014</v>
      </c>
      <c r="B410" s="2" t="str">
        <f>IFERROR(__xludf.DUMMYFUNCTION("""COMPUTED_VALUE"""),"FLOWERY BRANCH")</f>
        <v>FLOWERY BRANCH</v>
      </c>
      <c r="C410" s="2">
        <f>IFERROR(__xludf.DUMMYFUNCTION("""COMPUTED_VALUE"""),471.0)</f>
        <v>471</v>
      </c>
    </row>
    <row r="411" ht="15.75" customHeight="1">
      <c r="A411" s="2">
        <f>IFERROR(__xludf.DUMMYFUNCTION("""COMPUTED_VALUE"""),45014.0)</f>
        <v>45014</v>
      </c>
      <c r="B411" s="2" t="str">
        <f>IFERROR(__xludf.DUMMYFUNCTION("""COMPUTED_VALUE"""),"GROUPS ")</f>
        <v>GROUPS </v>
      </c>
      <c r="C411" s="2">
        <f>IFERROR(__xludf.DUMMYFUNCTION("""COMPUTED_VALUE"""),503.0)</f>
        <v>503</v>
      </c>
    </row>
    <row r="412" ht="15.75" customHeight="1">
      <c r="A412" s="2">
        <f>IFERROR(__xludf.DUMMYFUNCTION("""COMPUTED_VALUE"""),45014.0)</f>
        <v>45014</v>
      </c>
      <c r="B412" s="2" t="str">
        <f>IFERROR(__xludf.DUMMYFUNCTION("""COMPUTED_VALUE"""),"TOTAL")</f>
        <v>TOTAL</v>
      </c>
      <c r="C412" s="2"/>
    </row>
    <row r="413" ht="15.75" customHeight="1">
      <c r="A413" s="2">
        <f>IFERROR(__xludf.DUMMYFUNCTION("""COMPUTED_VALUE"""),45014.0)</f>
        <v>45014</v>
      </c>
      <c r="B413" s="2" t="str">
        <f>IFERROR(__xludf.DUMMYFUNCTION("""COMPUTED_VALUE"""),"Collective Learning")</f>
        <v>Collective Learning</v>
      </c>
      <c r="C413" s="2"/>
    </row>
    <row r="414" ht="15.75" customHeight="1">
      <c r="A414" s="2">
        <f>IFERROR(__xludf.DUMMYFUNCTION("""COMPUTED_VALUE"""),45014.0)</f>
        <v>45014</v>
      </c>
      <c r="B414" s="2" t="str">
        <f>IFERROR(__xludf.DUMMYFUNCTION("""COMPUTED_VALUE"""),"NOTES")</f>
        <v>NOTES</v>
      </c>
      <c r="C414" s="2"/>
    </row>
    <row r="415" ht="15.75" customHeight="1">
      <c r="A415" s="2">
        <f>IFERROR(__xludf.DUMMYFUNCTION("""COMPUTED_VALUE"""),45021.0)</f>
        <v>45021</v>
      </c>
      <c r="B415" s="2" t="str">
        <f>IFERROR(__xludf.DUMMYFUNCTION("""COMPUTED_VALUE"""),"# of Sandwiches")</f>
        <v># of Sandwiches</v>
      </c>
      <c r="C415" s="2">
        <f>IFERROR(__xludf.DUMMYFUNCTION("""COMPUTED_VALUE"""),9057.0)</f>
        <v>9057</v>
      </c>
    </row>
    <row r="416" ht="15.75" customHeight="1">
      <c r="A416" s="2">
        <f>IFERROR(__xludf.DUMMYFUNCTION("""COMPUTED_VALUE"""),45021.0)</f>
        <v>45021</v>
      </c>
      <c r="B416" s="2" t="str">
        <f>IFERROR(__xludf.DUMMYFUNCTION("""COMPUTED_VALUE"""),"ALPHARETTA")</f>
        <v>ALPHARETTA</v>
      </c>
      <c r="C416" s="2">
        <f>IFERROR(__xludf.DUMMYFUNCTION("""COMPUTED_VALUE"""),930.0)</f>
        <v>930</v>
      </c>
    </row>
    <row r="417" ht="15.75" customHeight="1">
      <c r="A417" s="2">
        <f>IFERROR(__xludf.DUMMYFUNCTION("""COMPUTED_VALUE"""),45021.0)</f>
        <v>45021</v>
      </c>
      <c r="B417" s="2" t="str">
        <f>IFERROR(__xludf.DUMMYFUNCTION("""COMPUTED_VALUE"""),"PREVIOUS BUCKHEAD")</f>
        <v>PREVIOUS BUCKHEAD</v>
      </c>
      <c r="C417" s="2">
        <f>IFERROR(__xludf.DUMMYFUNCTION("""COMPUTED_VALUE"""),0.0)</f>
        <v>0</v>
      </c>
    </row>
    <row r="418" ht="15.75" customHeight="1">
      <c r="A418" s="2">
        <f>IFERROR(__xludf.DUMMYFUNCTION("""COMPUTED_VALUE"""),45021.0)</f>
        <v>45021</v>
      </c>
      <c r="B418" s="2" t="str">
        <f>IFERROR(__xludf.DUMMYFUNCTION("""COMPUTED_VALUE"""),"PREVIOUS OAK GROVE")</f>
        <v>PREVIOUS OAK GROVE</v>
      </c>
      <c r="C418" s="2">
        <f>IFERROR(__xludf.DUMMYFUNCTION("""COMPUTED_VALUE"""),0.0)</f>
        <v>0</v>
      </c>
    </row>
    <row r="419" ht="15.75" customHeight="1">
      <c r="A419" s="2">
        <f>IFERROR(__xludf.DUMMYFUNCTION("""COMPUTED_VALUE"""),45021.0)</f>
        <v>45021</v>
      </c>
      <c r="B419" s="2" t="str">
        <f>IFERROR(__xludf.DUMMYFUNCTION("""COMPUTED_VALUE"""),"DUNWOODY/PTC ")</f>
        <v>DUNWOODY/PTC </v>
      </c>
      <c r="C419" s="2">
        <f>IFERROR(__xludf.DUMMYFUNCTION("""COMPUTED_VALUE"""),3763.0)</f>
        <v>3763</v>
      </c>
    </row>
    <row r="420" ht="15.75" customHeight="1">
      <c r="A420" s="2">
        <f>IFERROR(__xludf.DUMMYFUNCTION("""COMPUTED_VALUE"""),45021.0)</f>
        <v>45021</v>
      </c>
      <c r="B420" s="2" t="str">
        <f>IFERROR(__xludf.DUMMYFUNCTION("""COMPUTED_VALUE"""),"E COBB/ROSWELL")</f>
        <v>E COBB/ROSWELL</v>
      </c>
      <c r="C420" s="2">
        <f>IFERROR(__xludf.DUMMYFUNCTION("""COMPUTED_VALUE"""),1057.0)</f>
        <v>1057</v>
      </c>
    </row>
    <row r="421" ht="15.75" customHeight="1">
      <c r="A421" s="2">
        <f>IFERROR(__xludf.DUMMYFUNCTION("""COMPUTED_VALUE"""),45021.0)</f>
        <v>45021</v>
      </c>
      <c r="B421" s="2" t="str">
        <f>IFERROR(__xludf.DUMMYFUNCTION("""COMPUTED_VALUE"""),"DECATUR")</f>
        <v>DECATUR</v>
      </c>
      <c r="C421" s="2">
        <f>IFERROR(__xludf.DUMMYFUNCTION("""COMPUTED_VALUE"""),60.0)</f>
        <v>60</v>
      </c>
    </row>
    <row r="422" ht="15.75" customHeight="1">
      <c r="A422" s="2">
        <f>IFERROR(__xludf.DUMMYFUNCTION("""COMPUTED_VALUE"""),45021.0)</f>
        <v>45021</v>
      </c>
      <c r="B422" s="2" t="str">
        <f>IFERROR(__xludf.DUMMYFUNCTION("""COMPUTED_VALUE"""),"P'TREE CORNERS ")</f>
        <v>P'TREE CORNERS </v>
      </c>
      <c r="C422" s="2"/>
    </row>
    <row r="423" ht="15.75" customHeight="1">
      <c r="A423" s="2">
        <f>IFERROR(__xludf.DUMMYFUNCTION("""COMPUTED_VALUE"""),45021.0)</f>
        <v>45021</v>
      </c>
      <c r="B423" s="2" t="str">
        <f>IFERROR(__xludf.DUMMYFUNCTION("""COMPUTED_VALUE"""),"UGA/Athens")</f>
        <v>UGA/Athens</v>
      </c>
      <c r="C423" s="2"/>
    </row>
    <row r="424" ht="15.75" customHeight="1">
      <c r="A424" s="2">
        <f>IFERROR(__xludf.DUMMYFUNCTION("""COMPUTED_VALUE"""),45021.0)</f>
        <v>45021</v>
      </c>
      <c r="B424" s="2" t="str">
        <f>IFERROR(__xludf.DUMMYFUNCTION("""COMPUTED_VALUE"""),"SANDY SPRINGS ")</f>
        <v>SANDY SPRINGS </v>
      </c>
      <c r="C424" s="2">
        <f>IFERROR(__xludf.DUMMYFUNCTION("""COMPUTED_VALUE"""),655.0)</f>
        <v>655</v>
      </c>
    </row>
    <row r="425" ht="15.75" customHeight="1">
      <c r="A425" s="2">
        <f>IFERROR(__xludf.DUMMYFUNCTION("""COMPUTED_VALUE"""),45021.0)</f>
        <v>45021</v>
      </c>
      <c r="B425" s="2" t="str">
        <f>IFERROR(__xludf.DUMMYFUNCTION("""COMPUTED_VALUE"""),"INTOWN/DRUID HILLS ")</f>
        <v>INTOWN/DRUID HILLS </v>
      </c>
      <c r="C425" s="2">
        <f>IFERROR(__xludf.DUMMYFUNCTION("""COMPUTED_VALUE"""),493.0)</f>
        <v>493</v>
      </c>
    </row>
    <row r="426" ht="15.75" customHeight="1">
      <c r="A426" s="2">
        <f>IFERROR(__xludf.DUMMYFUNCTION("""COMPUTED_VALUE"""),45021.0)</f>
        <v>45021</v>
      </c>
      <c r="B426" s="2" t="str">
        <f>IFERROR(__xludf.DUMMYFUNCTION("""COMPUTED_VALUE"""),"SNELLVILLE")</f>
        <v>SNELLVILLE</v>
      </c>
      <c r="C426" s="2">
        <f>IFERROR(__xludf.DUMMYFUNCTION("""COMPUTED_VALUE"""),594.0)</f>
        <v>594</v>
      </c>
    </row>
    <row r="427" ht="15.75" customHeight="1">
      <c r="A427" s="2">
        <f>IFERROR(__xludf.DUMMYFUNCTION("""COMPUTED_VALUE"""),45021.0)</f>
        <v>45021</v>
      </c>
      <c r="B427" s="2" t="str">
        <f>IFERROR(__xludf.DUMMYFUNCTION("""COMPUTED_VALUE"""),"GROUPS")</f>
        <v>GROUPS</v>
      </c>
      <c r="C427" s="2"/>
    </row>
    <row r="428" ht="15.75" customHeight="1">
      <c r="A428" s="2">
        <f>IFERROR(__xludf.DUMMYFUNCTION("""COMPUTED_VALUE"""),45021.0)</f>
        <v>45021</v>
      </c>
      <c r="B428" s="2" t="str">
        <f>IFERROR(__xludf.DUMMYFUNCTION("""COMPUTED_VALUE"""),"Previous Woodstock")</f>
        <v>Previous Woodstock</v>
      </c>
      <c r="C428" s="2"/>
    </row>
    <row r="429" ht="15.75" customHeight="1">
      <c r="A429" s="2">
        <f>IFERROR(__xludf.DUMMYFUNCTION("""COMPUTED_VALUE"""),45021.0)</f>
        <v>45021</v>
      </c>
      <c r="B429" s="2" t="str">
        <f>IFERROR(__xludf.DUMMYFUNCTION("""COMPUTED_VALUE"""),"Previous Lenox/Brookhaven")</f>
        <v>Previous Lenox/Brookhaven</v>
      </c>
      <c r="C429" s="2"/>
    </row>
    <row r="430" ht="15.75" customHeight="1">
      <c r="A430" s="2">
        <f>IFERROR(__xludf.DUMMYFUNCTION("""COMPUTED_VALUE"""),45021.0)</f>
        <v>45021</v>
      </c>
      <c r="B430" s="2" t="str">
        <f>IFERROR(__xludf.DUMMYFUNCTION("""COMPUTED_VALUE"""),"Previous New Chastain")</f>
        <v>Previous New Chastain</v>
      </c>
      <c r="C430" s="2"/>
    </row>
    <row r="431" ht="15.75" customHeight="1">
      <c r="A431" s="2">
        <f>IFERROR(__xludf.DUMMYFUNCTION("""COMPUTED_VALUE"""),45021.0)</f>
        <v>45021</v>
      </c>
      <c r="B431" s="2" t="str">
        <f>IFERROR(__xludf.DUMMYFUNCTION("""COMPUTED_VALUE"""),"Previous Glenwood Park")</f>
        <v>Previous Glenwood Park</v>
      </c>
      <c r="C431" s="2"/>
    </row>
    <row r="432" ht="15.75" customHeight="1">
      <c r="A432" s="2">
        <f>IFERROR(__xludf.DUMMYFUNCTION("""COMPUTED_VALUE"""),45021.0)</f>
        <v>45021</v>
      </c>
      <c r="B432" s="2" t="str">
        <f>IFERROR(__xludf.DUMMYFUNCTION("""COMPUTED_VALUE"""),"FLOWERY BRANCH")</f>
        <v>FLOWERY BRANCH</v>
      </c>
      <c r="C432" s="2">
        <f>IFERROR(__xludf.DUMMYFUNCTION("""COMPUTED_VALUE"""),267.0)</f>
        <v>267</v>
      </c>
    </row>
    <row r="433" ht="15.75" customHeight="1">
      <c r="A433" s="2">
        <f>IFERROR(__xludf.DUMMYFUNCTION("""COMPUTED_VALUE"""),45021.0)</f>
        <v>45021</v>
      </c>
      <c r="B433" s="2" t="str">
        <f>IFERROR(__xludf.DUMMYFUNCTION("""COMPUTED_VALUE"""),"GROUPS ")</f>
        <v>GROUPS </v>
      </c>
      <c r="C433" s="2">
        <f>IFERROR(__xludf.DUMMYFUNCTION("""COMPUTED_VALUE"""),1238.0)</f>
        <v>1238</v>
      </c>
    </row>
    <row r="434" ht="15.75" customHeight="1">
      <c r="A434" s="2">
        <f>IFERROR(__xludf.DUMMYFUNCTION("""COMPUTED_VALUE"""),45021.0)</f>
        <v>45021</v>
      </c>
      <c r="B434" s="2" t="str">
        <f>IFERROR(__xludf.DUMMYFUNCTION("""COMPUTED_VALUE"""),"TOTAL")</f>
        <v>TOTAL</v>
      </c>
      <c r="C434" s="2"/>
    </row>
    <row r="435" ht="15.75" customHeight="1">
      <c r="A435" s="2">
        <f>IFERROR(__xludf.DUMMYFUNCTION("""COMPUTED_VALUE"""),45021.0)</f>
        <v>45021</v>
      </c>
      <c r="B435" s="2" t="str">
        <f>IFERROR(__xludf.DUMMYFUNCTION("""COMPUTED_VALUE"""),"Collective Learning")</f>
        <v>Collective Learning</v>
      </c>
      <c r="C435" s="2"/>
    </row>
    <row r="436" ht="15.75" customHeight="1">
      <c r="A436" s="2">
        <f>IFERROR(__xludf.DUMMYFUNCTION("""COMPUTED_VALUE"""),45021.0)</f>
        <v>45021</v>
      </c>
      <c r="B436" s="2" t="str">
        <f>IFERROR(__xludf.DUMMYFUNCTION("""COMPUTED_VALUE"""),"NOTES")</f>
        <v>NOTES</v>
      </c>
      <c r="C436" s="2"/>
    </row>
    <row r="437" ht="15.75" customHeight="1">
      <c r="A437" s="2">
        <f>IFERROR(__xludf.DUMMYFUNCTION("""COMPUTED_VALUE"""),45028.0)</f>
        <v>45028</v>
      </c>
      <c r="B437" s="2" t="str">
        <f>IFERROR(__xludf.DUMMYFUNCTION("""COMPUTED_VALUE"""),"# of Sandwiches")</f>
        <v># of Sandwiches</v>
      </c>
      <c r="C437" s="2">
        <f>IFERROR(__xludf.DUMMYFUNCTION("""COMPUTED_VALUE"""),6850.0)</f>
        <v>6850</v>
      </c>
    </row>
    <row r="438" ht="15.75" customHeight="1">
      <c r="A438" s="2">
        <f>IFERROR(__xludf.DUMMYFUNCTION("""COMPUTED_VALUE"""),45028.0)</f>
        <v>45028</v>
      </c>
      <c r="B438" s="2" t="str">
        <f>IFERROR(__xludf.DUMMYFUNCTION("""COMPUTED_VALUE"""),"ALPHARETTA")</f>
        <v>ALPHARETTA</v>
      </c>
      <c r="C438" s="2">
        <f>IFERROR(__xludf.DUMMYFUNCTION("""COMPUTED_VALUE"""),1034.0)</f>
        <v>1034</v>
      </c>
    </row>
    <row r="439" ht="15.75" customHeight="1">
      <c r="A439" s="2">
        <f>IFERROR(__xludf.DUMMYFUNCTION("""COMPUTED_VALUE"""),45028.0)</f>
        <v>45028</v>
      </c>
      <c r="B439" s="2" t="str">
        <f>IFERROR(__xludf.DUMMYFUNCTION("""COMPUTED_VALUE"""),"PREVIOUS BUCKHEAD")</f>
        <v>PREVIOUS BUCKHEAD</v>
      </c>
      <c r="C439" s="2">
        <f>IFERROR(__xludf.DUMMYFUNCTION("""COMPUTED_VALUE"""),0.0)</f>
        <v>0</v>
      </c>
    </row>
    <row r="440" ht="15.75" customHeight="1">
      <c r="A440" s="2">
        <f>IFERROR(__xludf.DUMMYFUNCTION("""COMPUTED_VALUE"""),45028.0)</f>
        <v>45028</v>
      </c>
      <c r="B440" s="2" t="str">
        <f>IFERROR(__xludf.DUMMYFUNCTION("""COMPUTED_VALUE"""),"PREVIOUS OAK GROVE")</f>
        <v>PREVIOUS OAK GROVE</v>
      </c>
      <c r="C440" s="2">
        <f>IFERROR(__xludf.DUMMYFUNCTION("""COMPUTED_VALUE"""),0.0)</f>
        <v>0</v>
      </c>
    </row>
    <row r="441" ht="15.75" customHeight="1">
      <c r="A441" s="2">
        <f>IFERROR(__xludf.DUMMYFUNCTION("""COMPUTED_VALUE"""),45028.0)</f>
        <v>45028</v>
      </c>
      <c r="B441" s="2" t="str">
        <f>IFERROR(__xludf.DUMMYFUNCTION("""COMPUTED_VALUE"""),"DUNWOODY/PTC ")</f>
        <v>DUNWOODY/PTC </v>
      </c>
      <c r="C441" s="2">
        <f>IFERROR(__xludf.DUMMYFUNCTION("""COMPUTED_VALUE"""),2344.0)</f>
        <v>2344</v>
      </c>
    </row>
    <row r="442" ht="15.75" customHeight="1">
      <c r="A442" s="2">
        <f>IFERROR(__xludf.DUMMYFUNCTION("""COMPUTED_VALUE"""),45028.0)</f>
        <v>45028</v>
      </c>
      <c r="B442" s="2" t="str">
        <f>IFERROR(__xludf.DUMMYFUNCTION("""COMPUTED_VALUE"""),"E COBB/ROSWELL")</f>
        <v>E COBB/ROSWELL</v>
      </c>
      <c r="C442" s="2">
        <f>IFERROR(__xludf.DUMMYFUNCTION("""COMPUTED_VALUE"""),1078.0)</f>
        <v>1078</v>
      </c>
    </row>
    <row r="443" ht="15.75" customHeight="1">
      <c r="A443" s="2">
        <f>IFERROR(__xludf.DUMMYFUNCTION("""COMPUTED_VALUE"""),45028.0)</f>
        <v>45028</v>
      </c>
      <c r="B443" s="2" t="str">
        <f>IFERROR(__xludf.DUMMYFUNCTION("""COMPUTED_VALUE"""),"DECATUR")</f>
        <v>DECATUR</v>
      </c>
      <c r="C443" s="2">
        <f>IFERROR(__xludf.DUMMYFUNCTION("""COMPUTED_VALUE"""),240.0)</f>
        <v>240</v>
      </c>
    </row>
    <row r="444" ht="15.75" customHeight="1">
      <c r="A444" s="2">
        <f>IFERROR(__xludf.DUMMYFUNCTION("""COMPUTED_VALUE"""),45028.0)</f>
        <v>45028</v>
      </c>
      <c r="B444" s="2" t="str">
        <f>IFERROR(__xludf.DUMMYFUNCTION("""COMPUTED_VALUE"""),"P'TREE CORNERS ")</f>
        <v>P'TREE CORNERS </v>
      </c>
      <c r="C444" s="2"/>
    </row>
    <row r="445" ht="15.75" customHeight="1">
      <c r="A445" s="2">
        <f>IFERROR(__xludf.DUMMYFUNCTION("""COMPUTED_VALUE"""),45028.0)</f>
        <v>45028</v>
      </c>
      <c r="B445" s="2" t="str">
        <f>IFERROR(__xludf.DUMMYFUNCTION("""COMPUTED_VALUE"""),"UGA/Athens")</f>
        <v>UGA/Athens</v>
      </c>
      <c r="C445" s="2"/>
    </row>
    <row r="446" ht="15.75" customHeight="1">
      <c r="A446" s="2">
        <f>IFERROR(__xludf.DUMMYFUNCTION("""COMPUTED_VALUE"""),45028.0)</f>
        <v>45028</v>
      </c>
      <c r="B446" s="2" t="str">
        <f>IFERROR(__xludf.DUMMYFUNCTION("""COMPUTED_VALUE"""),"SANDY SPRINGS ")</f>
        <v>SANDY SPRINGS </v>
      </c>
      <c r="C446" s="2">
        <f>IFERROR(__xludf.DUMMYFUNCTION("""COMPUTED_VALUE"""),747.0)</f>
        <v>747</v>
      </c>
    </row>
    <row r="447" ht="15.75" customHeight="1">
      <c r="A447" s="2">
        <f>IFERROR(__xludf.DUMMYFUNCTION("""COMPUTED_VALUE"""),45028.0)</f>
        <v>45028</v>
      </c>
      <c r="B447" s="2" t="str">
        <f>IFERROR(__xludf.DUMMYFUNCTION("""COMPUTED_VALUE"""),"INTOWN/DRUID HILLS ")</f>
        <v>INTOWN/DRUID HILLS </v>
      </c>
      <c r="C447" s="2">
        <f>IFERROR(__xludf.DUMMYFUNCTION("""COMPUTED_VALUE"""),500.0)</f>
        <v>500</v>
      </c>
    </row>
    <row r="448" ht="15.75" customHeight="1">
      <c r="A448" s="2">
        <f>IFERROR(__xludf.DUMMYFUNCTION("""COMPUTED_VALUE"""),45028.0)</f>
        <v>45028</v>
      </c>
      <c r="B448" s="2" t="str">
        <f>IFERROR(__xludf.DUMMYFUNCTION("""COMPUTED_VALUE"""),"SNELLVILLE")</f>
        <v>SNELLVILLE</v>
      </c>
      <c r="C448" s="2">
        <f>IFERROR(__xludf.DUMMYFUNCTION("""COMPUTED_VALUE"""),107.0)</f>
        <v>107</v>
      </c>
    </row>
    <row r="449" ht="15.75" customHeight="1">
      <c r="A449" s="2">
        <f>IFERROR(__xludf.DUMMYFUNCTION("""COMPUTED_VALUE"""),45028.0)</f>
        <v>45028</v>
      </c>
      <c r="B449" s="2" t="str">
        <f>IFERROR(__xludf.DUMMYFUNCTION("""COMPUTED_VALUE"""),"GROUPS")</f>
        <v>GROUPS</v>
      </c>
      <c r="C449" s="2"/>
    </row>
    <row r="450" ht="15.75" customHeight="1">
      <c r="A450" s="2">
        <f>IFERROR(__xludf.DUMMYFUNCTION("""COMPUTED_VALUE"""),45028.0)</f>
        <v>45028</v>
      </c>
      <c r="B450" s="2" t="str">
        <f>IFERROR(__xludf.DUMMYFUNCTION("""COMPUTED_VALUE"""),"Previous Woodstock")</f>
        <v>Previous Woodstock</v>
      </c>
      <c r="C450" s="2"/>
    </row>
    <row r="451" ht="15.75" customHeight="1">
      <c r="A451" s="2">
        <f>IFERROR(__xludf.DUMMYFUNCTION("""COMPUTED_VALUE"""),45028.0)</f>
        <v>45028</v>
      </c>
      <c r="B451" s="2" t="str">
        <f>IFERROR(__xludf.DUMMYFUNCTION("""COMPUTED_VALUE"""),"Previous Lenox/Brookhaven")</f>
        <v>Previous Lenox/Brookhaven</v>
      </c>
      <c r="C451" s="2"/>
    </row>
    <row r="452" ht="15.75" customHeight="1">
      <c r="A452" s="2">
        <f>IFERROR(__xludf.DUMMYFUNCTION("""COMPUTED_VALUE"""),45028.0)</f>
        <v>45028</v>
      </c>
      <c r="B452" s="2" t="str">
        <f>IFERROR(__xludf.DUMMYFUNCTION("""COMPUTED_VALUE"""),"Previous New Chastain")</f>
        <v>Previous New Chastain</v>
      </c>
      <c r="C452" s="2"/>
    </row>
    <row r="453" ht="15.75" customHeight="1">
      <c r="A453" s="2">
        <f>IFERROR(__xludf.DUMMYFUNCTION("""COMPUTED_VALUE"""),45028.0)</f>
        <v>45028</v>
      </c>
      <c r="B453" s="2" t="str">
        <f>IFERROR(__xludf.DUMMYFUNCTION("""COMPUTED_VALUE"""),"Previous Glenwood Park")</f>
        <v>Previous Glenwood Park</v>
      </c>
      <c r="C453" s="2"/>
    </row>
    <row r="454" ht="15.75" customHeight="1">
      <c r="A454" s="2">
        <f>IFERROR(__xludf.DUMMYFUNCTION("""COMPUTED_VALUE"""),45028.0)</f>
        <v>45028</v>
      </c>
      <c r="B454" s="2" t="str">
        <f>IFERROR(__xludf.DUMMYFUNCTION("""COMPUTED_VALUE"""),"FLOWERY BRANCH")</f>
        <v>FLOWERY BRANCH</v>
      </c>
      <c r="C454" s="2">
        <f>IFERROR(__xludf.DUMMYFUNCTION("""COMPUTED_VALUE"""),300.0)</f>
        <v>300</v>
      </c>
    </row>
    <row r="455" ht="15.75" customHeight="1">
      <c r="A455" s="2">
        <f>IFERROR(__xludf.DUMMYFUNCTION("""COMPUTED_VALUE"""),45028.0)</f>
        <v>45028</v>
      </c>
      <c r="B455" s="2" t="str">
        <f>IFERROR(__xludf.DUMMYFUNCTION("""COMPUTED_VALUE"""),"GROUPS ")</f>
        <v>GROUPS </v>
      </c>
      <c r="C455" s="2">
        <f>IFERROR(__xludf.DUMMYFUNCTION("""COMPUTED_VALUE"""),500.0)</f>
        <v>500</v>
      </c>
    </row>
    <row r="456" ht="15.75" customHeight="1">
      <c r="A456" s="2">
        <f>IFERROR(__xludf.DUMMYFUNCTION("""COMPUTED_VALUE"""),45028.0)</f>
        <v>45028</v>
      </c>
      <c r="B456" s="2" t="str">
        <f>IFERROR(__xludf.DUMMYFUNCTION("""COMPUTED_VALUE"""),"TOTAL")</f>
        <v>TOTAL</v>
      </c>
      <c r="C456" s="2"/>
    </row>
    <row r="457" ht="15.75" customHeight="1">
      <c r="A457" s="2">
        <f>IFERROR(__xludf.DUMMYFUNCTION("""COMPUTED_VALUE"""),45028.0)</f>
        <v>45028</v>
      </c>
      <c r="B457" s="2" t="str">
        <f>IFERROR(__xludf.DUMMYFUNCTION("""COMPUTED_VALUE"""),"Collective Learning")</f>
        <v>Collective Learning</v>
      </c>
      <c r="C457" s="2"/>
    </row>
    <row r="458" ht="15.75" customHeight="1">
      <c r="A458" s="2">
        <f>IFERROR(__xludf.DUMMYFUNCTION("""COMPUTED_VALUE"""),45028.0)</f>
        <v>45028</v>
      </c>
      <c r="B458" s="2" t="str">
        <f>IFERROR(__xludf.DUMMYFUNCTION("""COMPUTED_VALUE"""),"NOTES")</f>
        <v>NOTES</v>
      </c>
      <c r="C458" s="2"/>
    </row>
    <row r="459" ht="15.75" customHeight="1">
      <c r="A459" s="2">
        <f>IFERROR(__xludf.DUMMYFUNCTION("""COMPUTED_VALUE"""),45035.0)</f>
        <v>45035</v>
      </c>
      <c r="B459" s="2" t="str">
        <f>IFERROR(__xludf.DUMMYFUNCTION("""COMPUTED_VALUE"""),"# of Sandwiches")</f>
        <v># of Sandwiches</v>
      </c>
      <c r="C459" s="2">
        <f>IFERROR(__xludf.DUMMYFUNCTION("""COMPUTED_VALUE"""),14032.0)</f>
        <v>14032</v>
      </c>
    </row>
    <row r="460" ht="15.75" customHeight="1">
      <c r="A460" s="2">
        <f>IFERROR(__xludf.DUMMYFUNCTION("""COMPUTED_VALUE"""),45035.0)</f>
        <v>45035</v>
      </c>
      <c r="B460" s="2" t="str">
        <f>IFERROR(__xludf.DUMMYFUNCTION("""COMPUTED_VALUE"""),"ALPHARETTA")</f>
        <v>ALPHARETTA</v>
      </c>
      <c r="C460" s="2">
        <f>IFERROR(__xludf.DUMMYFUNCTION("""COMPUTED_VALUE"""),1956.0)</f>
        <v>1956</v>
      </c>
    </row>
    <row r="461" ht="15.75" customHeight="1">
      <c r="A461" s="2">
        <f>IFERROR(__xludf.DUMMYFUNCTION("""COMPUTED_VALUE"""),45035.0)</f>
        <v>45035</v>
      </c>
      <c r="B461" s="2" t="str">
        <f>IFERROR(__xludf.DUMMYFUNCTION("""COMPUTED_VALUE"""),"PREVIOUS BUCKHEAD")</f>
        <v>PREVIOUS BUCKHEAD</v>
      </c>
      <c r="C461" s="2">
        <f>IFERROR(__xludf.DUMMYFUNCTION("""COMPUTED_VALUE"""),0.0)</f>
        <v>0</v>
      </c>
    </row>
    <row r="462" ht="15.75" customHeight="1">
      <c r="A462" s="2">
        <f>IFERROR(__xludf.DUMMYFUNCTION("""COMPUTED_VALUE"""),45035.0)</f>
        <v>45035</v>
      </c>
      <c r="B462" s="2" t="str">
        <f>IFERROR(__xludf.DUMMYFUNCTION("""COMPUTED_VALUE"""),"PREVIOUS OAK GROVE")</f>
        <v>PREVIOUS OAK GROVE</v>
      </c>
      <c r="C462" s="2">
        <f>IFERROR(__xludf.DUMMYFUNCTION("""COMPUTED_VALUE"""),0.0)</f>
        <v>0</v>
      </c>
    </row>
    <row r="463" ht="15.75" customHeight="1">
      <c r="A463" s="2">
        <f>IFERROR(__xludf.DUMMYFUNCTION("""COMPUTED_VALUE"""),45035.0)</f>
        <v>45035</v>
      </c>
      <c r="B463" s="2" t="str">
        <f>IFERROR(__xludf.DUMMYFUNCTION("""COMPUTED_VALUE"""),"DUNWOODY/PTC ")</f>
        <v>DUNWOODY/PTC </v>
      </c>
      <c r="C463" s="2">
        <f>IFERROR(__xludf.DUMMYFUNCTION("""COMPUTED_VALUE"""),2946.0)</f>
        <v>2946</v>
      </c>
    </row>
    <row r="464" ht="15.75" customHeight="1">
      <c r="A464" s="2">
        <f>IFERROR(__xludf.DUMMYFUNCTION("""COMPUTED_VALUE"""),45035.0)</f>
        <v>45035</v>
      </c>
      <c r="B464" s="2" t="str">
        <f>IFERROR(__xludf.DUMMYFUNCTION("""COMPUTED_VALUE"""),"E COBB/ROSWELL")</f>
        <v>E COBB/ROSWELL</v>
      </c>
      <c r="C464" s="2">
        <f>IFERROR(__xludf.DUMMYFUNCTION("""COMPUTED_VALUE"""),1968.0)</f>
        <v>1968</v>
      </c>
    </row>
    <row r="465" ht="15.75" customHeight="1">
      <c r="A465" s="2">
        <f>IFERROR(__xludf.DUMMYFUNCTION("""COMPUTED_VALUE"""),45035.0)</f>
        <v>45035</v>
      </c>
      <c r="B465" s="2" t="str">
        <f>IFERROR(__xludf.DUMMYFUNCTION("""COMPUTED_VALUE"""),"DECATUR")</f>
        <v>DECATUR</v>
      </c>
      <c r="C465" s="2">
        <f>IFERROR(__xludf.DUMMYFUNCTION("""COMPUTED_VALUE"""),93.0)</f>
        <v>93</v>
      </c>
    </row>
    <row r="466" ht="15.75" customHeight="1">
      <c r="A466" s="2">
        <f>IFERROR(__xludf.DUMMYFUNCTION("""COMPUTED_VALUE"""),45035.0)</f>
        <v>45035</v>
      </c>
      <c r="B466" s="2" t="str">
        <f>IFERROR(__xludf.DUMMYFUNCTION("""COMPUTED_VALUE"""),"P'TREE CORNERS ")</f>
        <v>P'TREE CORNERS </v>
      </c>
      <c r="C466" s="2"/>
    </row>
    <row r="467" ht="15.75" customHeight="1">
      <c r="A467" s="2">
        <f>IFERROR(__xludf.DUMMYFUNCTION("""COMPUTED_VALUE"""),45035.0)</f>
        <v>45035</v>
      </c>
      <c r="B467" s="2" t="str">
        <f>IFERROR(__xludf.DUMMYFUNCTION("""COMPUTED_VALUE"""),"UGA/Athens")</f>
        <v>UGA/Athens</v>
      </c>
      <c r="C467" s="2"/>
    </row>
    <row r="468" ht="15.75" customHeight="1">
      <c r="A468" s="2">
        <f>IFERROR(__xludf.DUMMYFUNCTION("""COMPUTED_VALUE"""),45035.0)</f>
        <v>45035</v>
      </c>
      <c r="B468" s="2" t="str">
        <f>IFERROR(__xludf.DUMMYFUNCTION("""COMPUTED_VALUE"""),"SANDY SPRINGS ")</f>
        <v>SANDY SPRINGS </v>
      </c>
      <c r="C468" s="2">
        <f>IFERROR(__xludf.DUMMYFUNCTION("""COMPUTED_VALUE"""),938.0)</f>
        <v>938</v>
      </c>
    </row>
    <row r="469" ht="15.75" customHeight="1">
      <c r="A469" s="2">
        <f>IFERROR(__xludf.DUMMYFUNCTION("""COMPUTED_VALUE"""),45035.0)</f>
        <v>45035</v>
      </c>
      <c r="B469" s="2" t="str">
        <f>IFERROR(__xludf.DUMMYFUNCTION("""COMPUTED_VALUE"""),"INTOWN/DRUID HILLS ")</f>
        <v>INTOWN/DRUID HILLS </v>
      </c>
      <c r="C469" s="2">
        <f>IFERROR(__xludf.DUMMYFUNCTION("""COMPUTED_VALUE"""),377.0)</f>
        <v>377</v>
      </c>
    </row>
    <row r="470" ht="15.75" customHeight="1">
      <c r="A470" s="2">
        <f>IFERROR(__xludf.DUMMYFUNCTION("""COMPUTED_VALUE"""),45035.0)</f>
        <v>45035</v>
      </c>
      <c r="B470" s="2" t="str">
        <f>IFERROR(__xludf.DUMMYFUNCTION("""COMPUTED_VALUE"""),"SNELLVILLE")</f>
        <v>SNELLVILLE</v>
      </c>
      <c r="C470" s="2">
        <f>IFERROR(__xludf.DUMMYFUNCTION("""COMPUTED_VALUE"""),239.0)</f>
        <v>239</v>
      </c>
    </row>
    <row r="471" ht="15.75" customHeight="1">
      <c r="A471" s="2">
        <f>IFERROR(__xludf.DUMMYFUNCTION("""COMPUTED_VALUE"""),45035.0)</f>
        <v>45035</v>
      </c>
      <c r="B471" s="2" t="str">
        <f>IFERROR(__xludf.DUMMYFUNCTION("""COMPUTED_VALUE"""),"GROUPS")</f>
        <v>GROUPS</v>
      </c>
      <c r="C471" s="2"/>
    </row>
    <row r="472" ht="15.75" customHeight="1">
      <c r="A472" s="2">
        <f>IFERROR(__xludf.DUMMYFUNCTION("""COMPUTED_VALUE"""),45035.0)</f>
        <v>45035</v>
      </c>
      <c r="B472" s="2" t="str">
        <f>IFERROR(__xludf.DUMMYFUNCTION("""COMPUTED_VALUE"""),"Previous Woodstock")</f>
        <v>Previous Woodstock</v>
      </c>
      <c r="C472" s="2"/>
    </row>
    <row r="473" ht="15.75" customHeight="1">
      <c r="A473" s="2">
        <f>IFERROR(__xludf.DUMMYFUNCTION("""COMPUTED_VALUE"""),45035.0)</f>
        <v>45035</v>
      </c>
      <c r="B473" s="2" t="str">
        <f>IFERROR(__xludf.DUMMYFUNCTION("""COMPUTED_VALUE"""),"Previous Lenox/Brookhaven")</f>
        <v>Previous Lenox/Brookhaven</v>
      </c>
      <c r="C473" s="2"/>
    </row>
    <row r="474" ht="15.75" customHeight="1">
      <c r="A474" s="2">
        <f>IFERROR(__xludf.DUMMYFUNCTION("""COMPUTED_VALUE"""),45035.0)</f>
        <v>45035</v>
      </c>
      <c r="B474" s="2" t="str">
        <f>IFERROR(__xludf.DUMMYFUNCTION("""COMPUTED_VALUE"""),"Previous New Chastain")</f>
        <v>Previous New Chastain</v>
      </c>
      <c r="C474" s="2"/>
    </row>
    <row r="475" ht="15.75" customHeight="1">
      <c r="A475" s="2">
        <f>IFERROR(__xludf.DUMMYFUNCTION("""COMPUTED_VALUE"""),45035.0)</f>
        <v>45035</v>
      </c>
      <c r="B475" s="2" t="str">
        <f>IFERROR(__xludf.DUMMYFUNCTION("""COMPUTED_VALUE"""),"Previous Glenwood Park")</f>
        <v>Previous Glenwood Park</v>
      </c>
      <c r="C475" s="2"/>
    </row>
    <row r="476" ht="15.75" customHeight="1">
      <c r="A476" s="2">
        <f>IFERROR(__xludf.DUMMYFUNCTION("""COMPUTED_VALUE"""),45035.0)</f>
        <v>45035</v>
      </c>
      <c r="B476" s="2" t="str">
        <f>IFERROR(__xludf.DUMMYFUNCTION("""COMPUTED_VALUE"""),"FLOWERY BRANCH")</f>
        <v>FLOWERY BRANCH</v>
      </c>
      <c r="C476" s="2">
        <f>IFERROR(__xludf.DUMMYFUNCTION("""COMPUTED_VALUE"""),496.0)</f>
        <v>496</v>
      </c>
    </row>
    <row r="477" ht="15.75" customHeight="1">
      <c r="A477" s="2">
        <f>IFERROR(__xludf.DUMMYFUNCTION("""COMPUTED_VALUE"""),45035.0)</f>
        <v>45035</v>
      </c>
      <c r="B477" s="2" t="str">
        <f>IFERROR(__xludf.DUMMYFUNCTION("""COMPUTED_VALUE"""),"GROUPS ")</f>
        <v>GROUPS </v>
      </c>
      <c r="C477" s="2">
        <f>IFERROR(__xludf.DUMMYFUNCTION("""COMPUTED_VALUE"""),5019.0)</f>
        <v>5019</v>
      </c>
    </row>
    <row r="478" ht="15.75" customHeight="1">
      <c r="A478" s="2">
        <f>IFERROR(__xludf.DUMMYFUNCTION("""COMPUTED_VALUE"""),45035.0)</f>
        <v>45035</v>
      </c>
      <c r="B478" s="2" t="str">
        <f>IFERROR(__xludf.DUMMYFUNCTION("""COMPUTED_VALUE"""),"TOTAL")</f>
        <v>TOTAL</v>
      </c>
      <c r="C478" s="2"/>
    </row>
    <row r="479" ht="15.75" customHeight="1">
      <c r="A479" s="2">
        <f>IFERROR(__xludf.DUMMYFUNCTION("""COMPUTED_VALUE"""),45035.0)</f>
        <v>45035</v>
      </c>
      <c r="B479" s="2" t="str">
        <f>IFERROR(__xludf.DUMMYFUNCTION("""COMPUTED_VALUE"""),"Collective Learning")</f>
        <v>Collective Learning</v>
      </c>
      <c r="C479" s="2"/>
    </row>
    <row r="480" ht="15.75" customHeight="1">
      <c r="A480" s="2">
        <f>IFERROR(__xludf.DUMMYFUNCTION("""COMPUTED_VALUE"""),45035.0)</f>
        <v>45035</v>
      </c>
      <c r="B480" s="2" t="str">
        <f>IFERROR(__xludf.DUMMYFUNCTION("""COMPUTED_VALUE"""),"NOTES")</f>
        <v>NOTES</v>
      </c>
      <c r="C480" s="2"/>
    </row>
    <row r="481" ht="15.75" customHeight="1">
      <c r="A481" s="2">
        <f>IFERROR(__xludf.DUMMYFUNCTION("""COMPUTED_VALUE"""),45042.0)</f>
        <v>45042</v>
      </c>
      <c r="B481" s="2" t="str">
        <f>IFERROR(__xludf.DUMMYFUNCTION("""COMPUTED_VALUE"""),"# of Sandwiches")</f>
        <v># of Sandwiches</v>
      </c>
      <c r="C481" s="2">
        <f>IFERROR(__xludf.DUMMYFUNCTION("""COMPUTED_VALUE"""),11396.0)</f>
        <v>11396</v>
      </c>
    </row>
    <row r="482" ht="15.75" customHeight="1">
      <c r="A482" s="2">
        <f>IFERROR(__xludf.DUMMYFUNCTION("""COMPUTED_VALUE"""),45042.0)</f>
        <v>45042</v>
      </c>
      <c r="B482" s="2" t="str">
        <f>IFERROR(__xludf.DUMMYFUNCTION("""COMPUTED_VALUE"""),"ALPHARETTA")</f>
        <v>ALPHARETTA</v>
      </c>
      <c r="C482" s="2">
        <f>IFERROR(__xludf.DUMMYFUNCTION("""COMPUTED_VALUE"""),1077.0)</f>
        <v>1077</v>
      </c>
    </row>
    <row r="483" ht="15.75" customHeight="1">
      <c r="A483" s="2">
        <f>IFERROR(__xludf.DUMMYFUNCTION("""COMPUTED_VALUE"""),45042.0)</f>
        <v>45042</v>
      </c>
      <c r="B483" s="2" t="str">
        <f>IFERROR(__xludf.DUMMYFUNCTION("""COMPUTED_VALUE"""),"PREVIOUS BUCKHEAD")</f>
        <v>PREVIOUS BUCKHEAD</v>
      </c>
      <c r="C483" s="2"/>
    </row>
    <row r="484" ht="15.75" customHeight="1">
      <c r="A484" s="2">
        <f>IFERROR(__xludf.DUMMYFUNCTION("""COMPUTED_VALUE"""),45042.0)</f>
        <v>45042</v>
      </c>
      <c r="B484" s="2" t="str">
        <f>IFERROR(__xludf.DUMMYFUNCTION("""COMPUTED_VALUE"""),"PREVIOUS OAK GROVE")</f>
        <v>PREVIOUS OAK GROVE</v>
      </c>
      <c r="C484" s="2"/>
    </row>
    <row r="485" ht="15.75" customHeight="1">
      <c r="A485" s="2">
        <f>IFERROR(__xludf.DUMMYFUNCTION("""COMPUTED_VALUE"""),45042.0)</f>
        <v>45042</v>
      </c>
      <c r="B485" s="2" t="str">
        <f>IFERROR(__xludf.DUMMYFUNCTION("""COMPUTED_VALUE"""),"DUNWOODY/PTC ")</f>
        <v>DUNWOODY/PTC </v>
      </c>
      <c r="C485" s="2">
        <f>IFERROR(__xludf.DUMMYFUNCTION("""COMPUTED_VALUE"""),4789.0)</f>
        <v>4789</v>
      </c>
    </row>
    <row r="486" ht="15.75" customHeight="1">
      <c r="A486" s="2">
        <f>IFERROR(__xludf.DUMMYFUNCTION("""COMPUTED_VALUE"""),45042.0)</f>
        <v>45042</v>
      </c>
      <c r="B486" s="2" t="str">
        <f>IFERROR(__xludf.DUMMYFUNCTION("""COMPUTED_VALUE"""),"E COBB/ROSWELL")</f>
        <v>E COBB/ROSWELL</v>
      </c>
      <c r="C486" s="2">
        <f>IFERROR(__xludf.DUMMYFUNCTION("""COMPUTED_VALUE"""),1034.0)</f>
        <v>1034</v>
      </c>
    </row>
    <row r="487" ht="15.75" customHeight="1">
      <c r="A487" s="2">
        <f>IFERROR(__xludf.DUMMYFUNCTION("""COMPUTED_VALUE"""),45042.0)</f>
        <v>45042</v>
      </c>
      <c r="B487" s="2" t="str">
        <f>IFERROR(__xludf.DUMMYFUNCTION("""COMPUTED_VALUE"""),"DECATUR")</f>
        <v>DECATUR</v>
      </c>
      <c r="C487" s="2">
        <f>IFERROR(__xludf.DUMMYFUNCTION("""COMPUTED_VALUE"""),232.0)</f>
        <v>232</v>
      </c>
    </row>
    <row r="488" ht="15.75" customHeight="1">
      <c r="A488" s="2">
        <f>IFERROR(__xludf.DUMMYFUNCTION("""COMPUTED_VALUE"""),45042.0)</f>
        <v>45042</v>
      </c>
      <c r="B488" s="2" t="str">
        <f>IFERROR(__xludf.DUMMYFUNCTION("""COMPUTED_VALUE"""),"P'TREE CORNERS ")</f>
        <v>P'TREE CORNERS </v>
      </c>
      <c r="C488" s="2"/>
    </row>
    <row r="489" ht="15.75" customHeight="1">
      <c r="A489" s="2">
        <f>IFERROR(__xludf.DUMMYFUNCTION("""COMPUTED_VALUE"""),45042.0)</f>
        <v>45042</v>
      </c>
      <c r="B489" s="2" t="str">
        <f>IFERROR(__xludf.DUMMYFUNCTION("""COMPUTED_VALUE"""),"UGA/Athens")</f>
        <v>UGA/Athens</v>
      </c>
      <c r="C489" s="2"/>
    </row>
    <row r="490" ht="15.75" customHeight="1">
      <c r="A490" s="2">
        <f>IFERROR(__xludf.DUMMYFUNCTION("""COMPUTED_VALUE"""),45042.0)</f>
        <v>45042</v>
      </c>
      <c r="B490" s="2" t="str">
        <f>IFERROR(__xludf.DUMMYFUNCTION("""COMPUTED_VALUE"""),"SANDY SPRINGS ")</f>
        <v>SANDY SPRINGS </v>
      </c>
      <c r="C490" s="2">
        <f>IFERROR(__xludf.DUMMYFUNCTION("""COMPUTED_VALUE"""),1263.0)</f>
        <v>1263</v>
      </c>
    </row>
    <row r="491" ht="15.75" customHeight="1">
      <c r="A491" s="2">
        <f>IFERROR(__xludf.DUMMYFUNCTION("""COMPUTED_VALUE"""),45042.0)</f>
        <v>45042</v>
      </c>
      <c r="B491" s="2" t="str">
        <f>IFERROR(__xludf.DUMMYFUNCTION("""COMPUTED_VALUE"""),"INTOWN/DRUID HILLS ")</f>
        <v>INTOWN/DRUID HILLS </v>
      </c>
      <c r="C491" s="2">
        <f>IFERROR(__xludf.DUMMYFUNCTION("""COMPUTED_VALUE"""),531.0)</f>
        <v>531</v>
      </c>
    </row>
    <row r="492" ht="15.75" customHeight="1">
      <c r="A492" s="2">
        <f>IFERROR(__xludf.DUMMYFUNCTION("""COMPUTED_VALUE"""),45042.0)</f>
        <v>45042</v>
      </c>
      <c r="B492" s="2" t="str">
        <f>IFERROR(__xludf.DUMMYFUNCTION("""COMPUTED_VALUE"""),"SNELLVILLE")</f>
        <v>SNELLVILLE</v>
      </c>
      <c r="C492" s="2">
        <f>IFERROR(__xludf.DUMMYFUNCTION("""COMPUTED_VALUE"""),190.0)</f>
        <v>190</v>
      </c>
    </row>
    <row r="493" ht="15.75" customHeight="1">
      <c r="A493" s="2">
        <f>IFERROR(__xludf.DUMMYFUNCTION("""COMPUTED_VALUE"""),45042.0)</f>
        <v>45042</v>
      </c>
      <c r="B493" s="2" t="str">
        <f>IFERROR(__xludf.DUMMYFUNCTION("""COMPUTED_VALUE"""),"GROUPS")</f>
        <v>GROUPS</v>
      </c>
      <c r="C493" s="2"/>
    </row>
    <row r="494" ht="15.75" customHeight="1">
      <c r="A494" s="2">
        <f>IFERROR(__xludf.DUMMYFUNCTION("""COMPUTED_VALUE"""),45042.0)</f>
        <v>45042</v>
      </c>
      <c r="B494" s="2" t="str">
        <f>IFERROR(__xludf.DUMMYFUNCTION("""COMPUTED_VALUE"""),"Previous Woodstock")</f>
        <v>Previous Woodstock</v>
      </c>
      <c r="C494" s="2"/>
    </row>
    <row r="495" ht="15.75" customHeight="1">
      <c r="A495" s="2">
        <f>IFERROR(__xludf.DUMMYFUNCTION("""COMPUTED_VALUE"""),45042.0)</f>
        <v>45042</v>
      </c>
      <c r="B495" s="2" t="str">
        <f>IFERROR(__xludf.DUMMYFUNCTION("""COMPUTED_VALUE"""),"Previous Lenox/Brookhaven")</f>
        <v>Previous Lenox/Brookhaven</v>
      </c>
      <c r="C495" s="2"/>
    </row>
    <row r="496" ht="15.75" customHeight="1">
      <c r="A496" s="2">
        <f>IFERROR(__xludf.DUMMYFUNCTION("""COMPUTED_VALUE"""),45042.0)</f>
        <v>45042</v>
      </c>
      <c r="B496" s="2" t="str">
        <f>IFERROR(__xludf.DUMMYFUNCTION("""COMPUTED_VALUE"""),"Previous New Chastain")</f>
        <v>Previous New Chastain</v>
      </c>
      <c r="C496" s="2"/>
    </row>
    <row r="497" ht="15.75" customHeight="1">
      <c r="A497" s="2">
        <f>IFERROR(__xludf.DUMMYFUNCTION("""COMPUTED_VALUE"""),45042.0)</f>
        <v>45042</v>
      </c>
      <c r="B497" s="2" t="str">
        <f>IFERROR(__xludf.DUMMYFUNCTION("""COMPUTED_VALUE"""),"Previous Glenwood Park")</f>
        <v>Previous Glenwood Park</v>
      </c>
      <c r="C497" s="2"/>
    </row>
    <row r="498" ht="15.75" customHeight="1">
      <c r="A498" s="2">
        <f>IFERROR(__xludf.DUMMYFUNCTION("""COMPUTED_VALUE"""),45042.0)</f>
        <v>45042</v>
      </c>
      <c r="B498" s="2" t="str">
        <f>IFERROR(__xludf.DUMMYFUNCTION("""COMPUTED_VALUE"""),"FLOWERY BRANCH")</f>
        <v>FLOWERY BRANCH</v>
      </c>
      <c r="C498" s="2">
        <f>IFERROR(__xludf.DUMMYFUNCTION("""COMPUTED_VALUE"""),374.0)</f>
        <v>374</v>
      </c>
    </row>
    <row r="499" ht="15.75" customHeight="1">
      <c r="A499" s="2">
        <f>IFERROR(__xludf.DUMMYFUNCTION("""COMPUTED_VALUE"""),45042.0)</f>
        <v>45042</v>
      </c>
      <c r="B499" s="2" t="str">
        <f>IFERROR(__xludf.DUMMYFUNCTION("""COMPUTED_VALUE"""),"GROUPS ")</f>
        <v>GROUPS </v>
      </c>
      <c r="C499" s="2">
        <f>IFERROR(__xludf.DUMMYFUNCTION("""COMPUTED_VALUE"""),1906.0)</f>
        <v>1906</v>
      </c>
    </row>
    <row r="500" ht="15.75" customHeight="1">
      <c r="A500" s="2">
        <f>IFERROR(__xludf.DUMMYFUNCTION("""COMPUTED_VALUE"""),45042.0)</f>
        <v>45042</v>
      </c>
      <c r="B500" s="2" t="str">
        <f>IFERROR(__xludf.DUMMYFUNCTION("""COMPUTED_VALUE"""),"TOTAL")</f>
        <v>TOTAL</v>
      </c>
      <c r="C500" s="2"/>
    </row>
    <row r="501" ht="15.75" customHeight="1">
      <c r="A501" s="2">
        <f>IFERROR(__xludf.DUMMYFUNCTION("""COMPUTED_VALUE"""),45042.0)</f>
        <v>45042</v>
      </c>
      <c r="B501" s="2" t="str">
        <f>IFERROR(__xludf.DUMMYFUNCTION("""COMPUTED_VALUE"""),"Collective Learning")</f>
        <v>Collective Learning</v>
      </c>
      <c r="C501" s="2"/>
    </row>
    <row r="502" ht="15.75" customHeight="1">
      <c r="A502" s="2">
        <f>IFERROR(__xludf.DUMMYFUNCTION("""COMPUTED_VALUE"""),45042.0)</f>
        <v>45042</v>
      </c>
      <c r="B502" s="2" t="str">
        <f>IFERROR(__xludf.DUMMYFUNCTION("""COMPUTED_VALUE"""),"NOTES")</f>
        <v>NOTES</v>
      </c>
      <c r="C502" s="2"/>
    </row>
    <row r="503" ht="15.75" customHeight="1">
      <c r="A503" s="2">
        <f>IFERROR(__xludf.DUMMYFUNCTION("""COMPUTED_VALUE"""),45049.0)</f>
        <v>45049</v>
      </c>
      <c r="B503" s="2" t="str">
        <f>IFERROR(__xludf.DUMMYFUNCTION("""COMPUTED_VALUE"""),"# of Sandwiches")</f>
        <v># of Sandwiches</v>
      </c>
      <c r="C503" s="2">
        <f>IFERROR(__xludf.DUMMYFUNCTION("""COMPUTED_VALUE"""),8035.0)</f>
        <v>8035</v>
      </c>
    </row>
    <row r="504" ht="15.75" customHeight="1">
      <c r="A504" s="2">
        <f>IFERROR(__xludf.DUMMYFUNCTION("""COMPUTED_VALUE"""),45049.0)</f>
        <v>45049</v>
      </c>
      <c r="B504" s="2" t="str">
        <f>IFERROR(__xludf.DUMMYFUNCTION("""COMPUTED_VALUE"""),"ALPHARETTA")</f>
        <v>ALPHARETTA</v>
      </c>
      <c r="C504" s="2">
        <f>IFERROR(__xludf.DUMMYFUNCTION("""COMPUTED_VALUE"""),1091.0)</f>
        <v>1091</v>
      </c>
    </row>
    <row r="505" ht="15.75" customHeight="1">
      <c r="A505" s="2">
        <f>IFERROR(__xludf.DUMMYFUNCTION("""COMPUTED_VALUE"""),45049.0)</f>
        <v>45049</v>
      </c>
      <c r="B505" s="2" t="str">
        <f>IFERROR(__xludf.DUMMYFUNCTION("""COMPUTED_VALUE"""),"PREVIOUS BUCKHEAD")</f>
        <v>PREVIOUS BUCKHEAD</v>
      </c>
      <c r="C505" s="2"/>
    </row>
    <row r="506" ht="15.75" customHeight="1">
      <c r="A506" s="2">
        <f>IFERROR(__xludf.DUMMYFUNCTION("""COMPUTED_VALUE"""),45049.0)</f>
        <v>45049</v>
      </c>
      <c r="B506" s="2" t="str">
        <f>IFERROR(__xludf.DUMMYFUNCTION("""COMPUTED_VALUE"""),"PREVIOUS OAK GROVE")</f>
        <v>PREVIOUS OAK GROVE</v>
      </c>
      <c r="C506" s="2"/>
    </row>
    <row r="507" ht="15.75" customHeight="1">
      <c r="A507" s="2">
        <f>IFERROR(__xludf.DUMMYFUNCTION("""COMPUTED_VALUE"""),45049.0)</f>
        <v>45049</v>
      </c>
      <c r="B507" s="2" t="str">
        <f>IFERROR(__xludf.DUMMYFUNCTION("""COMPUTED_VALUE"""),"DUNWOODY/PTC ")</f>
        <v>DUNWOODY/PTC </v>
      </c>
      <c r="C507" s="2">
        <f>IFERROR(__xludf.DUMMYFUNCTION("""COMPUTED_VALUE"""),2875.0)</f>
        <v>2875</v>
      </c>
    </row>
    <row r="508" ht="15.75" customHeight="1">
      <c r="A508" s="2">
        <f>IFERROR(__xludf.DUMMYFUNCTION("""COMPUTED_VALUE"""),45049.0)</f>
        <v>45049</v>
      </c>
      <c r="B508" s="2" t="str">
        <f>IFERROR(__xludf.DUMMYFUNCTION("""COMPUTED_VALUE"""),"E COBB/ROSWELL")</f>
        <v>E COBB/ROSWELL</v>
      </c>
      <c r="C508" s="2">
        <f>IFERROR(__xludf.DUMMYFUNCTION("""COMPUTED_VALUE"""),1646.0)</f>
        <v>1646</v>
      </c>
    </row>
    <row r="509" ht="15.75" customHeight="1">
      <c r="A509" s="2">
        <f>IFERROR(__xludf.DUMMYFUNCTION("""COMPUTED_VALUE"""),45049.0)</f>
        <v>45049</v>
      </c>
      <c r="B509" s="2" t="str">
        <f>IFERROR(__xludf.DUMMYFUNCTION("""COMPUTED_VALUE"""),"DECATUR")</f>
        <v>DECATUR</v>
      </c>
      <c r="C509" s="2">
        <f>IFERROR(__xludf.DUMMYFUNCTION("""COMPUTED_VALUE"""),222.0)</f>
        <v>222</v>
      </c>
    </row>
    <row r="510" ht="15.75" customHeight="1">
      <c r="A510" s="2">
        <f>IFERROR(__xludf.DUMMYFUNCTION("""COMPUTED_VALUE"""),45049.0)</f>
        <v>45049</v>
      </c>
      <c r="B510" s="2" t="str">
        <f>IFERROR(__xludf.DUMMYFUNCTION("""COMPUTED_VALUE"""),"P'TREE CORNERS ")</f>
        <v>P'TREE CORNERS </v>
      </c>
      <c r="C510" s="2"/>
    </row>
    <row r="511" ht="15.75" customHeight="1">
      <c r="A511" s="2">
        <f>IFERROR(__xludf.DUMMYFUNCTION("""COMPUTED_VALUE"""),45049.0)</f>
        <v>45049</v>
      </c>
      <c r="B511" s="2" t="str">
        <f>IFERROR(__xludf.DUMMYFUNCTION("""COMPUTED_VALUE"""),"UGA/Athens")</f>
        <v>UGA/Athens</v>
      </c>
      <c r="C511" s="2"/>
    </row>
    <row r="512" ht="15.75" customHeight="1">
      <c r="A512" s="2">
        <f>IFERROR(__xludf.DUMMYFUNCTION("""COMPUTED_VALUE"""),45049.0)</f>
        <v>45049</v>
      </c>
      <c r="B512" s="2" t="str">
        <f>IFERROR(__xludf.DUMMYFUNCTION("""COMPUTED_VALUE"""),"SANDY SPRINGS ")</f>
        <v>SANDY SPRINGS </v>
      </c>
      <c r="C512" s="2">
        <f>IFERROR(__xludf.DUMMYFUNCTION("""COMPUTED_VALUE"""),720.0)</f>
        <v>720</v>
      </c>
    </row>
    <row r="513" ht="15.75" customHeight="1">
      <c r="A513" s="2">
        <f>IFERROR(__xludf.DUMMYFUNCTION("""COMPUTED_VALUE"""),45049.0)</f>
        <v>45049</v>
      </c>
      <c r="B513" s="2" t="str">
        <f>IFERROR(__xludf.DUMMYFUNCTION("""COMPUTED_VALUE"""),"INTOWN/DRUID HILLS ")</f>
        <v>INTOWN/DRUID HILLS </v>
      </c>
      <c r="C513" s="2">
        <f>IFERROR(__xludf.DUMMYFUNCTION("""COMPUTED_VALUE"""),450.0)</f>
        <v>450</v>
      </c>
    </row>
    <row r="514" ht="15.75" customHeight="1">
      <c r="A514" s="2">
        <f>IFERROR(__xludf.DUMMYFUNCTION("""COMPUTED_VALUE"""),45049.0)</f>
        <v>45049</v>
      </c>
      <c r="B514" s="2" t="str">
        <f>IFERROR(__xludf.DUMMYFUNCTION("""COMPUTED_VALUE"""),"SNELLVILLE")</f>
        <v>SNELLVILLE</v>
      </c>
      <c r="C514" s="2">
        <f>IFERROR(__xludf.DUMMYFUNCTION("""COMPUTED_VALUE"""),84.0)</f>
        <v>84</v>
      </c>
    </row>
    <row r="515" ht="15.75" customHeight="1">
      <c r="A515" s="2">
        <f>IFERROR(__xludf.DUMMYFUNCTION("""COMPUTED_VALUE"""),45049.0)</f>
        <v>45049</v>
      </c>
      <c r="B515" s="2" t="str">
        <f>IFERROR(__xludf.DUMMYFUNCTION("""COMPUTED_VALUE"""),"GROUPS")</f>
        <v>GROUPS</v>
      </c>
      <c r="C515" s="2"/>
    </row>
    <row r="516" ht="15.75" customHeight="1">
      <c r="A516" s="2">
        <f>IFERROR(__xludf.DUMMYFUNCTION("""COMPUTED_VALUE"""),45049.0)</f>
        <v>45049</v>
      </c>
      <c r="B516" s="2" t="str">
        <f>IFERROR(__xludf.DUMMYFUNCTION("""COMPUTED_VALUE"""),"Previous Woodstock")</f>
        <v>Previous Woodstock</v>
      </c>
      <c r="C516" s="2"/>
    </row>
    <row r="517" ht="15.75" customHeight="1">
      <c r="A517" s="2">
        <f>IFERROR(__xludf.DUMMYFUNCTION("""COMPUTED_VALUE"""),45049.0)</f>
        <v>45049</v>
      </c>
      <c r="B517" s="2" t="str">
        <f>IFERROR(__xludf.DUMMYFUNCTION("""COMPUTED_VALUE"""),"Previous Lenox/Brookhaven")</f>
        <v>Previous Lenox/Brookhaven</v>
      </c>
      <c r="C517" s="2"/>
    </row>
    <row r="518" ht="15.75" customHeight="1">
      <c r="A518" s="2">
        <f>IFERROR(__xludf.DUMMYFUNCTION("""COMPUTED_VALUE"""),45049.0)</f>
        <v>45049</v>
      </c>
      <c r="B518" s="2" t="str">
        <f>IFERROR(__xludf.DUMMYFUNCTION("""COMPUTED_VALUE"""),"Previous New Chastain")</f>
        <v>Previous New Chastain</v>
      </c>
      <c r="C518" s="2"/>
    </row>
    <row r="519" ht="15.75" customHeight="1">
      <c r="A519" s="2">
        <f>IFERROR(__xludf.DUMMYFUNCTION("""COMPUTED_VALUE"""),45049.0)</f>
        <v>45049</v>
      </c>
      <c r="B519" s="2" t="str">
        <f>IFERROR(__xludf.DUMMYFUNCTION("""COMPUTED_VALUE"""),"Previous Glenwood Park")</f>
        <v>Previous Glenwood Park</v>
      </c>
      <c r="C519" s="2"/>
    </row>
    <row r="520" ht="15.75" customHeight="1">
      <c r="A520" s="2">
        <f>IFERROR(__xludf.DUMMYFUNCTION("""COMPUTED_VALUE"""),45049.0)</f>
        <v>45049</v>
      </c>
      <c r="B520" s="2" t="str">
        <f>IFERROR(__xludf.DUMMYFUNCTION("""COMPUTED_VALUE"""),"FLOWERY BRANCH")</f>
        <v>FLOWERY BRANCH</v>
      </c>
      <c r="C520" s="2">
        <f>IFERROR(__xludf.DUMMYFUNCTION("""COMPUTED_VALUE"""),447.0)</f>
        <v>447</v>
      </c>
    </row>
    <row r="521" ht="15.75" customHeight="1">
      <c r="A521" s="2">
        <f>IFERROR(__xludf.DUMMYFUNCTION("""COMPUTED_VALUE"""),45049.0)</f>
        <v>45049</v>
      </c>
      <c r="B521" s="2" t="str">
        <f>IFERROR(__xludf.DUMMYFUNCTION("""COMPUTED_VALUE"""),"GROUPS ")</f>
        <v>GROUPS </v>
      </c>
      <c r="C521" s="2">
        <f>IFERROR(__xludf.DUMMYFUNCTION("""COMPUTED_VALUE"""),500.0)</f>
        <v>500</v>
      </c>
    </row>
    <row r="522" ht="15.75" customHeight="1">
      <c r="A522" s="2">
        <f>IFERROR(__xludf.DUMMYFUNCTION("""COMPUTED_VALUE"""),45049.0)</f>
        <v>45049</v>
      </c>
      <c r="B522" s="2" t="str">
        <f>IFERROR(__xludf.DUMMYFUNCTION("""COMPUTED_VALUE"""),"TOTAL")</f>
        <v>TOTAL</v>
      </c>
      <c r="C522" s="2"/>
    </row>
    <row r="523" ht="15.75" customHeight="1">
      <c r="A523" s="2">
        <f>IFERROR(__xludf.DUMMYFUNCTION("""COMPUTED_VALUE"""),45049.0)</f>
        <v>45049</v>
      </c>
      <c r="B523" s="2" t="str">
        <f>IFERROR(__xludf.DUMMYFUNCTION("""COMPUTED_VALUE"""),"Collective Learning")</f>
        <v>Collective Learning</v>
      </c>
      <c r="C523" s="2"/>
    </row>
    <row r="524" ht="15.75" customHeight="1">
      <c r="A524" s="2">
        <f>IFERROR(__xludf.DUMMYFUNCTION("""COMPUTED_VALUE"""),45049.0)</f>
        <v>45049</v>
      </c>
      <c r="B524" s="2" t="str">
        <f>IFERROR(__xludf.DUMMYFUNCTION("""COMPUTED_VALUE"""),"NOTES")</f>
        <v>NOTES</v>
      </c>
      <c r="C524" s="2"/>
    </row>
    <row r="525" ht="15.75" customHeight="1">
      <c r="A525" s="2">
        <f>IFERROR(__xludf.DUMMYFUNCTION("""COMPUTED_VALUE"""),45056.0)</f>
        <v>45056</v>
      </c>
      <c r="B525" s="2" t="str">
        <f>IFERROR(__xludf.DUMMYFUNCTION("""COMPUTED_VALUE"""),"# of Sandwiches")</f>
        <v># of Sandwiches</v>
      </c>
      <c r="C525" s="2">
        <f>IFERROR(__xludf.DUMMYFUNCTION("""COMPUTED_VALUE"""),9122.0)</f>
        <v>9122</v>
      </c>
    </row>
    <row r="526" ht="15.75" customHeight="1">
      <c r="A526" s="2">
        <f>IFERROR(__xludf.DUMMYFUNCTION("""COMPUTED_VALUE"""),45056.0)</f>
        <v>45056</v>
      </c>
      <c r="B526" s="2" t="str">
        <f>IFERROR(__xludf.DUMMYFUNCTION("""COMPUTED_VALUE"""),"ALPHARETTA")</f>
        <v>ALPHARETTA</v>
      </c>
      <c r="C526" s="2">
        <f>IFERROR(__xludf.DUMMYFUNCTION("""COMPUTED_VALUE"""),1266.0)</f>
        <v>1266</v>
      </c>
    </row>
    <row r="527" ht="15.75" customHeight="1">
      <c r="A527" s="2">
        <f>IFERROR(__xludf.DUMMYFUNCTION("""COMPUTED_VALUE"""),45056.0)</f>
        <v>45056</v>
      </c>
      <c r="B527" s="2" t="str">
        <f>IFERROR(__xludf.DUMMYFUNCTION("""COMPUTED_VALUE"""),"PREVIOUS BUCKHEAD")</f>
        <v>PREVIOUS BUCKHEAD</v>
      </c>
      <c r="C527" s="2"/>
    </row>
    <row r="528" ht="15.75" customHeight="1">
      <c r="A528" s="2">
        <f>IFERROR(__xludf.DUMMYFUNCTION("""COMPUTED_VALUE"""),45056.0)</f>
        <v>45056</v>
      </c>
      <c r="B528" s="2" t="str">
        <f>IFERROR(__xludf.DUMMYFUNCTION("""COMPUTED_VALUE"""),"PREVIOUS OAK GROVE")</f>
        <v>PREVIOUS OAK GROVE</v>
      </c>
      <c r="C528" s="2"/>
    </row>
    <row r="529" ht="15.75" customHeight="1">
      <c r="A529" s="2">
        <f>IFERROR(__xludf.DUMMYFUNCTION("""COMPUTED_VALUE"""),45056.0)</f>
        <v>45056</v>
      </c>
      <c r="B529" s="2" t="str">
        <f>IFERROR(__xludf.DUMMYFUNCTION("""COMPUTED_VALUE"""),"DUNWOODY/PTC ")</f>
        <v>DUNWOODY/PTC </v>
      </c>
      <c r="C529" s="2">
        <f>IFERROR(__xludf.DUMMYFUNCTION("""COMPUTED_VALUE"""),3853.0)</f>
        <v>3853</v>
      </c>
    </row>
    <row r="530" ht="15.75" customHeight="1">
      <c r="A530" s="2">
        <f>IFERROR(__xludf.DUMMYFUNCTION("""COMPUTED_VALUE"""),45056.0)</f>
        <v>45056</v>
      </c>
      <c r="B530" s="2" t="str">
        <f>IFERROR(__xludf.DUMMYFUNCTION("""COMPUTED_VALUE"""),"E COBB/ROSWELL")</f>
        <v>E COBB/ROSWELL</v>
      </c>
      <c r="C530" s="2">
        <f>IFERROR(__xludf.DUMMYFUNCTION("""COMPUTED_VALUE"""),1341.0)</f>
        <v>1341</v>
      </c>
    </row>
    <row r="531" ht="15.75" customHeight="1">
      <c r="A531" s="2">
        <f>IFERROR(__xludf.DUMMYFUNCTION("""COMPUTED_VALUE"""),45056.0)</f>
        <v>45056</v>
      </c>
      <c r="B531" s="2" t="str">
        <f>IFERROR(__xludf.DUMMYFUNCTION("""COMPUTED_VALUE"""),"DECATUR")</f>
        <v>DECATUR</v>
      </c>
      <c r="C531" s="2">
        <f>IFERROR(__xludf.DUMMYFUNCTION("""COMPUTED_VALUE"""),156.0)</f>
        <v>156</v>
      </c>
    </row>
    <row r="532" ht="15.75" customHeight="1">
      <c r="A532" s="2">
        <f>IFERROR(__xludf.DUMMYFUNCTION("""COMPUTED_VALUE"""),45056.0)</f>
        <v>45056</v>
      </c>
      <c r="B532" s="2" t="str">
        <f>IFERROR(__xludf.DUMMYFUNCTION("""COMPUTED_VALUE"""),"P'TREE CORNERS ")</f>
        <v>P'TREE CORNERS </v>
      </c>
      <c r="C532" s="2"/>
    </row>
    <row r="533" ht="15.75" customHeight="1">
      <c r="A533" s="2">
        <f>IFERROR(__xludf.DUMMYFUNCTION("""COMPUTED_VALUE"""),45056.0)</f>
        <v>45056</v>
      </c>
      <c r="B533" s="2" t="str">
        <f>IFERROR(__xludf.DUMMYFUNCTION("""COMPUTED_VALUE"""),"UGA/Athens")</f>
        <v>UGA/Athens</v>
      </c>
      <c r="C533" s="2"/>
    </row>
    <row r="534" ht="15.75" customHeight="1">
      <c r="A534" s="2">
        <f>IFERROR(__xludf.DUMMYFUNCTION("""COMPUTED_VALUE"""),45056.0)</f>
        <v>45056</v>
      </c>
      <c r="B534" s="2" t="str">
        <f>IFERROR(__xludf.DUMMYFUNCTION("""COMPUTED_VALUE"""),"SANDY SPRINGS ")</f>
        <v>SANDY SPRINGS </v>
      </c>
      <c r="C534" s="2">
        <f>IFERROR(__xludf.DUMMYFUNCTION("""COMPUTED_VALUE"""),1165.0)</f>
        <v>1165</v>
      </c>
    </row>
    <row r="535" ht="15.75" customHeight="1">
      <c r="A535" s="2">
        <f>IFERROR(__xludf.DUMMYFUNCTION("""COMPUTED_VALUE"""),45056.0)</f>
        <v>45056</v>
      </c>
      <c r="B535" s="2" t="str">
        <f>IFERROR(__xludf.DUMMYFUNCTION("""COMPUTED_VALUE"""),"INTOWN/DRUID HILLS ")</f>
        <v>INTOWN/DRUID HILLS </v>
      </c>
      <c r="C535" s="2">
        <f>IFERROR(__xludf.DUMMYFUNCTION("""COMPUTED_VALUE"""),218.0)</f>
        <v>218</v>
      </c>
    </row>
    <row r="536" ht="15.75" customHeight="1">
      <c r="A536" s="2">
        <f>IFERROR(__xludf.DUMMYFUNCTION("""COMPUTED_VALUE"""),45056.0)</f>
        <v>45056</v>
      </c>
      <c r="B536" s="2" t="str">
        <f>IFERROR(__xludf.DUMMYFUNCTION("""COMPUTED_VALUE"""),"SNELLVILLE")</f>
        <v>SNELLVILLE</v>
      </c>
      <c r="C536" s="2">
        <f>IFERROR(__xludf.DUMMYFUNCTION("""COMPUTED_VALUE"""),94.0)</f>
        <v>94</v>
      </c>
    </row>
    <row r="537" ht="15.75" customHeight="1">
      <c r="A537" s="2">
        <f>IFERROR(__xludf.DUMMYFUNCTION("""COMPUTED_VALUE"""),45056.0)</f>
        <v>45056</v>
      </c>
      <c r="B537" s="2" t="str">
        <f>IFERROR(__xludf.DUMMYFUNCTION("""COMPUTED_VALUE"""),"GROUPS")</f>
        <v>GROUPS</v>
      </c>
      <c r="C537" s="2"/>
    </row>
    <row r="538" ht="15.75" customHeight="1">
      <c r="A538" s="2">
        <f>IFERROR(__xludf.DUMMYFUNCTION("""COMPUTED_VALUE"""),45056.0)</f>
        <v>45056</v>
      </c>
      <c r="B538" s="2" t="str">
        <f>IFERROR(__xludf.DUMMYFUNCTION("""COMPUTED_VALUE"""),"Previous Woodstock")</f>
        <v>Previous Woodstock</v>
      </c>
      <c r="C538" s="2"/>
    </row>
    <row r="539" ht="15.75" customHeight="1">
      <c r="A539" s="2">
        <f>IFERROR(__xludf.DUMMYFUNCTION("""COMPUTED_VALUE"""),45056.0)</f>
        <v>45056</v>
      </c>
      <c r="B539" s="2" t="str">
        <f>IFERROR(__xludf.DUMMYFUNCTION("""COMPUTED_VALUE"""),"Previous Lenox/Brookhaven")</f>
        <v>Previous Lenox/Brookhaven</v>
      </c>
      <c r="C539" s="2"/>
    </row>
    <row r="540" ht="15.75" customHeight="1">
      <c r="A540" s="2">
        <f>IFERROR(__xludf.DUMMYFUNCTION("""COMPUTED_VALUE"""),45056.0)</f>
        <v>45056</v>
      </c>
      <c r="B540" s="2" t="str">
        <f>IFERROR(__xludf.DUMMYFUNCTION("""COMPUTED_VALUE"""),"Previous New Chastain")</f>
        <v>Previous New Chastain</v>
      </c>
      <c r="C540" s="2"/>
    </row>
    <row r="541" ht="15.75" customHeight="1">
      <c r="A541" s="2">
        <f>IFERROR(__xludf.DUMMYFUNCTION("""COMPUTED_VALUE"""),45056.0)</f>
        <v>45056</v>
      </c>
      <c r="B541" s="2" t="str">
        <f>IFERROR(__xludf.DUMMYFUNCTION("""COMPUTED_VALUE"""),"Previous Glenwood Park")</f>
        <v>Previous Glenwood Park</v>
      </c>
      <c r="C541" s="2"/>
    </row>
    <row r="542" ht="15.75" customHeight="1">
      <c r="A542" s="2">
        <f>IFERROR(__xludf.DUMMYFUNCTION("""COMPUTED_VALUE"""),45056.0)</f>
        <v>45056</v>
      </c>
      <c r="B542" s="2" t="str">
        <f>IFERROR(__xludf.DUMMYFUNCTION("""COMPUTED_VALUE"""),"FLOWERY BRANCH")</f>
        <v>FLOWERY BRANCH</v>
      </c>
      <c r="C542" s="2">
        <f>IFERROR(__xludf.DUMMYFUNCTION("""COMPUTED_VALUE"""),221.0)</f>
        <v>221</v>
      </c>
    </row>
    <row r="543" ht="15.75" customHeight="1">
      <c r="A543" s="2">
        <f>IFERROR(__xludf.DUMMYFUNCTION("""COMPUTED_VALUE"""),45056.0)</f>
        <v>45056</v>
      </c>
      <c r="B543" s="2" t="str">
        <f>IFERROR(__xludf.DUMMYFUNCTION("""COMPUTED_VALUE"""),"GROUPS ")</f>
        <v>GROUPS </v>
      </c>
      <c r="C543" s="2">
        <f>IFERROR(__xludf.DUMMYFUNCTION("""COMPUTED_VALUE"""),808.0)</f>
        <v>808</v>
      </c>
    </row>
    <row r="544" ht="15.75" customHeight="1">
      <c r="A544" s="2">
        <f>IFERROR(__xludf.DUMMYFUNCTION("""COMPUTED_VALUE"""),45056.0)</f>
        <v>45056</v>
      </c>
      <c r="B544" s="2" t="str">
        <f>IFERROR(__xludf.DUMMYFUNCTION("""COMPUTED_VALUE"""),"TOTAL")</f>
        <v>TOTAL</v>
      </c>
      <c r="C544" s="2"/>
    </row>
    <row r="545" ht="15.75" customHeight="1">
      <c r="A545" s="2">
        <f>IFERROR(__xludf.DUMMYFUNCTION("""COMPUTED_VALUE"""),45056.0)</f>
        <v>45056</v>
      </c>
      <c r="B545" s="2" t="str">
        <f>IFERROR(__xludf.DUMMYFUNCTION("""COMPUTED_VALUE"""),"Collective Learning")</f>
        <v>Collective Learning</v>
      </c>
      <c r="C545" s="2"/>
    </row>
    <row r="546" ht="15.75" customHeight="1">
      <c r="A546" s="2">
        <f>IFERROR(__xludf.DUMMYFUNCTION("""COMPUTED_VALUE"""),45056.0)</f>
        <v>45056</v>
      </c>
      <c r="B546" s="2" t="str">
        <f>IFERROR(__xludf.DUMMYFUNCTION("""COMPUTED_VALUE"""),"NOTES")</f>
        <v>NOTES</v>
      </c>
      <c r="C546" s="2"/>
    </row>
    <row r="547" ht="15.75" customHeight="1">
      <c r="A547" s="2">
        <f>IFERROR(__xludf.DUMMYFUNCTION("""COMPUTED_VALUE"""),45063.0)</f>
        <v>45063</v>
      </c>
      <c r="B547" s="2" t="str">
        <f>IFERROR(__xludf.DUMMYFUNCTION("""COMPUTED_VALUE"""),"# of Sandwiches")</f>
        <v># of Sandwiches</v>
      </c>
      <c r="C547" s="2">
        <f>IFERROR(__xludf.DUMMYFUNCTION("""COMPUTED_VALUE"""),5804.0)</f>
        <v>5804</v>
      </c>
    </row>
    <row r="548" ht="15.75" customHeight="1">
      <c r="A548" s="2">
        <f>IFERROR(__xludf.DUMMYFUNCTION("""COMPUTED_VALUE"""),45063.0)</f>
        <v>45063</v>
      </c>
      <c r="B548" s="2" t="str">
        <f>IFERROR(__xludf.DUMMYFUNCTION("""COMPUTED_VALUE"""),"ALPHARETTA")</f>
        <v>ALPHARETTA</v>
      </c>
      <c r="C548" s="2">
        <f>IFERROR(__xludf.DUMMYFUNCTION("""COMPUTED_VALUE"""),622.0)</f>
        <v>622</v>
      </c>
    </row>
    <row r="549" ht="15.75" customHeight="1">
      <c r="A549" s="2">
        <f>IFERROR(__xludf.DUMMYFUNCTION("""COMPUTED_VALUE"""),45063.0)</f>
        <v>45063</v>
      </c>
      <c r="B549" s="2" t="str">
        <f>IFERROR(__xludf.DUMMYFUNCTION("""COMPUTED_VALUE"""),"PREVIOUS BUCKHEAD")</f>
        <v>PREVIOUS BUCKHEAD</v>
      </c>
      <c r="C549" s="2"/>
    </row>
    <row r="550" ht="15.75" customHeight="1">
      <c r="A550" s="2">
        <f>IFERROR(__xludf.DUMMYFUNCTION("""COMPUTED_VALUE"""),45063.0)</f>
        <v>45063</v>
      </c>
      <c r="B550" s="2" t="str">
        <f>IFERROR(__xludf.DUMMYFUNCTION("""COMPUTED_VALUE"""),"PREVIOUS OAK GROVE")</f>
        <v>PREVIOUS OAK GROVE</v>
      </c>
      <c r="C550" s="2"/>
    </row>
    <row r="551" ht="15.75" customHeight="1">
      <c r="A551" s="2">
        <f>IFERROR(__xludf.DUMMYFUNCTION("""COMPUTED_VALUE"""),45063.0)</f>
        <v>45063</v>
      </c>
      <c r="B551" s="2" t="str">
        <f>IFERROR(__xludf.DUMMYFUNCTION("""COMPUTED_VALUE"""),"DUNWOODY/PTC ")</f>
        <v>DUNWOODY/PTC </v>
      </c>
      <c r="C551" s="2">
        <f>IFERROR(__xludf.DUMMYFUNCTION("""COMPUTED_VALUE"""),1472.0)</f>
        <v>1472</v>
      </c>
    </row>
    <row r="552" ht="15.75" customHeight="1">
      <c r="A552" s="2">
        <f>IFERROR(__xludf.DUMMYFUNCTION("""COMPUTED_VALUE"""),45063.0)</f>
        <v>45063</v>
      </c>
      <c r="B552" s="2" t="str">
        <f>IFERROR(__xludf.DUMMYFUNCTION("""COMPUTED_VALUE"""),"E COBB/ROSWELL")</f>
        <v>E COBB/ROSWELL</v>
      </c>
      <c r="C552" s="2">
        <f>IFERROR(__xludf.DUMMYFUNCTION("""COMPUTED_VALUE"""),1246.0)</f>
        <v>1246</v>
      </c>
    </row>
    <row r="553" ht="15.75" customHeight="1">
      <c r="A553" s="2">
        <f>IFERROR(__xludf.DUMMYFUNCTION("""COMPUTED_VALUE"""),45063.0)</f>
        <v>45063</v>
      </c>
      <c r="B553" s="2" t="str">
        <f>IFERROR(__xludf.DUMMYFUNCTION("""COMPUTED_VALUE"""),"DECATUR")</f>
        <v>DECATUR</v>
      </c>
      <c r="C553" s="2">
        <f>IFERROR(__xludf.DUMMYFUNCTION("""COMPUTED_VALUE"""),125.0)</f>
        <v>125</v>
      </c>
    </row>
    <row r="554" ht="15.75" customHeight="1">
      <c r="A554" s="2">
        <f>IFERROR(__xludf.DUMMYFUNCTION("""COMPUTED_VALUE"""),45063.0)</f>
        <v>45063</v>
      </c>
      <c r="B554" s="2" t="str">
        <f>IFERROR(__xludf.DUMMYFUNCTION("""COMPUTED_VALUE"""),"P'TREE CORNERS ")</f>
        <v>P'TREE CORNERS </v>
      </c>
      <c r="C554" s="2"/>
    </row>
    <row r="555" ht="15.75" customHeight="1">
      <c r="A555" s="2">
        <f>IFERROR(__xludf.DUMMYFUNCTION("""COMPUTED_VALUE"""),45063.0)</f>
        <v>45063</v>
      </c>
      <c r="B555" s="2" t="str">
        <f>IFERROR(__xludf.DUMMYFUNCTION("""COMPUTED_VALUE"""),"UGA/Athens")</f>
        <v>UGA/Athens</v>
      </c>
      <c r="C555" s="2"/>
    </row>
    <row r="556" ht="15.75" customHeight="1">
      <c r="A556" s="2">
        <f>IFERROR(__xludf.DUMMYFUNCTION("""COMPUTED_VALUE"""),45063.0)</f>
        <v>45063</v>
      </c>
      <c r="B556" s="2" t="str">
        <f>IFERROR(__xludf.DUMMYFUNCTION("""COMPUTED_VALUE"""),"SANDY SPRINGS ")</f>
        <v>SANDY SPRINGS </v>
      </c>
      <c r="C556" s="2">
        <f>IFERROR(__xludf.DUMMYFUNCTION("""COMPUTED_VALUE"""),988.0)</f>
        <v>988</v>
      </c>
    </row>
    <row r="557" ht="15.75" customHeight="1">
      <c r="A557" s="2">
        <f>IFERROR(__xludf.DUMMYFUNCTION("""COMPUTED_VALUE"""),45063.0)</f>
        <v>45063</v>
      </c>
      <c r="B557" s="2" t="str">
        <f>IFERROR(__xludf.DUMMYFUNCTION("""COMPUTED_VALUE"""),"INTOWN/DRUID HILLS ")</f>
        <v>INTOWN/DRUID HILLS </v>
      </c>
      <c r="C557" s="2">
        <f>IFERROR(__xludf.DUMMYFUNCTION("""COMPUTED_VALUE"""),233.0)</f>
        <v>233</v>
      </c>
    </row>
    <row r="558" ht="15.75" customHeight="1">
      <c r="A558" s="2">
        <f>IFERROR(__xludf.DUMMYFUNCTION("""COMPUTED_VALUE"""),45063.0)</f>
        <v>45063</v>
      </c>
      <c r="B558" s="2" t="str">
        <f>IFERROR(__xludf.DUMMYFUNCTION("""COMPUTED_VALUE"""),"SNELLVILLE")</f>
        <v>SNELLVILLE</v>
      </c>
      <c r="C558" s="2">
        <f>IFERROR(__xludf.DUMMYFUNCTION("""COMPUTED_VALUE"""),230.0)</f>
        <v>230</v>
      </c>
    </row>
    <row r="559" ht="15.75" customHeight="1">
      <c r="A559" s="2">
        <f>IFERROR(__xludf.DUMMYFUNCTION("""COMPUTED_VALUE"""),45063.0)</f>
        <v>45063</v>
      </c>
      <c r="B559" s="2" t="str">
        <f>IFERROR(__xludf.DUMMYFUNCTION("""COMPUTED_VALUE"""),"GROUPS")</f>
        <v>GROUPS</v>
      </c>
      <c r="C559" s="2"/>
    </row>
    <row r="560" ht="15.75" customHeight="1">
      <c r="A560" s="2">
        <f>IFERROR(__xludf.DUMMYFUNCTION("""COMPUTED_VALUE"""),45063.0)</f>
        <v>45063</v>
      </c>
      <c r="B560" s="2" t="str">
        <f>IFERROR(__xludf.DUMMYFUNCTION("""COMPUTED_VALUE"""),"Previous Woodstock")</f>
        <v>Previous Woodstock</v>
      </c>
      <c r="C560" s="2"/>
    </row>
    <row r="561" ht="15.75" customHeight="1">
      <c r="A561" s="2">
        <f>IFERROR(__xludf.DUMMYFUNCTION("""COMPUTED_VALUE"""),45063.0)</f>
        <v>45063</v>
      </c>
      <c r="B561" s="2" t="str">
        <f>IFERROR(__xludf.DUMMYFUNCTION("""COMPUTED_VALUE"""),"Previous Lenox/Brookhaven")</f>
        <v>Previous Lenox/Brookhaven</v>
      </c>
      <c r="C561" s="2"/>
    </row>
    <row r="562" ht="15.75" customHeight="1">
      <c r="A562" s="2">
        <f>IFERROR(__xludf.DUMMYFUNCTION("""COMPUTED_VALUE"""),45063.0)</f>
        <v>45063</v>
      </c>
      <c r="B562" s="2" t="str">
        <f>IFERROR(__xludf.DUMMYFUNCTION("""COMPUTED_VALUE"""),"Previous New Chastain")</f>
        <v>Previous New Chastain</v>
      </c>
      <c r="C562" s="2"/>
    </row>
    <row r="563" ht="15.75" customHeight="1">
      <c r="A563" s="2">
        <f>IFERROR(__xludf.DUMMYFUNCTION("""COMPUTED_VALUE"""),45063.0)</f>
        <v>45063</v>
      </c>
      <c r="B563" s="2" t="str">
        <f>IFERROR(__xludf.DUMMYFUNCTION("""COMPUTED_VALUE"""),"Previous Glenwood Park")</f>
        <v>Previous Glenwood Park</v>
      </c>
      <c r="C563" s="2"/>
    </row>
    <row r="564" ht="15.75" customHeight="1">
      <c r="A564" s="2">
        <f>IFERROR(__xludf.DUMMYFUNCTION("""COMPUTED_VALUE"""),45063.0)</f>
        <v>45063</v>
      </c>
      <c r="B564" s="2" t="str">
        <f>IFERROR(__xludf.DUMMYFUNCTION("""COMPUTED_VALUE"""),"FLOWERY BRANCH")</f>
        <v>FLOWERY BRANCH</v>
      </c>
      <c r="C564" s="2">
        <f>IFERROR(__xludf.DUMMYFUNCTION("""COMPUTED_VALUE"""),538.0)</f>
        <v>538</v>
      </c>
    </row>
    <row r="565" ht="15.75" customHeight="1">
      <c r="A565" s="2">
        <f>IFERROR(__xludf.DUMMYFUNCTION("""COMPUTED_VALUE"""),45063.0)</f>
        <v>45063</v>
      </c>
      <c r="B565" s="2" t="str">
        <f>IFERROR(__xludf.DUMMYFUNCTION("""COMPUTED_VALUE"""),"GROUPS ")</f>
        <v>GROUPS </v>
      </c>
      <c r="C565" s="2">
        <f>IFERROR(__xludf.DUMMYFUNCTION("""COMPUTED_VALUE"""),350.0)</f>
        <v>350</v>
      </c>
    </row>
    <row r="566" ht="15.75" customHeight="1">
      <c r="A566" s="2">
        <f>IFERROR(__xludf.DUMMYFUNCTION("""COMPUTED_VALUE"""),45063.0)</f>
        <v>45063</v>
      </c>
      <c r="B566" s="2" t="str">
        <f>IFERROR(__xludf.DUMMYFUNCTION("""COMPUTED_VALUE"""),"TOTAL")</f>
        <v>TOTAL</v>
      </c>
      <c r="C566" s="2"/>
    </row>
    <row r="567" ht="15.75" customHeight="1">
      <c r="A567" s="2">
        <f>IFERROR(__xludf.DUMMYFUNCTION("""COMPUTED_VALUE"""),45063.0)</f>
        <v>45063</v>
      </c>
      <c r="B567" s="2" t="str">
        <f>IFERROR(__xludf.DUMMYFUNCTION("""COMPUTED_VALUE"""),"Collective Learning")</f>
        <v>Collective Learning</v>
      </c>
      <c r="C567" s="2"/>
    </row>
    <row r="568" ht="15.75" customHeight="1">
      <c r="A568" s="2">
        <f>IFERROR(__xludf.DUMMYFUNCTION("""COMPUTED_VALUE"""),45063.0)</f>
        <v>45063</v>
      </c>
      <c r="B568" s="2" t="str">
        <f>IFERROR(__xludf.DUMMYFUNCTION("""COMPUTED_VALUE"""),"NOTES")</f>
        <v>NOTES</v>
      </c>
      <c r="C568" s="2"/>
    </row>
    <row r="569" ht="15.75" customHeight="1">
      <c r="A569" s="2">
        <f>IFERROR(__xludf.DUMMYFUNCTION("""COMPUTED_VALUE"""),45070.0)</f>
        <v>45070</v>
      </c>
      <c r="B569" s="2" t="str">
        <f>IFERROR(__xludf.DUMMYFUNCTION("""COMPUTED_VALUE"""),"# of Sandwiches")</f>
        <v># of Sandwiches</v>
      </c>
      <c r="C569" s="2">
        <f>IFERROR(__xludf.DUMMYFUNCTION("""COMPUTED_VALUE"""),9209.0)</f>
        <v>9209</v>
      </c>
    </row>
    <row r="570" ht="15.75" customHeight="1">
      <c r="A570" s="2">
        <f>IFERROR(__xludf.DUMMYFUNCTION("""COMPUTED_VALUE"""),45070.0)</f>
        <v>45070</v>
      </c>
      <c r="B570" s="2" t="str">
        <f>IFERROR(__xludf.DUMMYFUNCTION("""COMPUTED_VALUE"""),"ALPHARETTA")</f>
        <v>ALPHARETTA</v>
      </c>
      <c r="C570" s="2">
        <f>IFERROR(__xludf.DUMMYFUNCTION("""COMPUTED_VALUE"""),2481.0)</f>
        <v>2481</v>
      </c>
    </row>
    <row r="571" ht="15.75" customHeight="1">
      <c r="A571" s="2">
        <f>IFERROR(__xludf.DUMMYFUNCTION("""COMPUTED_VALUE"""),45070.0)</f>
        <v>45070</v>
      </c>
      <c r="B571" s="2" t="str">
        <f>IFERROR(__xludf.DUMMYFUNCTION("""COMPUTED_VALUE"""),"PREVIOUS BUCKHEAD")</f>
        <v>PREVIOUS BUCKHEAD</v>
      </c>
      <c r="C571" s="2"/>
    </row>
    <row r="572" ht="15.75" customHeight="1">
      <c r="A572" s="2">
        <f>IFERROR(__xludf.DUMMYFUNCTION("""COMPUTED_VALUE"""),45070.0)</f>
        <v>45070</v>
      </c>
      <c r="B572" s="2" t="str">
        <f>IFERROR(__xludf.DUMMYFUNCTION("""COMPUTED_VALUE"""),"PREVIOUS OAK GROVE")</f>
        <v>PREVIOUS OAK GROVE</v>
      </c>
      <c r="C572" s="2"/>
    </row>
    <row r="573" ht="15.75" customHeight="1">
      <c r="A573" s="2">
        <f>IFERROR(__xludf.DUMMYFUNCTION("""COMPUTED_VALUE"""),45070.0)</f>
        <v>45070</v>
      </c>
      <c r="B573" s="2" t="str">
        <f>IFERROR(__xludf.DUMMYFUNCTION("""COMPUTED_VALUE"""),"DUNWOODY/PTC ")</f>
        <v>DUNWOODY/PTC </v>
      </c>
      <c r="C573" s="2">
        <f>IFERROR(__xludf.DUMMYFUNCTION("""COMPUTED_VALUE"""),2035.0)</f>
        <v>2035</v>
      </c>
    </row>
    <row r="574" ht="15.75" customHeight="1">
      <c r="A574" s="2">
        <f>IFERROR(__xludf.DUMMYFUNCTION("""COMPUTED_VALUE"""),45070.0)</f>
        <v>45070</v>
      </c>
      <c r="B574" s="2" t="str">
        <f>IFERROR(__xludf.DUMMYFUNCTION("""COMPUTED_VALUE"""),"E COBB/ROSWELL")</f>
        <v>E COBB/ROSWELL</v>
      </c>
      <c r="C574" s="2">
        <f>IFERROR(__xludf.DUMMYFUNCTION("""COMPUTED_VALUE"""),1235.0)</f>
        <v>1235</v>
      </c>
    </row>
    <row r="575" ht="15.75" customHeight="1">
      <c r="A575" s="2">
        <f>IFERROR(__xludf.DUMMYFUNCTION("""COMPUTED_VALUE"""),45070.0)</f>
        <v>45070</v>
      </c>
      <c r="B575" s="2" t="str">
        <f>IFERROR(__xludf.DUMMYFUNCTION("""COMPUTED_VALUE"""),"DECATUR")</f>
        <v>DECATUR</v>
      </c>
      <c r="C575" s="2">
        <f>IFERROR(__xludf.DUMMYFUNCTION("""COMPUTED_VALUE"""),321.0)</f>
        <v>321</v>
      </c>
    </row>
    <row r="576" ht="15.75" customHeight="1">
      <c r="A576" s="2">
        <f>IFERROR(__xludf.DUMMYFUNCTION("""COMPUTED_VALUE"""),45070.0)</f>
        <v>45070</v>
      </c>
      <c r="B576" s="2" t="str">
        <f>IFERROR(__xludf.DUMMYFUNCTION("""COMPUTED_VALUE"""),"P'TREE CORNERS ")</f>
        <v>P'TREE CORNERS </v>
      </c>
      <c r="C576" s="2"/>
    </row>
    <row r="577" ht="15.75" customHeight="1">
      <c r="A577" s="2">
        <f>IFERROR(__xludf.DUMMYFUNCTION("""COMPUTED_VALUE"""),45070.0)</f>
        <v>45070</v>
      </c>
      <c r="B577" s="2" t="str">
        <f>IFERROR(__xludf.DUMMYFUNCTION("""COMPUTED_VALUE"""),"UGA/Athens")</f>
        <v>UGA/Athens</v>
      </c>
      <c r="C577" s="2"/>
    </row>
    <row r="578" ht="15.75" customHeight="1">
      <c r="A578" s="2">
        <f>IFERROR(__xludf.DUMMYFUNCTION("""COMPUTED_VALUE"""),45070.0)</f>
        <v>45070</v>
      </c>
      <c r="B578" s="2" t="str">
        <f>IFERROR(__xludf.DUMMYFUNCTION("""COMPUTED_VALUE"""),"SANDY SPRINGS ")</f>
        <v>SANDY SPRINGS </v>
      </c>
      <c r="C578" s="2">
        <f>IFERROR(__xludf.DUMMYFUNCTION("""COMPUTED_VALUE"""),585.0)</f>
        <v>585</v>
      </c>
    </row>
    <row r="579" ht="15.75" customHeight="1">
      <c r="A579" s="2">
        <f>IFERROR(__xludf.DUMMYFUNCTION("""COMPUTED_VALUE"""),45070.0)</f>
        <v>45070</v>
      </c>
      <c r="B579" s="2" t="str">
        <f>IFERROR(__xludf.DUMMYFUNCTION("""COMPUTED_VALUE"""),"INTOWN/DRUID HILLS ")</f>
        <v>INTOWN/DRUID HILLS </v>
      </c>
      <c r="C579" s="2">
        <f>IFERROR(__xludf.DUMMYFUNCTION("""COMPUTED_VALUE"""),468.0)</f>
        <v>468</v>
      </c>
    </row>
    <row r="580" ht="15.75" customHeight="1">
      <c r="A580" s="2">
        <f>IFERROR(__xludf.DUMMYFUNCTION("""COMPUTED_VALUE"""),45070.0)</f>
        <v>45070</v>
      </c>
      <c r="B580" s="2" t="str">
        <f>IFERROR(__xludf.DUMMYFUNCTION("""COMPUTED_VALUE"""),"SNELLVILLE")</f>
        <v>SNELLVILLE</v>
      </c>
      <c r="C580" s="2">
        <f>IFERROR(__xludf.DUMMYFUNCTION("""COMPUTED_VALUE"""),0.0)</f>
        <v>0</v>
      </c>
    </row>
    <row r="581" ht="15.75" customHeight="1">
      <c r="A581" s="2">
        <f>IFERROR(__xludf.DUMMYFUNCTION("""COMPUTED_VALUE"""),45070.0)</f>
        <v>45070</v>
      </c>
      <c r="B581" s="2" t="str">
        <f>IFERROR(__xludf.DUMMYFUNCTION("""COMPUTED_VALUE"""),"GROUPS")</f>
        <v>GROUPS</v>
      </c>
      <c r="C581" s="2"/>
    </row>
    <row r="582" ht="15.75" customHeight="1">
      <c r="A582" s="2">
        <f>IFERROR(__xludf.DUMMYFUNCTION("""COMPUTED_VALUE"""),45070.0)</f>
        <v>45070</v>
      </c>
      <c r="B582" s="2" t="str">
        <f>IFERROR(__xludf.DUMMYFUNCTION("""COMPUTED_VALUE"""),"Previous Woodstock")</f>
        <v>Previous Woodstock</v>
      </c>
      <c r="C582" s="2"/>
    </row>
    <row r="583" ht="15.75" customHeight="1">
      <c r="A583" s="2">
        <f>IFERROR(__xludf.DUMMYFUNCTION("""COMPUTED_VALUE"""),45070.0)</f>
        <v>45070</v>
      </c>
      <c r="B583" s="2" t="str">
        <f>IFERROR(__xludf.DUMMYFUNCTION("""COMPUTED_VALUE"""),"Previous Lenox/Brookhaven")</f>
        <v>Previous Lenox/Brookhaven</v>
      </c>
      <c r="C583" s="2"/>
    </row>
    <row r="584" ht="15.75" customHeight="1">
      <c r="A584" s="2">
        <f>IFERROR(__xludf.DUMMYFUNCTION("""COMPUTED_VALUE"""),45070.0)</f>
        <v>45070</v>
      </c>
      <c r="B584" s="2" t="str">
        <f>IFERROR(__xludf.DUMMYFUNCTION("""COMPUTED_VALUE"""),"Previous New Chastain")</f>
        <v>Previous New Chastain</v>
      </c>
      <c r="C584" s="2"/>
    </row>
    <row r="585" ht="15.75" customHeight="1">
      <c r="A585" s="2">
        <f>IFERROR(__xludf.DUMMYFUNCTION("""COMPUTED_VALUE"""),45070.0)</f>
        <v>45070</v>
      </c>
      <c r="B585" s="2" t="str">
        <f>IFERROR(__xludf.DUMMYFUNCTION("""COMPUTED_VALUE"""),"Previous Glenwood Park")</f>
        <v>Previous Glenwood Park</v>
      </c>
      <c r="C585" s="2"/>
    </row>
    <row r="586" ht="15.75" customHeight="1">
      <c r="A586" s="2">
        <f>IFERROR(__xludf.DUMMYFUNCTION("""COMPUTED_VALUE"""),45070.0)</f>
        <v>45070</v>
      </c>
      <c r="B586" s="2" t="str">
        <f>IFERROR(__xludf.DUMMYFUNCTION("""COMPUTED_VALUE"""),"FLOWERY BRANCH")</f>
        <v>FLOWERY BRANCH</v>
      </c>
      <c r="C586" s="2">
        <f>IFERROR(__xludf.DUMMYFUNCTION("""COMPUTED_VALUE"""),184.0)</f>
        <v>184</v>
      </c>
    </row>
    <row r="587" ht="15.75" customHeight="1">
      <c r="A587" s="2">
        <f>IFERROR(__xludf.DUMMYFUNCTION("""COMPUTED_VALUE"""),45070.0)</f>
        <v>45070</v>
      </c>
      <c r="B587" s="2" t="str">
        <f>IFERROR(__xludf.DUMMYFUNCTION("""COMPUTED_VALUE"""),"GROUPS ")</f>
        <v>GROUPS </v>
      </c>
      <c r="C587" s="2">
        <f>IFERROR(__xludf.DUMMYFUNCTION("""COMPUTED_VALUE"""),1900.0)</f>
        <v>1900</v>
      </c>
    </row>
    <row r="588" ht="15.75" customHeight="1">
      <c r="A588" s="2">
        <f>IFERROR(__xludf.DUMMYFUNCTION("""COMPUTED_VALUE"""),45070.0)</f>
        <v>45070</v>
      </c>
      <c r="B588" s="2" t="str">
        <f>IFERROR(__xludf.DUMMYFUNCTION("""COMPUTED_VALUE"""),"TOTAL")</f>
        <v>TOTAL</v>
      </c>
      <c r="C588" s="2"/>
    </row>
    <row r="589" ht="15.75" customHeight="1">
      <c r="A589" s="2">
        <f>IFERROR(__xludf.DUMMYFUNCTION("""COMPUTED_VALUE"""),45070.0)</f>
        <v>45070</v>
      </c>
      <c r="B589" s="2" t="str">
        <f>IFERROR(__xludf.DUMMYFUNCTION("""COMPUTED_VALUE"""),"Collective Learning")</f>
        <v>Collective Learning</v>
      </c>
      <c r="C589" s="2"/>
    </row>
    <row r="590" ht="15.75" customHeight="1">
      <c r="A590" s="2">
        <f>IFERROR(__xludf.DUMMYFUNCTION("""COMPUTED_VALUE"""),45070.0)</f>
        <v>45070</v>
      </c>
      <c r="B590" s="2" t="str">
        <f>IFERROR(__xludf.DUMMYFUNCTION("""COMPUTED_VALUE"""),"NOTES")</f>
        <v>NOTES</v>
      </c>
      <c r="C590" s="2"/>
    </row>
    <row r="591" ht="15.75" customHeight="1">
      <c r="A591" s="2">
        <f>IFERROR(__xludf.DUMMYFUNCTION("""COMPUTED_VALUE"""),45077.0)</f>
        <v>45077</v>
      </c>
      <c r="B591" s="2" t="str">
        <f>IFERROR(__xludf.DUMMYFUNCTION("""COMPUTED_VALUE"""),"# of Sandwiches")</f>
        <v># of Sandwiches</v>
      </c>
      <c r="C591" s="2">
        <f>IFERROR(__xludf.DUMMYFUNCTION("""COMPUTED_VALUE"""),5427.0)</f>
        <v>5427</v>
      </c>
    </row>
    <row r="592" ht="15.75" customHeight="1">
      <c r="A592" s="2">
        <f>IFERROR(__xludf.DUMMYFUNCTION("""COMPUTED_VALUE"""),45077.0)</f>
        <v>45077</v>
      </c>
      <c r="B592" s="2" t="str">
        <f>IFERROR(__xludf.DUMMYFUNCTION("""COMPUTED_VALUE"""),"ALPHARETTA")</f>
        <v>ALPHARETTA</v>
      </c>
      <c r="C592" s="2">
        <f>IFERROR(__xludf.DUMMYFUNCTION("""COMPUTED_VALUE"""),574.0)</f>
        <v>574</v>
      </c>
    </row>
    <row r="593" ht="15.75" customHeight="1">
      <c r="A593" s="2">
        <f>IFERROR(__xludf.DUMMYFUNCTION("""COMPUTED_VALUE"""),45077.0)</f>
        <v>45077</v>
      </c>
      <c r="B593" s="2" t="str">
        <f>IFERROR(__xludf.DUMMYFUNCTION("""COMPUTED_VALUE"""),"PREVIOUS BUCKHEAD")</f>
        <v>PREVIOUS BUCKHEAD</v>
      </c>
      <c r="C593" s="2"/>
    </row>
    <row r="594" ht="15.75" customHeight="1">
      <c r="A594" s="2">
        <f>IFERROR(__xludf.DUMMYFUNCTION("""COMPUTED_VALUE"""),45077.0)</f>
        <v>45077</v>
      </c>
      <c r="B594" s="2" t="str">
        <f>IFERROR(__xludf.DUMMYFUNCTION("""COMPUTED_VALUE"""),"PREVIOUS OAK GROVE")</f>
        <v>PREVIOUS OAK GROVE</v>
      </c>
      <c r="C594" s="2"/>
    </row>
    <row r="595" ht="15.75" customHeight="1">
      <c r="A595" s="2">
        <f>IFERROR(__xludf.DUMMYFUNCTION("""COMPUTED_VALUE"""),45077.0)</f>
        <v>45077</v>
      </c>
      <c r="B595" s="2" t="str">
        <f>IFERROR(__xludf.DUMMYFUNCTION("""COMPUTED_VALUE"""),"DUNWOODY/PTC ")</f>
        <v>DUNWOODY/PTC </v>
      </c>
      <c r="C595" s="2">
        <f>IFERROR(__xludf.DUMMYFUNCTION("""COMPUTED_VALUE"""),1360.0)</f>
        <v>1360</v>
      </c>
    </row>
    <row r="596" ht="15.75" customHeight="1">
      <c r="A596" s="2">
        <f>IFERROR(__xludf.DUMMYFUNCTION("""COMPUTED_VALUE"""),45077.0)</f>
        <v>45077</v>
      </c>
      <c r="B596" s="2" t="str">
        <f>IFERROR(__xludf.DUMMYFUNCTION("""COMPUTED_VALUE"""),"E COBB/ROSWELL")</f>
        <v>E COBB/ROSWELL</v>
      </c>
      <c r="C596" s="2">
        <f>IFERROR(__xludf.DUMMYFUNCTION("""COMPUTED_VALUE"""),1607.0)</f>
        <v>1607</v>
      </c>
    </row>
    <row r="597" ht="15.75" customHeight="1">
      <c r="A597" s="2">
        <f>IFERROR(__xludf.DUMMYFUNCTION("""COMPUTED_VALUE"""),45077.0)</f>
        <v>45077</v>
      </c>
      <c r="B597" s="2" t="str">
        <f>IFERROR(__xludf.DUMMYFUNCTION("""COMPUTED_VALUE"""),"DECATUR")</f>
        <v>DECATUR</v>
      </c>
      <c r="C597" s="2">
        <f>IFERROR(__xludf.DUMMYFUNCTION("""COMPUTED_VALUE"""),172.0)</f>
        <v>172</v>
      </c>
    </row>
    <row r="598" ht="15.75" customHeight="1">
      <c r="A598" s="2">
        <f>IFERROR(__xludf.DUMMYFUNCTION("""COMPUTED_VALUE"""),45077.0)</f>
        <v>45077</v>
      </c>
      <c r="B598" s="2" t="str">
        <f>IFERROR(__xludf.DUMMYFUNCTION("""COMPUTED_VALUE"""),"P'TREE CORNERS ")</f>
        <v>P'TREE CORNERS </v>
      </c>
      <c r="C598" s="2"/>
    </row>
    <row r="599" ht="15.75" customHeight="1">
      <c r="A599" s="2">
        <f>IFERROR(__xludf.DUMMYFUNCTION("""COMPUTED_VALUE"""),45077.0)</f>
        <v>45077</v>
      </c>
      <c r="B599" s="2" t="str">
        <f>IFERROR(__xludf.DUMMYFUNCTION("""COMPUTED_VALUE"""),"UGA/Athens")</f>
        <v>UGA/Athens</v>
      </c>
      <c r="C599" s="2"/>
    </row>
    <row r="600" ht="15.75" customHeight="1">
      <c r="A600" s="2">
        <f>IFERROR(__xludf.DUMMYFUNCTION("""COMPUTED_VALUE"""),45077.0)</f>
        <v>45077</v>
      </c>
      <c r="B600" s="2" t="str">
        <f>IFERROR(__xludf.DUMMYFUNCTION("""COMPUTED_VALUE"""),"SANDY SPRINGS ")</f>
        <v>SANDY SPRINGS </v>
      </c>
      <c r="C600" s="2">
        <f>IFERROR(__xludf.DUMMYFUNCTION("""COMPUTED_VALUE"""),304.0)</f>
        <v>304</v>
      </c>
    </row>
    <row r="601" ht="15.75" customHeight="1">
      <c r="A601" s="2">
        <f>IFERROR(__xludf.DUMMYFUNCTION("""COMPUTED_VALUE"""),45077.0)</f>
        <v>45077</v>
      </c>
      <c r="B601" s="2" t="str">
        <f>IFERROR(__xludf.DUMMYFUNCTION("""COMPUTED_VALUE"""),"INTOWN/DRUID HILLS ")</f>
        <v>INTOWN/DRUID HILLS </v>
      </c>
      <c r="C601" s="2">
        <f>IFERROR(__xludf.DUMMYFUNCTION("""COMPUTED_VALUE"""),198.0)</f>
        <v>198</v>
      </c>
    </row>
    <row r="602" ht="15.75" customHeight="1">
      <c r="A602" s="2">
        <f>IFERROR(__xludf.DUMMYFUNCTION("""COMPUTED_VALUE"""),45077.0)</f>
        <v>45077</v>
      </c>
      <c r="B602" s="2" t="str">
        <f>IFERROR(__xludf.DUMMYFUNCTION("""COMPUTED_VALUE"""),"SNELLVILLE")</f>
        <v>SNELLVILLE</v>
      </c>
      <c r="C602" s="2">
        <f>IFERROR(__xludf.DUMMYFUNCTION("""COMPUTED_VALUE"""),87.0)</f>
        <v>87</v>
      </c>
    </row>
    <row r="603" ht="15.75" customHeight="1">
      <c r="A603" s="2">
        <f>IFERROR(__xludf.DUMMYFUNCTION("""COMPUTED_VALUE"""),45077.0)</f>
        <v>45077</v>
      </c>
      <c r="B603" s="2" t="str">
        <f>IFERROR(__xludf.DUMMYFUNCTION("""COMPUTED_VALUE"""),"GROUPS")</f>
        <v>GROUPS</v>
      </c>
      <c r="C603" s="2"/>
    </row>
    <row r="604" ht="15.75" customHeight="1">
      <c r="A604" s="2">
        <f>IFERROR(__xludf.DUMMYFUNCTION("""COMPUTED_VALUE"""),45077.0)</f>
        <v>45077</v>
      </c>
      <c r="B604" s="2" t="str">
        <f>IFERROR(__xludf.DUMMYFUNCTION("""COMPUTED_VALUE"""),"Previous Woodstock")</f>
        <v>Previous Woodstock</v>
      </c>
      <c r="C604" s="2"/>
    </row>
    <row r="605" ht="15.75" customHeight="1">
      <c r="A605" s="2">
        <f>IFERROR(__xludf.DUMMYFUNCTION("""COMPUTED_VALUE"""),45077.0)</f>
        <v>45077</v>
      </c>
      <c r="B605" s="2" t="str">
        <f>IFERROR(__xludf.DUMMYFUNCTION("""COMPUTED_VALUE"""),"Previous Lenox/Brookhaven")</f>
        <v>Previous Lenox/Brookhaven</v>
      </c>
      <c r="C605" s="2"/>
    </row>
    <row r="606" ht="15.75" customHeight="1">
      <c r="A606" s="2">
        <f>IFERROR(__xludf.DUMMYFUNCTION("""COMPUTED_VALUE"""),45077.0)</f>
        <v>45077</v>
      </c>
      <c r="B606" s="2" t="str">
        <f>IFERROR(__xludf.DUMMYFUNCTION("""COMPUTED_VALUE"""),"Previous New Chastain")</f>
        <v>Previous New Chastain</v>
      </c>
      <c r="C606" s="2"/>
    </row>
    <row r="607" ht="15.75" customHeight="1">
      <c r="A607" s="2">
        <f>IFERROR(__xludf.DUMMYFUNCTION("""COMPUTED_VALUE"""),45077.0)</f>
        <v>45077</v>
      </c>
      <c r="B607" s="2" t="str">
        <f>IFERROR(__xludf.DUMMYFUNCTION("""COMPUTED_VALUE"""),"Previous Glenwood Park")</f>
        <v>Previous Glenwood Park</v>
      </c>
      <c r="C607" s="2"/>
    </row>
    <row r="608" ht="15.75" customHeight="1">
      <c r="A608" s="2">
        <f>IFERROR(__xludf.DUMMYFUNCTION("""COMPUTED_VALUE"""),45077.0)</f>
        <v>45077</v>
      </c>
      <c r="B608" s="2" t="str">
        <f>IFERROR(__xludf.DUMMYFUNCTION("""COMPUTED_VALUE"""),"FLOWERY BRANCH")</f>
        <v>FLOWERY BRANCH</v>
      </c>
      <c r="C608" s="2">
        <f>IFERROR(__xludf.DUMMYFUNCTION("""COMPUTED_VALUE"""),284.0)</f>
        <v>284</v>
      </c>
    </row>
    <row r="609" ht="15.75" customHeight="1">
      <c r="A609" s="2">
        <f>IFERROR(__xludf.DUMMYFUNCTION("""COMPUTED_VALUE"""),45077.0)</f>
        <v>45077</v>
      </c>
      <c r="B609" s="2" t="str">
        <f>IFERROR(__xludf.DUMMYFUNCTION("""COMPUTED_VALUE"""),"GROUPS ")</f>
        <v>GROUPS </v>
      </c>
      <c r="C609" s="2">
        <f>IFERROR(__xludf.DUMMYFUNCTION("""COMPUTED_VALUE"""),841.0)</f>
        <v>841</v>
      </c>
    </row>
    <row r="610" ht="15.75" customHeight="1">
      <c r="A610" s="2">
        <f>IFERROR(__xludf.DUMMYFUNCTION("""COMPUTED_VALUE"""),45077.0)</f>
        <v>45077</v>
      </c>
      <c r="B610" s="2" t="str">
        <f>IFERROR(__xludf.DUMMYFUNCTION("""COMPUTED_VALUE"""),"TOTAL")</f>
        <v>TOTAL</v>
      </c>
      <c r="C610" s="2"/>
    </row>
    <row r="611" ht="15.75" customHeight="1">
      <c r="A611" s="2">
        <f>IFERROR(__xludf.DUMMYFUNCTION("""COMPUTED_VALUE"""),45077.0)</f>
        <v>45077</v>
      </c>
      <c r="B611" s="2" t="str">
        <f>IFERROR(__xludf.DUMMYFUNCTION("""COMPUTED_VALUE"""),"Collective Learning")</f>
        <v>Collective Learning</v>
      </c>
      <c r="C611" s="2"/>
    </row>
    <row r="612" ht="15.75" customHeight="1">
      <c r="A612" s="2">
        <f>IFERROR(__xludf.DUMMYFUNCTION("""COMPUTED_VALUE"""),45077.0)</f>
        <v>45077</v>
      </c>
      <c r="B612" s="2" t="str">
        <f>IFERROR(__xludf.DUMMYFUNCTION("""COMPUTED_VALUE"""),"NOTES")</f>
        <v>NOTES</v>
      </c>
      <c r="C612" s="2"/>
    </row>
    <row r="613" ht="15.75" customHeight="1">
      <c r="A613" s="2">
        <f>IFERROR(__xludf.DUMMYFUNCTION("""COMPUTED_VALUE"""),45084.0)</f>
        <v>45084</v>
      </c>
      <c r="B613" s="2" t="str">
        <f>IFERROR(__xludf.DUMMYFUNCTION("""COMPUTED_VALUE"""),"# of Sandwiches")</f>
        <v># of Sandwiches</v>
      </c>
      <c r="C613" s="2">
        <f>IFERROR(__xludf.DUMMYFUNCTION("""COMPUTED_VALUE"""),9172.0)</f>
        <v>9172</v>
      </c>
    </row>
    <row r="614" ht="15.75" customHeight="1">
      <c r="A614" s="2">
        <f>IFERROR(__xludf.DUMMYFUNCTION("""COMPUTED_VALUE"""),45084.0)</f>
        <v>45084</v>
      </c>
      <c r="B614" s="2" t="str">
        <f>IFERROR(__xludf.DUMMYFUNCTION("""COMPUTED_VALUE"""),"ALPHARETTA")</f>
        <v>ALPHARETTA</v>
      </c>
      <c r="C614" s="2">
        <f>IFERROR(__xludf.DUMMYFUNCTION("""COMPUTED_VALUE"""),1095.0)</f>
        <v>1095</v>
      </c>
    </row>
    <row r="615" ht="15.75" customHeight="1">
      <c r="A615" s="2">
        <f>IFERROR(__xludf.DUMMYFUNCTION("""COMPUTED_VALUE"""),45084.0)</f>
        <v>45084</v>
      </c>
      <c r="B615" s="2" t="str">
        <f>IFERROR(__xludf.DUMMYFUNCTION("""COMPUTED_VALUE"""),"PREVIOUS BUCKHEAD")</f>
        <v>PREVIOUS BUCKHEAD</v>
      </c>
      <c r="C615" s="2"/>
    </row>
    <row r="616" ht="15.75" customHeight="1">
      <c r="A616" s="2">
        <f>IFERROR(__xludf.DUMMYFUNCTION("""COMPUTED_VALUE"""),45084.0)</f>
        <v>45084</v>
      </c>
      <c r="B616" s="2" t="str">
        <f>IFERROR(__xludf.DUMMYFUNCTION("""COMPUTED_VALUE"""),"PREVIOUS OAK GROVE")</f>
        <v>PREVIOUS OAK GROVE</v>
      </c>
      <c r="C616" s="2"/>
    </row>
    <row r="617" ht="15.75" customHeight="1">
      <c r="A617" s="2">
        <f>IFERROR(__xludf.DUMMYFUNCTION("""COMPUTED_VALUE"""),45084.0)</f>
        <v>45084</v>
      </c>
      <c r="B617" s="2" t="str">
        <f>IFERROR(__xludf.DUMMYFUNCTION("""COMPUTED_VALUE"""),"DUNWOODY/PTC ")</f>
        <v>DUNWOODY/PTC </v>
      </c>
      <c r="C617" s="2">
        <f>IFERROR(__xludf.DUMMYFUNCTION("""COMPUTED_VALUE"""),2544.0)</f>
        <v>2544</v>
      </c>
    </row>
    <row r="618" ht="15.75" customHeight="1">
      <c r="A618" s="2">
        <f>IFERROR(__xludf.DUMMYFUNCTION("""COMPUTED_VALUE"""),45084.0)</f>
        <v>45084</v>
      </c>
      <c r="B618" s="2" t="str">
        <f>IFERROR(__xludf.DUMMYFUNCTION("""COMPUTED_VALUE"""),"E COBB/ROSWELL")</f>
        <v>E COBB/ROSWELL</v>
      </c>
      <c r="C618" s="2">
        <f>IFERROR(__xludf.DUMMYFUNCTION("""COMPUTED_VALUE"""),2439.0)</f>
        <v>2439</v>
      </c>
    </row>
    <row r="619" ht="15.75" customHeight="1">
      <c r="A619" s="2">
        <f>IFERROR(__xludf.DUMMYFUNCTION("""COMPUTED_VALUE"""),45084.0)</f>
        <v>45084</v>
      </c>
      <c r="B619" s="2" t="str">
        <f>IFERROR(__xludf.DUMMYFUNCTION("""COMPUTED_VALUE"""),"DECATUR")</f>
        <v>DECATUR</v>
      </c>
      <c r="C619" s="2">
        <f>IFERROR(__xludf.DUMMYFUNCTION("""COMPUTED_VALUE"""),100.0)</f>
        <v>100</v>
      </c>
    </row>
    <row r="620" ht="15.75" customHeight="1">
      <c r="A620" s="2">
        <f>IFERROR(__xludf.DUMMYFUNCTION("""COMPUTED_VALUE"""),45084.0)</f>
        <v>45084</v>
      </c>
      <c r="B620" s="2" t="str">
        <f>IFERROR(__xludf.DUMMYFUNCTION("""COMPUTED_VALUE"""),"P'TREE CORNERS ")</f>
        <v>P'TREE CORNERS </v>
      </c>
      <c r="C620" s="2"/>
    </row>
    <row r="621" ht="15.75" customHeight="1">
      <c r="A621" s="2">
        <f>IFERROR(__xludf.DUMMYFUNCTION("""COMPUTED_VALUE"""),45084.0)</f>
        <v>45084</v>
      </c>
      <c r="B621" s="2" t="str">
        <f>IFERROR(__xludf.DUMMYFUNCTION("""COMPUTED_VALUE"""),"UGA/Athens")</f>
        <v>UGA/Athens</v>
      </c>
      <c r="C621" s="2"/>
    </row>
    <row r="622" ht="15.75" customHeight="1">
      <c r="A622" s="2">
        <f>IFERROR(__xludf.DUMMYFUNCTION("""COMPUTED_VALUE"""),45084.0)</f>
        <v>45084</v>
      </c>
      <c r="B622" s="2" t="str">
        <f>IFERROR(__xludf.DUMMYFUNCTION("""COMPUTED_VALUE"""),"SANDY SPRINGS ")</f>
        <v>SANDY SPRINGS </v>
      </c>
      <c r="C622" s="2">
        <f>IFERROR(__xludf.DUMMYFUNCTION("""COMPUTED_VALUE"""),533.0)</f>
        <v>533</v>
      </c>
    </row>
    <row r="623" ht="15.75" customHeight="1">
      <c r="A623" s="2">
        <f>IFERROR(__xludf.DUMMYFUNCTION("""COMPUTED_VALUE"""),45084.0)</f>
        <v>45084</v>
      </c>
      <c r="B623" s="2" t="str">
        <f>IFERROR(__xludf.DUMMYFUNCTION("""COMPUTED_VALUE"""),"INTOWN/DRUID HILLS ")</f>
        <v>INTOWN/DRUID HILLS </v>
      </c>
      <c r="C623" s="2">
        <f>IFERROR(__xludf.DUMMYFUNCTION("""COMPUTED_VALUE"""),560.0)</f>
        <v>560</v>
      </c>
    </row>
    <row r="624" ht="15.75" customHeight="1">
      <c r="A624" s="2">
        <f>IFERROR(__xludf.DUMMYFUNCTION("""COMPUTED_VALUE"""),45084.0)</f>
        <v>45084</v>
      </c>
      <c r="B624" s="2" t="str">
        <f>IFERROR(__xludf.DUMMYFUNCTION("""COMPUTED_VALUE"""),"SNELLVILLE")</f>
        <v>SNELLVILLE</v>
      </c>
      <c r="C624" s="2">
        <f>IFERROR(__xludf.DUMMYFUNCTION("""COMPUTED_VALUE"""),138.0)</f>
        <v>138</v>
      </c>
    </row>
    <row r="625" ht="15.75" customHeight="1">
      <c r="A625" s="2">
        <f>IFERROR(__xludf.DUMMYFUNCTION("""COMPUTED_VALUE"""),45084.0)</f>
        <v>45084</v>
      </c>
      <c r="B625" s="2" t="str">
        <f>IFERROR(__xludf.DUMMYFUNCTION("""COMPUTED_VALUE"""),"GROUPS")</f>
        <v>GROUPS</v>
      </c>
      <c r="C625" s="2"/>
    </row>
    <row r="626" ht="15.75" customHeight="1">
      <c r="A626" s="2">
        <f>IFERROR(__xludf.DUMMYFUNCTION("""COMPUTED_VALUE"""),45084.0)</f>
        <v>45084</v>
      </c>
      <c r="B626" s="2" t="str">
        <f>IFERROR(__xludf.DUMMYFUNCTION("""COMPUTED_VALUE"""),"Previous Woodstock")</f>
        <v>Previous Woodstock</v>
      </c>
      <c r="C626" s="2"/>
    </row>
    <row r="627" ht="15.75" customHeight="1">
      <c r="A627" s="2">
        <f>IFERROR(__xludf.DUMMYFUNCTION("""COMPUTED_VALUE"""),45084.0)</f>
        <v>45084</v>
      </c>
      <c r="B627" s="2" t="str">
        <f>IFERROR(__xludf.DUMMYFUNCTION("""COMPUTED_VALUE"""),"Previous Lenox/Brookhaven")</f>
        <v>Previous Lenox/Brookhaven</v>
      </c>
      <c r="C627" s="2"/>
    </row>
    <row r="628" ht="15.75" customHeight="1">
      <c r="A628" s="2">
        <f>IFERROR(__xludf.DUMMYFUNCTION("""COMPUTED_VALUE"""),45084.0)</f>
        <v>45084</v>
      </c>
      <c r="B628" s="2" t="str">
        <f>IFERROR(__xludf.DUMMYFUNCTION("""COMPUTED_VALUE"""),"Previous New Chastain")</f>
        <v>Previous New Chastain</v>
      </c>
      <c r="C628" s="2"/>
    </row>
    <row r="629" ht="15.75" customHeight="1">
      <c r="A629" s="2">
        <f>IFERROR(__xludf.DUMMYFUNCTION("""COMPUTED_VALUE"""),45084.0)</f>
        <v>45084</v>
      </c>
      <c r="B629" s="2" t="str">
        <f>IFERROR(__xludf.DUMMYFUNCTION("""COMPUTED_VALUE"""),"Previous Glenwood Park")</f>
        <v>Previous Glenwood Park</v>
      </c>
      <c r="C629" s="2"/>
    </row>
    <row r="630" ht="15.75" customHeight="1">
      <c r="A630" s="2">
        <f>IFERROR(__xludf.DUMMYFUNCTION("""COMPUTED_VALUE"""),45084.0)</f>
        <v>45084</v>
      </c>
      <c r="B630" s="2" t="str">
        <f>IFERROR(__xludf.DUMMYFUNCTION("""COMPUTED_VALUE"""),"FLOWERY BRANCH")</f>
        <v>FLOWERY BRANCH</v>
      </c>
      <c r="C630" s="2">
        <f>IFERROR(__xludf.DUMMYFUNCTION("""COMPUTED_VALUE"""),255.0)</f>
        <v>255</v>
      </c>
    </row>
    <row r="631" ht="15.75" customHeight="1">
      <c r="A631" s="2">
        <f>IFERROR(__xludf.DUMMYFUNCTION("""COMPUTED_VALUE"""),45084.0)</f>
        <v>45084</v>
      </c>
      <c r="B631" s="2" t="str">
        <f>IFERROR(__xludf.DUMMYFUNCTION("""COMPUTED_VALUE"""),"GROUPS ")</f>
        <v>GROUPS </v>
      </c>
      <c r="C631" s="2">
        <f>IFERROR(__xludf.DUMMYFUNCTION("""COMPUTED_VALUE"""),1508.0)</f>
        <v>1508</v>
      </c>
    </row>
    <row r="632" ht="15.75" customHeight="1">
      <c r="A632" s="2">
        <f>IFERROR(__xludf.DUMMYFUNCTION("""COMPUTED_VALUE"""),45084.0)</f>
        <v>45084</v>
      </c>
      <c r="B632" s="2" t="str">
        <f>IFERROR(__xludf.DUMMYFUNCTION("""COMPUTED_VALUE"""),"TOTAL")</f>
        <v>TOTAL</v>
      </c>
      <c r="C632" s="2"/>
    </row>
    <row r="633" ht="15.75" customHeight="1">
      <c r="A633" s="2">
        <f>IFERROR(__xludf.DUMMYFUNCTION("""COMPUTED_VALUE"""),45084.0)</f>
        <v>45084</v>
      </c>
      <c r="B633" s="2" t="str">
        <f>IFERROR(__xludf.DUMMYFUNCTION("""COMPUTED_VALUE"""),"Collective Learning")</f>
        <v>Collective Learning</v>
      </c>
      <c r="C633" s="2"/>
    </row>
    <row r="634" ht="15.75" customHeight="1">
      <c r="A634" s="2">
        <f>IFERROR(__xludf.DUMMYFUNCTION("""COMPUTED_VALUE"""),45084.0)</f>
        <v>45084</v>
      </c>
      <c r="B634" s="2" t="str">
        <f>IFERROR(__xludf.DUMMYFUNCTION("""COMPUTED_VALUE"""),"NOTES")</f>
        <v>NOTES</v>
      </c>
      <c r="C634" s="2"/>
    </row>
    <row r="635" ht="15.75" customHeight="1">
      <c r="A635" s="2">
        <f>IFERROR(__xludf.DUMMYFUNCTION("""COMPUTED_VALUE"""),45091.0)</f>
        <v>45091</v>
      </c>
      <c r="B635" s="2" t="str">
        <f>IFERROR(__xludf.DUMMYFUNCTION("""COMPUTED_VALUE"""),"# of Sandwiches")</f>
        <v># of Sandwiches</v>
      </c>
      <c r="C635" s="2">
        <f>IFERROR(__xludf.DUMMYFUNCTION("""COMPUTED_VALUE"""),10990.0)</f>
        <v>10990</v>
      </c>
    </row>
    <row r="636" ht="15.75" customHeight="1">
      <c r="A636" s="2">
        <f>IFERROR(__xludf.DUMMYFUNCTION("""COMPUTED_VALUE"""),45091.0)</f>
        <v>45091</v>
      </c>
      <c r="B636" s="2" t="str">
        <f>IFERROR(__xludf.DUMMYFUNCTION("""COMPUTED_VALUE"""),"ALPHARETTA")</f>
        <v>ALPHARETTA</v>
      </c>
      <c r="C636" s="2">
        <f>IFERROR(__xludf.DUMMYFUNCTION("""COMPUTED_VALUE"""),1399.0)</f>
        <v>1399</v>
      </c>
    </row>
    <row r="637" ht="15.75" customHeight="1">
      <c r="A637" s="2">
        <f>IFERROR(__xludf.DUMMYFUNCTION("""COMPUTED_VALUE"""),45091.0)</f>
        <v>45091</v>
      </c>
      <c r="B637" s="2" t="str">
        <f>IFERROR(__xludf.DUMMYFUNCTION("""COMPUTED_VALUE"""),"PREVIOUS BUCKHEAD")</f>
        <v>PREVIOUS BUCKHEAD</v>
      </c>
      <c r="C637" s="2"/>
    </row>
    <row r="638" ht="15.75" customHeight="1">
      <c r="A638" s="2">
        <f>IFERROR(__xludf.DUMMYFUNCTION("""COMPUTED_VALUE"""),45091.0)</f>
        <v>45091</v>
      </c>
      <c r="B638" s="2" t="str">
        <f>IFERROR(__xludf.DUMMYFUNCTION("""COMPUTED_VALUE"""),"PREVIOUS OAK GROVE")</f>
        <v>PREVIOUS OAK GROVE</v>
      </c>
      <c r="C638" s="2"/>
    </row>
    <row r="639" ht="15.75" customHeight="1">
      <c r="A639" s="2">
        <f>IFERROR(__xludf.DUMMYFUNCTION("""COMPUTED_VALUE"""),45091.0)</f>
        <v>45091</v>
      </c>
      <c r="B639" s="2" t="str">
        <f>IFERROR(__xludf.DUMMYFUNCTION("""COMPUTED_VALUE"""),"DUNWOODY/PTC ")</f>
        <v>DUNWOODY/PTC </v>
      </c>
      <c r="C639" s="2">
        <f>IFERROR(__xludf.DUMMYFUNCTION("""COMPUTED_VALUE"""),3516.0)</f>
        <v>3516</v>
      </c>
    </row>
    <row r="640" ht="15.75" customHeight="1">
      <c r="A640" s="2">
        <f>IFERROR(__xludf.DUMMYFUNCTION("""COMPUTED_VALUE"""),45091.0)</f>
        <v>45091</v>
      </c>
      <c r="B640" s="2" t="str">
        <f>IFERROR(__xludf.DUMMYFUNCTION("""COMPUTED_VALUE"""),"E COBB/ROSWELL")</f>
        <v>E COBB/ROSWELL</v>
      </c>
      <c r="C640" s="2">
        <f>IFERROR(__xludf.DUMMYFUNCTION("""COMPUTED_VALUE"""),2231.0)</f>
        <v>2231</v>
      </c>
    </row>
    <row r="641" ht="15.75" customHeight="1">
      <c r="A641" s="2">
        <f>IFERROR(__xludf.DUMMYFUNCTION("""COMPUTED_VALUE"""),45091.0)</f>
        <v>45091</v>
      </c>
      <c r="B641" s="2" t="str">
        <f>IFERROR(__xludf.DUMMYFUNCTION("""COMPUTED_VALUE"""),"DECATUR")</f>
        <v>DECATUR</v>
      </c>
      <c r="C641" s="2">
        <f>IFERROR(__xludf.DUMMYFUNCTION("""COMPUTED_VALUE"""),102.0)</f>
        <v>102</v>
      </c>
    </row>
    <row r="642" ht="15.75" customHeight="1">
      <c r="A642" s="2">
        <f>IFERROR(__xludf.DUMMYFUNCTION("""COMPUTED_VALUE"""),45091.0)</f>
        <v>45091</v>
      </c>
      <c r="B642" s="2" t="str">
        <f>IFERROR(__xludf.DUMMYFUNCTION("""COMPUTED_VALUE"""),"P'TREE CORNERS ")</f>
        <v>P'TREE CORNERS </v>
      </c>
      <c r="C642" s="2"/>
    </row>
    <row r="643" ht="15.75" customHeight="1">
      <c r="A643" s="2">
        <f>IFERROR(__xludf.DUMMYFUNCTION("""COMPUTED_VALUE"""),45091.0)</f>
        <v>45091</v>
      </c>
      <c r="B643" s="2" t="str">
        <f>IFERROR(__xludf.DUMMYFUNCTION("""COMPUTED_VALUE"""),"UGA/Athens")</f>
        <v>UGA/Athens</v>
      </c>
      <c r="C643" s="2"/>
    </row>
    <row r="644" ht="15.75" customHeight="1">
      <c r="A644" s="2">
        <f>IFERROR(__xludf.DUMMYFUNCTION("""COMPUTED_VALUE"""),45091.0)</f>
        <v>45091</v>
      </c>
      <c r="B644" s="2" t="str">
        <f>IFERROR(__xludf.DUMMYFUNCTION("""COMPUTED_VALUE"""),"SANDY SPRINGS ")</f>
        <v>SANDY SPRINGS </v>
      </c>
      <c r="C644" s="2">
        <f>IFERROR(__xludf.DUMMYFUNCTION("""COMPUTED_VALUE"""),811.0)</f>
        <v>811</v>
      </c>
    </row>
    <row r="645" ht="15.75" customHeight="1">
      <c r="A645" s="2">
        <f>IFERROR(__xludf.DUMMYFUNCTION("""COMPUTED_VALUE"""),45091.0)</f>
        <v>45091</v>
      </c>
      <c r="B645" s="2" t="str">
        <f>IFERROR(__xludf.DUMMYFUNCTION("""COMPUTED_VALUE"""),"INTOWN/DRUID HILLS ")</f>
        <v>INTOWN/DRUID HILLS </v>
      </c>
      <c r="C645" s="2">
        <f>IFERROR(__xludf.DUMMYFUNCTION("""COMPUTED_VALUE"""),570.0)</f>
        <v>570</v>
      </c>
    </row>
    <row r="646" ht="15.75" customHeight="1">
      <c r="A646" s="2">
        <f>IFERROR(__xludf.DUMMYFUNCTION("""COMPUTED_VALUE"""),45091.0)</f>
        <v>45091</v>
      </c>
      <c r="B646" s="2" t="str">
        <f>IFERROR(__xludf.DUMMYFUNCTION("""COMPUTED_VALUE"""),"SNELLVILLE")</f>
        <v>SNELLVILLE</v>
      </c>
      <c r="C646" s="2">
        <f>IFERROR(__xludf.DUMMYFUNCTION("""COMPUTED_VALUE"""),39.0)</f>
        <v>39</v>
      </c>
    </row>
    <row r="647" ht="15.75" customHeight="1">
      <c r="A647" s="2">
        <f>IFERROR(__xludf.DUMMYFUNCTION("""COMPUTED_VALUE"""),45091.0)</f>
        <v>45091</v>
      </c>
      <c r="B647" s="2" t="str">
        <f>IFERROR(__xludf.DUMMYFUNCTION("""COMPUTED_VALUE"""),"GROUPS")</f>
        <v>GROUPS</v>
      </c>
      <c r="C647" s="2"/>
    </row>
    <row r="648" ht="15.75" customHeight="1">
      <c r="A648" s="2">
        <f>IFERROR(__xludf.DUMMYFUNCTION("""COMPUTED_VALUE"""),45091.0)</f>
        <v>45091</v>
      </c>
      <c r="B648" s="2" t="str">
        <f>IFERROR(__xludf.DUMMYFUNCTION("""COMPUTED_VALUE"""),"Previous Woodstock")</f>
        <v>Previous Woodstock</v>
      </c>
      <c r="C648" s="2"/>
    </row>
    <row r="649" ht="15.75" customHeight="1">
      <c r="A649" s="2">
        <f>IFERROR(__xludf.DUMMYFUNCTION("""COMPUTED_VALUE"""),45091.0)</f>
        <v>45091</v>
      </c>
      <c r="B649" s="2" t="str">
        <f>IFERROR(__xludf.DUMMYFUNCTION("""COMPUTED_VALUE"""),"Previous Lenox/Brookhaven")</f>
        <v>Previous Lenox/Brookhaven</v>
      </c>
      <c r="C649" s="2"/>
    </row>
    <row r="650" ht="15.75" customHeight="1">
      <c r="A650" s="2">
        <f>IFERROR(__xludf.DUMMYFUNCTION("""COMPUTED_VALUE"""),45091.0)</f>
        <v>45091</v>
      </c>
      <c r="B650" s="2" t="str">
        <f>IFERROR(__xludf.DUMMYFUNCTION("""COMPUTED_VALUE"""),"Previous New Chastain")</f>
        <v>Previous New Chastain</v>
      </c>
      <c r="C650" s="2"/>
    </row>
    <row r="651" ht="15.75" customHeight="1">
      <c r="A651" s="2">
        <f>IFERROR(__xludf.DUMMYFUNCTION("""COMPUTED_VALUE"""),45091.0)</f>
        <v>45091</v>
      </c>
      <c r="B651" s="2" t="str">
        <f>IFERROR(__xludf.DUMMYFUNCTION("""COMPUTED_VALUE"""),"Previous Glenwood Park")</f>
        <v>Previous Glenwood Park</v>
      </c>
      <c r="C651" s="2"/>
    </row>
    <row r="652" ht="15.75" customHeight="1">
      <c r="A652" s="2">
        <f>IFERROR(__xludf.DUMMYFUNCTION("""COMPUTED_VALUE"""),45091.0)</f>
        <v>45091</v>
      </c>
      <c r="B652" s="2" t="str">
        <f>IFERROR(__xludf.DUMMYFUNCTION("""COMPUTED_VALUE"""),"FLOWERY BRANCH")</f>
        <v>FLOWERY BRANCH</v>
      </c>
      <c r="C652" s="2">
        <f>IFERROR(__xludf.DUMMYFUNCTION("""COMPUTED_VALUE"""),391.0)</f>
        <v>391</v>
      </c>
    </row>
    <row r="653" ht="15.75" customHeight="1">
      <c r="A653" s="2">
        <f>IFERROR(__xludf.DUMMYFUNCTION("""COMPUTED_VALUE"""),45091.0)</f>
        <v>45091</v>
      </c>
      <c r="B653" s="2" t="str">
        <f>IFERROR(__xludf.DUMMYFUNCTION("""COMPUTED_VALUE"""),"GROUPS ")</f>
        <v>GROUPS </v>
      </c>
      <c r="C653" s="2">
        <f>IFERROR(__xludf.DUMMYFUNCTION("""COMPUTED_VALUE"""),1931.0)</f>
        <v>1931</v>
      </c>
    </row>
    <row r="654" ht="15.75" customHeight="1">
      <c r="A654" s="2">
        <f>IFERROR(__xludf.DUMMYFUNCTION("""COMPUTED_VALUE"""),45091.0)</f>
        <v>45091</v>
      </c>
      <c r="B654" s="2" t="str">
        <f>IFERROR(__xludf.DUMMYFUNCTION("""COMPUTED_VALUE"""),"TOTAL")</f>
        <v>TOTAL</v>
      </c>
      <c r="C654" s="2"/>
    </row>
    <row r="655" ht="15.75" customHeight="1">
      <c r="A655" s="2">
        <f>IFERROR(__xludf.DUMMYFUNCTION("""COMPUTED_VALUE"""),45091.0)</f>
        <v>45091</v>
      </c>
      <c r="B655" s="2" t="str">
        <f>IFERROR(__xludf.DUMMYFUNCTION("""COMPUTED_VALUE"""),"Collective Learning")</f>
        <v>Collective Learning</v>
      </c>
      <c r="C655" s="2"/>
    </row>
    <row r="656" ht="15.75" customHeight="1">
      <c r="A656" s="2">
        <f>IFERROR(__xludf.DUMMYFUNCTION("""COMPUTED_VALUE"""),45091.0)</f>
        <v>45091</v>
      </c>
      <c r="B656" s="2" t="str">
        <f>IFERROR(__xludf.DUMMYFUNCTION("""COMPUTED_VALUE"""),"NOTES")</f>
        <v>NOTES</v>
      </c>
      <c r="C656" s="2"/>
    </row>
    <row r="657" ht="15.75" customHeight="1">
      <c r="A657" s="2">
        <f>IFERROR(__xludf.DUMMYFUNCTION("""COMPUTED_VALUE"""),45098.0)</f>
        <v>45098</v>
      </c>
      <c r="B657" s="2" t="str">
        <f>IFERROR(__xludf.DUMMYFUNCTION("""COMPUTED_VALUE"""),"# of Sandwiches")</f>
        <v># of Sandwiches</v>
      </c>
      <c r="C657" s="2">
        <f>IFERROR(__xludf.DUMMYFUNCTION("""COMPUTED_VALUE"""),8197.0)</f>
        <v>8197</v>
      </c>
    </row>
    <row r="658" ht="15.75" customHeight="1">
      <c r="A658" s="2">
        <f>IFERROR(__xludf.DUMMYFUNCTION("""COMPUTED_VALUE"""),45098.0)</f>
        <v>45098</v>
      </c>
      <c r="B658" s="2" t="str">
        <f>IFERROR(__xludf.DUMMYFUNCTION("""COMPUTED_VALUE"""),"ALPHARETTA")</f>
        <v>ALPHARETTA</v>
      </c>
      <c r="C658" s="2">
        <f>IFERROR(__xludf.DUMMYFUNCTION("""COMPUTED_VALUE"""),1724.0)</f>
        <v>1724</v>
      </c>
    </row>
    <row r="659" ht="15.75" customHeight="1">
      <c r="A659" s="2">
        <f>IFERROR(__xludf.DUMMYFUNCTION("""COMPUTED_VALUE"""),45098.0)</f>
        <v>45098</v>
      </c>
      <c r="B659" s="2" t="str">
        <f>IFERROR(__xludf.DUMMYFUNCTION("""COMPUTED_VALUE"""),"PREVIOUS BUCKHEAD")</f>
        <v>PREVIOUS BUCKHEAD</v>
      </c>
      <c r="C659" s="2"/>
    </row>
    <row r="660" ht="15.75" customHeight="1">
      <c r="A660" s="2">
        <f>IFERROR(__xludf.DUMMYFUNCTION("""COMPUTED_VALUE"""),45098.0)</f>
        <v>45098</v>
      </c>
      <c r="B660" s="2" t="str">
        <f>IFERROR(__xludf.DUMMYFUNCTION("""COMPUTED_VALUE"""),"PREVIOUS OAK GROVE")</f>
        <v>PREVIOUS OAK GROVE</v>
      </c>
      <c r="C660" s="2"/>
    </row>
    <row r="661" ht="15.75" customHeight="1">
      <c r="A661" s="2">
        <f>IFERROR(__xludf.DUMMYFUNCTION("""COMPUTED_VALUE"""),45098.0)</f>
        <v>45098</v>
      </c>
      <c r="B661" s="2" t="str">
        <f>IFERROR(__xludf.DUMMYFUNCTION("""COMPUTED_VALUE"""),"DUNWOODY/PTC ")</f>
        <v>DUNWOODY/PTC </v>
      </c>
      <c r="C661" s="2">
        <f>IFERROR(__xludf.DUMMYFUNCTION("""COMPUTED_VALUE"""),2274.0)</f>
        <v>2274</v>
      </c>
    </row>
    <row r="662" ht="15.75" customHeight="1">
      <c r="A662" s="2">
        <f>IFERROR(__xludf.DUMMYFUNCTION("""COMPUTED_VALUE"""),45098.0)</f>
        <v>45098</v>
      </c>
      <c r="B662" s="2" t="str">
        <f>IFERROR(__xludf.DUMMYFUNCTION("""COMPUTED_VALUE"""),"E COBB/ROSWELL")</f>
        <v>E COBB/ROSWELL</v>
      </c>
      <c r="C662" s="2">
        <f>IFERROR(__xludf.DUMMYFUNCTION("""COMPUTED_VALUE"""),1882.0)</f>
        <v>1882</v>
      </c>
    </row>
    <row r="663" ht="15.75" customHeight="1">
      <c r="A663" s="2">
        <f>IFERROR(__xludf.DUMMYFUNCTION("""COMPUTED_VALUE"""),45098.0)</f>
        <v>45098</v>
      </c>
      <c r="B663" s="2" t="str">
        <f>IFERROR(__xludf.DUMMYFUNCTION("""COMPUTED_VALUE"""),"DECATUR")</f>
        <v>DECATUR</v>
      </c>
      <c r="C663" s="2">
        <f>IFERROR(__xludf.DUMMYFUNCTION("""COMPUTED_VALUE"""),100.0)</f>
        <v>100</v>
      </c>
    </row>
    <row r="664" ht="15.75" customHeight="1">
      <c r="A664" s="2">
        <f>IFERROR(__xludf.DUMMYFUNCTION("""COMPUTED_VALUE"""),45098.0)</f>
        <v>45098</v>
      </c>
      <c r="B664" s="2" t="str">
        <f>IFERROR(__xludf.DUMMYFUNCTION("""COMPUTED_VALUE"""),"P'TREE CORNERS ")</f>
        <v>P'TREE CORNERS </v>
      </c>
      <c r="C664" s="2"/>
    </row>
    <row r="665" ht="15.75" customHeight="1">
      <c r="A665" s="2">
        <f>IFERROR(__xludf.DUMMYFUNCTION("""COMPUTED_VALUE"""),45098.0)</f>
        <v>45098</v>
      </c>
      <c r="B665" s="2" t="str">
        <f>IFERROR(__xludf.DUMMYFUNCTION("""COMPUTED_VALUE"""),"UGA/Athens")</f>
        <v>UGA/Athens</v>
      </c>
      <c r="C665" s="2"/>
    </row>
    <row r="666" ht="15.75" customHeight="1">
      <c r="A666" s="2">
        <f>IFERROR(__xludf.DUMMYFUNCTION("""COMPUTED_VALUE"""),45098.0)</f>
        <v>45098</v>
      </c>
      <c r="B666" s="2" t="str">
        <f>IFERROR(__xludf.DUMMYFUNCTION("""COMPUTED_VALUE"""),"SANDY SPRINGS ")</f>
        <v>SANDY SPRINGS </v>
      </c>
      <c r="C666" s="2">
        <f>IFERROR(__xludf.DUMMYFUNCTION("""COMPUTED_VALUE"""),370.0)</f>
        <v>370</v>
      </c>
    </row>
    <row r="667" ht="15.75" customHeight="1">
      <c r="A667" s="2">
        <f>IFERROR(__xludf.DUMMYFUNCTION("""COMPUTED_VALUE"""),45098.0)</f>
        <v>45098</v>
      </c>
      <c r="B667" s="2" t="str">
        <f>IFERROR(__xludf.DUMMYFUNCTION("""COMPUTED_VALUE"""),"INTOWN/DRUID HILLS ")</f>
        <v>INTOWN/DRUID HILLS </v>
      </c>
      <c r="C667" s="2">
        <f>IFERROR(__xludf.DUMMYFUNCTION("""COMPUTED_VALUE"""),196.0)</f>
        <v>196</v>
      </c>
    </row>
    <row r="668" ht="15.75" customHeight="1">
      <c r="A668" s="2">
        <f>IFERROR(__xludf.DUMMYFUNCTION("""COMPUTED_VALUE"""),45098.0)</f>
        <v>45098</v>
      </c>
      <c r="B668" s="2" t="str">
        <f>IFERROR(__xludf.DUMMYFUNCTION("""COMPUTED_VALUE"""),"SNELLVILLE")</f>
        <v>SNELLVILLE</v>
      </c>
      <c r="C668" s="2">
        <f>IFERROR(__xludf.DUMMYFUNCTION("""COMPUTED_VALUE"""),0.0)</f>
        <v>0</v>
      </c>
    </row>
    <row r="669" ht="15.75" customHeight="1">
      <c r="A669" s="2">
        <f>IFERROR(__xludf.DUMMYFUNCTION("""COMPUTED_VALUE"""),45098.0)</f>
        <v>45098</v>
      </c>
      <c r="B669" s="2" t="str">
        <f>IFERROR(__xludf.DUMMYFUNCTION("""COMPUTED_VALUE"""),"GROUPS")</f>
        <v>GROUPS</v>
      </c>
      <c r="C669" s="2"/>
    </row>
    <row r="670" ht="15.75" customHeight="1">
      <c r="A670" s="2">
        <f>IFERROR(__xludf.DUMMYFUNCTION("""COMPUTED_VALUE"""),45098.0)</f>
        <v>45098</v>
      </c>
      <c r="B670" s="2" t="str">
        <f>IFERROR(__xludf.DUMMYFUNCTION("""COMPUTED_VALUE"""),"Previous Woodstock")</f>
        <v>Previous Woodstock</v>
      </c>
      <c r="C670" s="2"/>
    </row>
    <row r="671" ht="15.75" customHeight="1">
      <c r="A671" s="2">
        <f>IFERROR(__xludf.DUMMYFUNCTION("""COMPUTED_VALUE"""),45098.0)</f>
        <v>45098</v>
      </c>
      <c r="B671" s="2" t="str">
        <f>IFERROR(__xludf.DUMMYFUNCTION("""COMPUTED_VALUE"""),"Previous Lenox/Brookhaven")</f>
        <v>Previous Lenox/Brookhaven</v>
      </c>
      <c r="C671" s="2"/>
    </row>
    <row r="672" ht="15.75" customHeight="1">
      <c r="A672" s="2">
        <f>IFERROR(__xludf.DUMMYFUNCTION("""COMPUTED_VALUE"""),45098.0)</f>
        <v>45098</v>
      </c>
      <c r="B672" s="2" t="str">
        <f>IFERROR(__xludf.DUMMYFUNCTION("""COMPUTED_VALUE"""),"Previous New Chastain")</f>
        <v>Previous New Chastain</v>
      </c>
      <c r="C672" s="2"/>
    </row>
    <row r="673" ht="15.75" customHeight="1">
      <c r="A673" s="2">
        <f>IFERROR(__xludf.DUMMYFUNCTION("""COMPUTED_VALUE"""),45098.0)</f>
        <v>45098</v>
      </c>
      <c r="B673" s="2" t="str">
        <f>IFERROR(__xludf.DUMMYFUNCTION("""COMPUTED_VALUE"""),"Previous Glenwood Park")</f>
        <v>Previous Glenwood Park</v>
      </c>
      <c r="C673" s="2"/>
    </row>
    <row r="674" ht="15.75" customHeight="1">
      <c r="A674" s="2">
        <f>IFERROR(__xludf.DUMMYFUNCTION("""COMPUTED_VALUE"""),45098.0)</f>
        <v>45098</v>
      </c>
      <c r="B674" s="2" t="str">
        <f>IFERROR(__xludf.DUMMYFUNCTION("""COMPUTED_VALUE"""),"FLOWERY BRANCH")</f>
        <v>FLOWERY BRANCH</v>
      </c>
      <c r="C674" s="2">
        <f>IFERROR(__xludf.DUMMYFUNCTION("""COMPUTED_VALUE"""),304.0)</f>
        <v>304</v>
      </c>
    </row>
    <row r="675" ht="15.75" customHeight="1">
      <c r="A675" s="2">
        <f>IFERROR(__xludf.DUMMYFUNCTION("""COMPUTED_VALUE"""),45098.0)</f>
        <v>45098</v>
      </c>
      <c r="B675" s="2" t="str">
        <f>IFERROR(__xludf.DUMMYFUNCTION("""COMPUTED_VALUE"""),"GROUPS ")</f>
        <v>GROUPS </v>
      </c>
      <c r="C675" s="2">
        <f>IFERROR(__xludf.DUMMYFUNCTION("""COMPUTED_VALUE"""),1347.0)</f>
        <v>1347</v>
      </c>
    </row>
    <row r="676" ht="15.75" customHeight="1">
      <c r="A676" s="2">
        <f>IFERROR(__xludf.DUMMYFUNCTION("""COMPUTED_VALUE"""),45098.0)</f>
        <v>45098</v>
      </c>
      <c r="B676" s="2" t="str">
        <f>IFERROR(__xludf.DUMMYFUNCTION("""COMPUTED_VALUE"""),"TOTAL")</f>
        <v>TOTAL</v>
      </c>
      <c r="C676" s="2"/>
    </row>
    <row r="677" ht="15.75" customHeight="1">
      <c r="A677" s="2">
        <f>IFERROR(__xludf.DUMMYFUNCTION("""COMPUTED_VALUE"""),45098.0)</f>
        <v>45098</v>
      </c>
      <c r="B677" s="2" t="str">
        <f>IFERROR(__xludf.DUMMYFUNCTION("""COMPUTED_VALUE"""),"Collective Learning")</f>
        <v>Collective Learning</v>
      </c>
      <c r="C677" s="2"/>
    </row>
    <row r="678" ht="15.75" customHeight="1">
      <c r="A678" s="2">
        <f>IFERROR(__xludf.DUMMYFUNCTION("""COMPUTED_VALUE"""),45098.0)</f>
        <v>45098</v>
      </c>
      <c r="B678" s="2" t="str">
        <f>IFERROR(__xludf.DUMMYFUNCTION("""COMPUTED_VALUE"""),"NOTES")</f>
        <v>NOTES</v>
      </c>
      <c r="C678" s="2"/>
    </row>
    <row r="679" ht="15.75" customHeight="1">
      <c r="A679" s="2">
        <f>IFERROR(__xludf.DUMMYFUNCTION("""COMPUTED_VALUE"""),45105.0)</f>
        <v>45105</v>
      </c>
      <c r="B679" s="2" t="str">
        <f>IFERROR(__xludf.DUMMYFUNCTION("""COMPUTED_VALUE"""),"# of Sandwiches")</f>
        <v># of Sandwiches</v>
      </c>
      <c r="C679" s="2">
        <f>IFERROR(__xludf.DUMMYFUNCTION("""COMPUTED_VALUE"""),9110.0)</f>
        <v>9110</v>
      </c>
    </row>
    <row r="680" ht="15.75" customHeight="1">
      <c r="A680" s="2">
        <f>IFERROR(__xludf.DUMMYFUNCTION("""COMPUTED_VALUE"""),45105.0)</f>
        <v>45105</v>
      </c>
      <c r="B680" s="2" t="str">
        <f>IFERROR(__xludf.DUMMYFUNCTION("""COMPUTED_VALUE"""),"ALPHARETTA")</f>
        <v>ALPHARETTA</v>
      </c>
      <c r="C680" s="2">
        <f>IFERROR(__xludf.DUMMYFUNCTION("""COMPUTED_VALUE"""),1672.0)</f>
        <v>1672</v>
      </c>
    </row>
    <row r="681" ht="15.75" customHeight="1">
      <c r="A681" s="2">
        <f>IFERROR(__xludf.DUMMYFUNCTION("""COMPUTED_VALUE"""),45105.0)</f>
        <v>45105</v>
      </c>
      <c r="B681" s="2" t="str">
        <f>IFERROR(__xludf.DUMMYFUNCTION("""COMPUTED_VALUE"""),"PREVIOUS BUCKHEAD")</f>
        <v>PREVIOUS BUCKHEAD</v>
      </c>
      <c r="C681" s="2"/>
    </row>
    <row r="682" ht="15.75" customHeight="1">
      <c r="A682" s="2">
        <f>IFERROR(__xludf.DUMMYFUNCTION("""COMPUTED_VALUE"""),45105.0)</f>
        <v>45105</v>
      </c>
      <c r="B682" s="2" t="str">
        <f>IFERROR(__xludf.DUMMYFUNCTION("""COMPUTED_VALUE"""),"PREVIOUS OAK GROVE")</f>
        <v>PREVIOUS OAK GROVE</v>
      </c>
      <c r="C682" s="2"/>
    </row>
    <row r="683" ht="15.75" customHeight="1">
      <c r="A683" s="2">
        <f>IFERROR(__xludf.DUMMYFUNCTION("""COMPUTED_VALUE"""),45105.0)</f>
        <v>45105</v>
      </c>
      <c r="B683" s="2" t="str">
        <f>IFERROR(__xludf.DUMMYFUNCTION("""COMPUTED_VALUE"""),"DUNWOODY/PTC ")</f>
        <v>DUNWOODY/PTC </v>
      </c>
      <c r="C683" s="2">
        <f>IFERROR(__xludf.DUMMYFUNCTION("""COMPUTED_VALUE"""),1599.0)</f>
        <v>1599</v>
      </c>
    </row>
    <row r="684" ht="15.75" customHeight="1">
      <c r="A684" s="2">
        <f>IFERROR(__xludf.DUMMYFUNCTION("""COMPUTED_VALUE"""),45105.0)</f>
        <v>45105</v>
      </c>
      <c r="B684" s="2" t="str">
        <f>IFERROR(__xludf.DUMMYFUNCTION("""COMPUTED_VALUE"""),"E COBB/ROSWELL")</f>
        <v>E COBB/ROSWELL</v>
      </c>
      <c r="C684" s="2">
        <f>IFERROR(__xludf.DUMMYFUNCTION("""COMPUTED_VALUE"""),1880.0)</f>
        <v>1880</v>
      </c>
    </row>
    <row r="685" ht="15.75" customHeight="1">
      <c r="A685" s="2">
        <f>IFERROR(__xludf.DUMMYFUNCTION("""COMPUTED_VALUE"""),45105.0)</f>
        <v>45105</v>
      </c>
      <c r="B685" s="2" t="str">
        <f>IFERROR(__xludf.DUMMYFUNCTION("""COMPUTED_VALUE"""),"DECATUR")</f>
        <v>DECATUR</v>
      </c>
      <c r="C685" s="2">
        <f>IFERROR(__xludf.DUMMYFUNCTION("""COMPUTED_VALUE"""),126.0)</f>
        <v>126</v>
      </c>
    </row>
    <row r="686" ht="15.75" customHeight="1">
      <c r="A686" s="2">
        <f>IFERROR(__xludf.DUMMYFUNCTION("""COMPUTED_VALUE"""),45105.0)</f>
        <v>45105</v>
      </c>
      <c r="B686" s="2" t="str">
        <f>IFERROR(__xludf.DUMMYFUNCTION("""COMPUTED_VALUE"""),"P'TREE CORNERS ")</f>
        <v>P'TREE CORNERS </v>
      </c>
      <c r="C686" s="2"/>
    </row>
    <row r="687" ht="15.75" customHeight="1">
      <c r="A687" s="2">
        <f>IFERROR(__xludf.DUMMYFUNCTION("""COMPUTED_VALUE"""),45105.0)</f>
        <v>45105</v>
      </c>
      <c r="B687" s="2" t="str">
        <f>IFERROR(__xludf.DUMMYFUNCTION("""COMPUTED_VALUE"""),"UGA/Athens")</f>
        <v>UGA/Athens</v>
      </c>
      <c r="C687" s="2"/>
    </row>
    <row r="688" ht="15.75" customHeight="1">
      <c r="A688" s="2">
        <f>IFERROR(__xludf.DUMMYFUNCTION("""COMPUTED_VALUE"""),45105.0)</f>
        <v>45105</v>
      </c>
      <c r="B688" s="2" t="str">
        <f>IFERROR(__xludf.DUMMYFUNCTION("""COMPUTED_VALUE"""),"SANDY SPRINGS ")</f>
        <v>SANDY SPRINGS </v>
      </c>
      <c r="C688" s="2">
        <f>IFERROR(__xludf.DUMMYFUNCTION("""COMPUTED_VALUE"""),460.0)</f>
        <v>460</v>
      </c>
    </row>
    <row r="689" ht="15.75" customHeight="1">
      <c r="A689" s="2">
        <f>IFERROR(__xludf.DUMMYFUNCTION("""COMPUTED_VALUE"""),45105.0)</f>
        <v>45105</v>
      </c>
      <c r="B689" s="2" t="str">
        <f>IFERROR(__xludf.DUMMYFUNCTION("""COMPUTED_VALUE"""),"INTOWN/DRUID HILLS ")</f>
        <v>INTOWN/DRUID HILLS </v>
      </c>
      <c r="C689" s="2">
        <f>IFERROR(__xludf.DUMMYFUNCTION("""COMPUTED_VALUE"""),179.0)</f>
        <v>179</v>
      </c>
    </row>
    <row r="690" ht="15.75" customHeight="1">
      <c r="A690" s="2">
        <f>IFERROR(__xludf.DUMMYFUNCTION("""COMPUTED_VALUE"""),45105.0)</f>
        <v>45105</v>
      </c>
      <c r="B690" s="2" t="str">
        <f>IFERROR(__xludf.DUMMYFUNCTION("""COMPUTED_VALUE"""),"SNELLVILLE")</f>
        <v>SNELLVILLE</v>
      </c>
      <c r="C690" s="2">
        <f>IFERROR(__xludf.DUMMYFUNCTION("""COMPUTED_VALUE"""),96.0)</f>
        <v>96</v>
      </c>
    </row>
    <row r="691" ht="15.75" customHeight="1">
      <c r="A691" s="2">
        <f>IFERROR(__xludf.DUMMYFUNCTION("""COMPUTED_VALUE"""),45105.0)</f>
        <v>45105</v>
      </c>
      <c r="B691" s="2" t="str">
        <f>IFERROR(__xludf.DUMMYFUNCTION("""COMPUTED_VALUE"""),"GROUPS")</f>
        <v>GROUPS</v>
      </c>
      <c r="C691" s="2"/>
    </row>
    <row r="692" ht="15.75" customHeight="1">
      <c r="A692" s="2">
        <f>IFERROR(__xludf.DUMMYFUNCTION("""COMPUTED_VALUE"""),45105.0)</f>
        <v>45105</v>
      </c>
      <c r="B692" s="2" t="str">
        <f>IFERROR(__xludf.DUMMYFUNCTION("""COMPUTED_VALUE"""),"Previous Woodstock")</f>
        <v>Previous Woodstock</v>
      </c>
      <c r="C692" s="2"/>
    </row>
    <row r="693" ht="15.75" customHeight="1">
      <c r="A693" s="2">
        <f>IFERROR(__xludf.DUMMYFUNCTION("""COMPUTED_VALUE"""),45105.0)</f>
        <v>45105</v>
      </c>
      <c r="B693" s="2" t="str">
        <f>IFERROR(__xludf.DUMMYFUNCTION("""COMPUTED_VALUE"""),"Previous Lenox/Brookhaven")</f>
        <v>Previous Lenox/Brookhaven</v>
      </c>
      <c r="C693" s="2"/>
    </row>
    <row r="694" ht="15.75" customHeight="1">
      <c r="A694" s="2">
        <f>IFERROR(__xludf.DUMMYFUNCTION("""COMPUTED_VALUE"""),45105.0)</f>
        <v>45105</v>
      </c>
      <c r="B694" s="2" t="str">
        <f>IFERROR(__xludf.DUMMYFUNCTION("""COMPUTED_VALUE"""),"Previous New Chastain")</f>
        <v>Previous New Chastain</v>
      </c>
      <c r="C694" s="2"/>
    </row>
    <row r="695" ht="15.75" customHeight="1">
      <c r="A695" s="2">
        <f>IFERROR(__xludf.DUMMYFUNCTION("""COMPUTED_VALUE"""),45105.0)</f>
        <v>45105</v>
      </c>
      <c r="B695" s="2" t="str">
        <f>IFERROR(__xludf.DUMMYFUNCTION("""COMPUTED_VALUE"""),"Previous Glenwood Park")</f>
        <v>Previous Glenwood Park</v>
      </c>
      <c r="C695" s="2"/>
    </row>
    <row r="696" ht="15.75" customHeight="1">
      <c r="A696" s="2">
        <f>IFERROR(__xludf.DUMMYFUNCTION("""COMPUTED_VALUE"""),45105.0)</f>
        <v>45105</v>
      </c>
      <c r="B696" s="2" t="str">
        <f>IFERROR(__xludf.DUMMYFUNCTION("""COMPUTED_VALUE"""),"FLOWERY BRANCH")</f>
        <v>FLOWERY BRANCH</v>
      </c>
      <c r="C696" s="2">
        <f>IFERROR(__xludf.DUMMYFUNCTION("""COMPUTED_VALUE"""),0.0)</f>
        <v>0</v>
      </c>
    </row>
    <row r="697" ht="15.75" customHeight="1">
      <c r="A697" s="2">
        <f>IFERROR(__xludf.DUMMYFUNCTION("""COMPUTED_VALUE"""),45105.0)</f>
        <v>45105</v>
      </c>
      <c r="B697" s="2" t="str">
        <f>IFERROR(__xludf.DUMMYFUNCTION("""COMPUTED_VALUE"""),"GROUPS ")</f>
        <v>GROUPS </v>
      </c>
      <c r="C697" s="2">
        <f>IFERROR(__xludf.DUMMYFUNCTION("""COMPUTED_VALUE"""),3098.0)</f>
        <v>3098</v>
      </c>
    </row>
    <row r="698" ht="15.75" customHeight="1">
      <c r="A698" s="2">
        <f>IFERROR(__xludf.DUMMYFUNCTION("""COMPUTED_VALUE"""),45105.0)</f>
        <v>45105</v>
      </c>
      <c r="B698" s="2" t="str">
        <f>IFERROR(__xludf.DUMMYFUNCTION("""COMPUTED_VALUE"""),"TOTAL")</f>
        <v>TOTAL</v>
      </c>
      <c r="C698" s="2"/>
    </row>
    <row r="699" ht="15.75" customHeight="1">
      <c r="A699" s="2">
        <f>IFERROR(__xludf.DUMMYFUNCTION("""COMPUTED_VALUE"""),45105.0)</f>
        <v>45105</v>
      </c>
      <c r="B699" s="2" t="str">
        <f>IFERROR(__xludf.DUMMYFUNCTION("""COMPUTED_VALUE"""),"Collective Learning")</f>
        <v>Collective Learning</v>
      </c>
      <c r="C699" s="2"/>
    </row>
    <row r="700" ht="15.75" customHeight="1">
      <c r="A700" s="2">
        <f>IFERROR(__xludf.DUMMYFUNCTION("""COMPUTED_VALUE"""),45105.0)</f>
        <v>45105</v>
      </c>
      <c r="B700" s="2" t="str">
        <f>IFERROR(__xludf.DUMMYFUNCTION("""COMPUTED_VALUE"""),"NOTES")</f>
        <v>NOTES</v>
      </c>
      <c r="C700" s="2"/>
    </row>
    <row r="701" ht="15.75" customHeight="1">
      <c r="A701" s="2">
        <f>IFERROR(__xludf.DUMMYFUNCTION("""COMPUTED_VALUE"""),45112.0)</f>
        <v>45112</v>
      </c>
      <c r="B701" s="2" t="str">
        <f>IFERROR(__xludf.DUMMYFUNCTION("""COMPUTED_VALUE"""),"# of Sandwiches")</f>
        <v># of Sandwiches</v>
      </c>
      <c r="C701" s="2">
        <f>IFERROR(__xludf.DUMMYFUNCTION("""COMPUTED_VALUE"""),0.0)</f>
        <v>0</v>
      </c>
    </row>
    <row r="702" ht="15.75" customHeight="1">
      <c r="A702" s="2">
        <f>IFERROR(__xludf.DUMMYFUNCTION("""COMPUTED_VALUE"""),45112.0)</f>
        <v>45112</v>
      </c>
      <c r="B702" s="2" t="str">
        <f>IFERROR(__xludf.DUMMYFUNCTION("""COMPUTED_VALUE"""),"ALPHARETTA")</f>
        <v>ALPHARETTA</v>
      </c>
      <c r="C702" s="2">
        <f>IFERROR(__xludf.DUMMYFUNCTION("""COMPUTED_VALUE"""),0.0)</f>
        <v>0</v>
      </c>
    </row>
    <row r="703" ht="15.75" customHeight="1">
      <c r="A703" s="2">
        <f>IFERROR(__xludf.DUMMYFUNCTION("""COMPUTED_VALUE"""),45112.0)</f>
        <v>45112</v>
      </c>
      <c r="B703" s="2" t="str">
        <f>IFERROR(__xludf.DUMMYFUNCTION("""COMPUTED_VALUE"""),"PREVIOUS BUCKHEAD")</f>
        <v>PREVIOUS BUCKHEAD</v>
      </c>
      <c r="C703" s="2"/>
    </row>
    <row r="704" ht="15.75" customHeight="1">
      <c r="A704" s="2">
        <f>IFERROR(__xludf.DUMMYFUNCTION("""COMPUTED_VALUE"""),45112.0)</f>
        <v>45112</v>
      </c>
      <c r="B704" s="2" t="str">
        <f>IFERROR(__xludf.DUMMYFUNCTION("""COMPUTED_VALUE"""),"PREVIOUS OAK GROVE")</f>
        <v>PREVIOUS OAK GROVE</v>
      </c>
      <c r="C704" s="2"/>
    </row>
    <row r="705" ht="15.75" customHeight="1">
      <c r="A705" s="2">
        <f>IFERROR(__xludf.DUMMYFUNCTION("""COMPUTED_VALUE"""),45112.0)</f>
        <v>45112</v>
      </c>
      <c r="B705" s="2" t="str">
        <f>IFERROR(__xludf.DUMMYFUNCTION("""COMPUTED_VALUE"""),"DUNWOODY/PTC ")</f>
        <v>DUNWOODY/PTC </v>
      </c>
      <c r="C705" s="2">
        <f>IFERROR(__xludf.DUMMYFUNCTION("""COMPUTED_VALUE"""),0.0)</f>
        <v>0</v>
      </c>
    </row>
    <row r="706" ht="15.75" customHeight="1">
      <c r="A706" s="2">
        <f>IFERROR(__xludf.DUMMYFUNCTION("""COMPUTED_VALUE"""),45112.0)</f>
        <v>45112</v>
      </c>
      <c r="B706" s="2" t="str">
        <f>IFERROR(__xludf.DUMMYFUNCTION("""COMPUTED_VALUE"""),"E COBB/ROSWELL")</f>
        <v>E COBB/ROSWELL</v>
      </c>
      <c r="C706" s="2">
        <f>IFERROR(__xludf.DUMMYFUNCTION("""COMPUTED_VALUE"""),0.0)</f>
        <v>0</v>
      </c>
    </row>
    <row r="707" ht="15.75" customHeight="1">
      <c r="A707" s="2">
        <f>IFERROR(__xludf.DUMMYFUNCTION("""COMPUTED_VALUE"""),45112.0)</f>
        <v>45112</v>
      </c>
      <c r="B707" s="2" t="str">
        <f>IFERROR(__xludf.DUMMYFUNCTION("""COMPUTED_VALUE"""),"DECATUR")</f>
        <v>DECATUR</v>
      </c>
      <c r="C707" s="2">
        <f>IFERROR(__xludf.DUMMYFUNCTION("""COMPUTED_VALUE"""),0.0)</f>
        <v>0</v>
      </c>
    </row>
    <row r="708" ht="15.75" customHeight="1">
      <c r="A708" s="2">
        <f>IFERROR(__xludf.DUMMYFUNCTION("""COMPUTED_VALUE"""),45112.0)</f>
        <v>45112</v>
      </c>
      <c r="B708" s="2" t="str">
        <f>IFERROR(__xludf.DUMMYFUNCTION("""COMPUTED_VALUE"""),"P'TREE CORNERS ")</f>
        <v>P'TREE CORNERS </v>
      </c>
      <c r="C708" s="2"/>
    </row>
    <row r="709" ht="15.75" customHeight="1">
      <c r="A709" s="2">
        <f>IFERROR(__xludf.DUMMYFUNCTION("""COMPUTED_VALUE"""),45112.0)</f>
        <v>45112</v>
      </c>
      <c r="B709" s="2" t="str">
        <f>IFERROR(__xludf.DUMMYFUNCTION("""COMPUTED_VALUE"""),"UGA/Athens")</f>
        <v>UGA/Athens</v>
      </c>
      <c r="C709" s="2"/>
    </row>
    <row r="710" ht="15.75" customHeight="1">
      <c r="A710" s="2">
        <f>IFERROR(__xludf.DUMMYFUNCTION("""COMPUTED_VALUE"""),45112.0)</f>
        <v>45112</v>
      </c>
      <c r="B710" s="2" t="str">
        <f>IFERROR(__xludf.DUMMYFUNCTION("""COMPUTED_VALUE"""),"SANDY SPRINGS ")</f>
        <v>SANDY SPRINGS </v>
      </c>
      <c r="C710" s="2">
        <f>IFERROR(__xludf.DUMMYFUNCTION("""COMPUTED_VALUE"""),0.0)</f>
        <v>0</v>
      </c>
    </row>
    <row r="711" ht="15.75" customHeight="1">
      <c r="A711" s="2">
        <f>IFERROR(__xludf.DUMMYFUNCTION("""COMPUTED_VALUE"""),45112.0)</f>
        <v>45112</v>
      </c>
      <c r="B711" s="2" t="str">
        <f>IFERROR(__xludf.DUMMYFUNCTION("""COMPUTED_VALUE"""),"INTOWN/DRUID HILLS ")</f>
        <v>INTOWN/DRUID HILLS </v>
      </c>
      <c r="C711" s="2">
        <f>IFERROR(__xludf.DUMMYFUNCTION("""COMPUTED_VALUE"""),0.0)</f>
        <v>0</v>
      </c>
    </row>
    <row r="712" ht="15.75" customHeight="1">
      <c r="A712" s="2">
        <f>IFERROR(__xludf.DUMMYFUNCTION("""COMPUTED_VALUE"""),45112.0)</f>
        <v>45112</v>
      </c>
      <c r="B712" s="2" t="str">
        <f>IFERROR(__xludf.DUMMYFUNCTION("""COMPUTED_VALUE"""),"SNELLVILLE")</f>
        <v>SNELLVILLE</v>
      </c>
      <c r="C712" s="2">
        <f>IFERROR(__xludf.DUMMYFUNCTION("""COMPUTED_VALUE"""),0.0)</f>
        <v>0</v>
      </c>
    </row>
    <row r="713" ht="15.75" customHeight="1">
      <c r="A713" s="2">
        <f>IFERROR(__xludf.DUMMYFUNCTION("""COMPUTED_VALUE"""),45112.0)</f>
        <v>45112</v>
      </c>
      <c r="B713" s="2" t="str">
        <f>IFERROR(__xludf.DUMMYFUNCTION("""COMPUTED_VALUE"""),"GROUPS")</f>
        <v>GROUPS</v>
      </c>
      <c r="C713" s="2"/>
    </row>
    <row r="714" ht="15.75" customHeight="1">
      <c r="A714" s="2">
        <f>IFERROR(__xludf.DUMMYFUNCTION("""COMPUTED_VALUE"""),45112.0)</f>
        <v>45112</v>
      </c>
      <c r="B714" s="2" t="str">
        <f>IFERROR(__xludf.DUMMYFUNCTION("""COMPUTED_VALUE"""),"Previous Woodstock")</f>
        <v>Previous Woodstock</v>
      </c>
      <c r="C714" s="2"/>
    </row>
    <row r="715" ht="15.75" customHeight="1">
      <c r="A715" s="2">
        <f>IFERROR(__xludf.DUMMYFUNCTION("""COMPUTED_VALUE"""),45112.0)</f>
        <v>45112</v>
      </c>
      <c r="B715" s="2" t="str">
        <f>IFERROR(__xludf.DUMMYFUNCTION("""COMPUTED_VALUE"""),"Previous Lenox/Brookhaven")</f>
        <v>Previous Lenox/Brookhaven</v>
      </c>
      <c r="C715" s="2"/>
    </row>
    <row r="716" ht="15.75" customHeight="1">
      <c r="A716" s="2">
        <f>IFERROR(__xludf.DUMMYFUNCTION("""COMPUTED_VALUE"""),45112.0)</f>
        <v>45112</v>
      </c>
      <c r="B716" s="2" t="str">
        <f>IFERROR(__xludf.DUMMYFUNCTION("""COMPUTED_VALUE"""),"Previous New Chastain")</f>
        <v>Previous New Chastain</v>
      </c>
      <c r="C716" s="2"/>
    </row>
    <row r="717" ht="15.75" customHeight="1">
      <c r="A717" s="2">
        <f>IFERROR(__xludf.DUMMYFUNCTION("""COMPUTED_VALUE"""),45112.0)</f>
        <v>45112</v>
      </c>
      <c r="B717" s="2" t="str">
        <f>IFERROR(__xludf.DUMMYFUNCTION("""COMPUTED_VALUE"""),"Previous Glenwood Park")</f>
        <v>Previous Glenwood Park</v>
      </c>
      <c r="C717" s="2"/>
    </row>
    <row r="718" ht="15.75" customHeight="1">
      <c r="A718" s="2">
        <f>IFERROR(__xludf.DUMMYFUNCTION("""COMPUTED_VALUE"""),45112.0)</f>
        <v>45112</v>
      </c>
      <c r="B718" s="2" t="str">
        <f>IFERROR(__xludf.DUMMYFUNCTION("""COMPUTED_VALUE"""),"FLOWERY BRANCH")</f>
        <v>FLOWERY BRANCH</v>
      </c>
      <c r="C718" s="2">
        <f>IFERROR(__xludf.DUMMYFUNCTION("""COMPUTED_VALUE"""),0.0)</f>
        <v>0</v>
      </c>
    </row>
    <row r="719" ht="15.75" customHeight="1">
      <c r="A719" s="2">
        <f>IFERROR(__xludf.DUMMYFUNCTION("""COMPUTED_VALUE"""),45112.0)</f>
        <v>45112</v>
      </c>
      <c r="B719" s="2" t="str">
        <f>IFERROR(__xludf.DUMMYFUNCTION("""COMPUTED_VALUE"""),"GROUPS ")</f>
        <v>GROUPS </v>
      </c>
      <c r="C719" s="2">
        <f>IFERROR(__xludf.DUMMYFUNCTION("""COMPUTED_VALUE"""),0.0)</f>
        <v>0</v>
      </c>
    </row>
    <row r="720" ht="15.75" customHeight="1">
      <c r="A720" s="2">
        <f>IFERROR(__xludf.DUMMYFUNCTION("""COMPUTED_VALUE"""),45112.0)</f>
        <v>45112</v>
      </c>
      <c r="B720" s="2" t="str">
        <f>IFERROR(__xludf.DUMMYFUNCTION("""COMPUTED_VALUE"""),"TOTAL")</f>
        <v>TOTAL</v>
      </c>
      <c r="C720" s="2"/>
    </row>
    <row r="721" ht="15.75" customHeight="1">
      <c r="A721" s="2">
        <f>IFERROR(__xludf.DUMMYFUNCTION("""COMPUTED_VALUE"""),45112.0)</f>
        <v>45112</v>
      </c>
      <c r="B721" s="2" t="str">
        <f>IFERROR(__xludf.DUMMYFUNCTION("""COMPUTED_VALUE"""),"Collective Learning")</f>
        <v>Collective Learning</v>
      </c>
      <c r="C721" s="2"/>
    </row>
    <row r="722" ht="15.75" customHeight="1">
      <c r="A722" s="2">
        <f>IFERROR(__xludf.DUMMYFUNCTION("""COMPUTED_VALUE"""),45112.0)</f>
        <v>45112</v>
      </c>
      <c r="B722" s="2" t="str">
        <f>IFERROR(__xludf.DUMMYFUNCTION("""COMPUTED_VALUE"""),"NOTES")</f>
        <v>NOTES</v>
      </c>
      <c r="C722" s="2"/>
    </row>
    <row r="723" ht="15.75" customHeight="1">
      <c r="A723" s="2">
        <f>IFERROR(__xludf.DUMMYFUNCTION("""COMPUTED_VALUE"""),45118.0)</f>
        <v>45118</v>
      </c>
      <c r="B723" s="2" t="str">
        <f>IFERROR(__xludf.DUMMYFUNCTION("""COMPUTED_VALUE"""),"# of Sandwiches")</f>
        <v># of Sandwiches</v>
      </c>
      <c r="C723" s="2">
        <f>IFERROR(__xludf.DUMMYFUNCTION("""COMPUTED_VALUE"""),9509.0)</f>
        <v>9509</v>
      </c>
    </row>
    <row r="724" ht="15.75" customHeight="1">
      <c r="A724" s="2">
        <f>IFERROR(__xludf.DUMMYFUNCTION("""COMPUTED_VALUE"""),45118.0)</f>
        <v>45118</v>
      </c>
      <c r="B724" s="2" t="str">
        <f>IFERROR(__xludf.DUMMYFUNCTION("""COMPUTED_VALUE"""),"ALPHARETTA")</f>
        <v>ALPHARETTA</v>
      </c>
      <c r="C724" s="2">
        <f>IFERROR(__xludf.DUMMYFUNCTION("""COMPUTED_VALUE"""),2143.0)</f>
        <v>2143</v>
      </c>
    </row>
    <row r="725" ht="15.75" customHeight="1">
      <c r="A725" s="2">
        <f>IFERROR(__xludf.DUMMYFUNCTION("""COMPUTED_VALUE"""),45118.0)</f>
        <v>45118</v>
      </c>
      <c r="B725" s="2" t="str">
        <f>IFERROR(__xludf.DUMMYFUNCTION("""COMPUTED_VALUE"""),"PREVIOUS BUCKHEAD")</f>
        <v>PREVIOUS BUCKHEAD</v>
      </c>
      <c r="C725" s="2"/>
    </row>
    <row r="726" ht="15.75" customHeight="1">
      <c r="A726" s="2">
        <f>IFERROR(__xludf.DUMMYFUNCTION("""COMPUTED_VALUE"""),45118.0)</f>
        <v>45118</v>
      </c>
      <c r="B726" s="2" t="str">
        <f>IFERROR(__xludf.DUMMYFUNCTION("""COMPUTED_VALUE"""),"PREVIOUS OAK GROVE")</f>
        <v>PREVIOUS OAK GROVE</v>
      </c>
      <c r="C726" s="2"/>
    </row>
    <row r="727" ht="15.75" customHeight="1">
      <c r="A727" s="2">
        <f>IFERROR(__xludf.DUMMYFUNCTION("""COMPUTED_VALUE"""),45118.0)</f>
        <v>45118</v>
      </c>
      <c r="B727" s="2" t="str">
        <f>IFERROR(__xludf.DUMMYFUNCTION("""COMPUTED_VALUE"""),"DUNWOODY/PTC ")</f>
        <v>DUNWOODY/PTC </v>
      </c>
      <c r="C727" s="2">
        <f>IFERROR(__xludf.DUMMYFUNCTION("""COMPUTED_VALUE"""),2350.0)</f>
        <v>2350</v>
      </c>
    </row>
    <row r="728" ht="15.75" customHeight="1">
      <c r="A728" s="2">
        <f>IFERROR(__xludf.DUMMYFUNCTION("""COMPUTED_VALUE"""),45118.0)</f>
        <v>45118</v>
      </c>
      <c r="B728" s="2" t="str">
        <f>IFERROR(__xludf.DUMMYFUNCTION("""COMPUTED_VALUE"""),"E COBB/ROSWELL")</f>
        <v>E COBB/ROSWELL</v>
      </c>
      <c r="C728" s="2">
        <f>IFERROR(__xludf.DUMMYFUNCTION("""COMPUTED_VALUE"""),1690.0)</f>
        <v>1690</v>
      </c>
    </row>
    <row r="729" ht="15.75" customHeight="1">
      <c r="A729" s="2">
        <f>IFERROR(__xludf.DUMMYFUNCTION("""COMPUTED_VALUE"""),45118.0)</f>
        <v>45118</v>
      </c>
      <c r="B729" s="2" t="str">
        <f>IFERROR(__xludf.DUMMYFUNCTION("""COMPUTED_VALUE"""),"DECATUR")</f>
        <v>DECATUR</v>
      </c>
      <c r="C729" s="2">
        <f>IFERROR(__xludf.DUMMYFUNCTION("""COMPUTED_VALUE"""),0.0)</f>
        <v>0</v>
      </c>
    </row>
    <row r="730" ht="15.75" customHeight="1">
      <c r="A730" s="2">
        <f>IFERROR(__xludf.DUMMYFUNCTION("""COMPUTED_VALUE"""),45118.0)</f>
        <v>45118</v>
      </c>
      <c r="B730" s="2" t="str">
        <f>IFERROR(__xludf.DUMMYFUNCTION("""COMPUTED_VALUE"""),"P'TREE CORNERS ")</f>
        <v>P'TREE CORNERS </v>
      </c>
      <c r="C730" s="2"/>
    </row>
    <row r="731" ht="15.75" customHeight="1">
      <c r="A731" s="2">
        <f>IFERROR(__xludf.DUMMYFUNCTION("""COMPUTED_VALUE"""),45118.0)</f>
        <v>45118</v>
      </c>
      <c r="B731" s="2" t="str">
        <f>IFERROR(__xludf.DUMMYFUNCTION("""COMPUTED_VALUE"""),"UGA/Athens")</f>
        <v>UGA/Athens</v>
      </c>
      <c r="C731" s="2"/>
    </row>
    <row r="732" ht="15.75" customHeight="1">
      <c r="A732" s="2">
        <f>IFERROR(__xludf.DUMMYFUNCTION("""COMPUTED_VALUE"""),45118.0)</f>
        <v>45118</v>
      </c>
      <c r="B732" s="2" t="str">
        <f>IFERROR(__xludf.DUMMYFUNCTION("""COMPUTED_VALUE"""),"SANDY SPRINGS ")</f>
        <v>SANDY SPRINGS </v>
      </c>
      <c r="C732" s="2">
        <f>IFERROR(__xludf.DUMMYFUNCTION("""COMPUTED_VALUE"""),481.0)</f>
        <v>481</v>
      </c>
    </row>
    <row r="733" ht="15.75" customHeight="1">
      <c r="A733" s="2">
        <f>IFERROR(__xludf.DUMMYFUNCTION("""COMPUTED_VALUE"""),45118.0)</f>
        <v>45118</v>
      </c>
      <c r="B733" s="2" t="str">
        <f>IFERROR(__xludf.DUMMYFUNCTION("""COMPUTED_VALUE"""),"INTOWN/DRUID HILLS ")</f>
        <v>INTOWN/DRUID HILLS </v>
      </c>
      <c r="C733" s="2">
        <f>IFERROR(__xludf.DUMMYFUNCTION("""COMPUTED_VALUE"""),656.0)</f>
        <v>656</v>
      </c>
    </row>
    <row r="734" ht="15.75" customHeight="1">
      <c r="A734" s="2">
        <f>IFERROR(__xludf.DUMMYFUNCTION("""COMPUTED_VALUE"""),45118.0)</f>
        <v>45118</v>
      </c>
      <c r="B734" s="2" t="str">
        <f>IFERROR(__xludf.DUMMYFUNCTION("""COMPUTED_VALUE"""),"SNELLVILLE")</f>
        <v>SNELLVILLE</v>
      </c>
      <c r="C734" s="2">
        <f>IFERROR(__xludf.DUMMYFUNCTION("""COMPUTED_VALUE"""),242.0)</f>
        <v>242</v>
      </c>
    </row>
    <row r="735" ht="15.75" customHeight="1">
      <c r="A735" s="2">
        <f>IFERROR(__xludf.DUMMYFUNCTION("""COMPUTED_VALUE"""),45118.0)</f>
        <v>45118</v>
      </c>
      <c r="B735" s="2" t="str">
        <f>IFERROR(__xludf.DUMMYFUNCTION("""COMPUTED_VALUE"""),"GROUPS")</f>
        <v>GROUPS</v>
      </c>
      <c r="C735" s="2"/>
    </row>
    <row r="736" ht="15.75" customHeight="1">
      <c r="A736" s="2">
        <f>IFERROR(__xludf.DUMMYFUNCTION("""COMPUTED_VALUE"""),45118.0)</f>
        <v>45118</v>
      </c>
      <c r="B736" s="2" t="str">
        <f>IFERROR(__xludf.DUMMYFUNCTION("""COMPUTED_VALUE"""),"Previous Woodstock")</f>
        <v>Previous Woodstock</v>
      </c>
      <c r="C736" s="2"/>
    </row>
    <row r="737" ht="15.75" customHeight="1">
      <c r="A737" s="2">
        <f>IFERROR(__xludf.DUMMYFUNCTION("""COMPUTED_VALUE"""),45118.0)</f>
        <v>45118</v>
      </c>
      <c r="B737" s="2" t="str">
        <f>IFERROR(__xludf.DUMMYFUNCTION("""COMPUTED_VALUE"""),"Previous Lenox/Brookhaven")</f>
        <v>Previous Lenox/Brookhaven</v>
      </c>
      <c r="C737" s="2"/>
    </row>
    <row r="738" ht="15.75" customHeight="1">
      <c r="A738" s="2">
        <f>IFERROR(__xludf.DUMMYFUNCTION("""COMPUTED_VALUE"""),45118.0)</f>
        <v>45118</v>
      </c>
      <c r="B738" s="2" t="str">
        <f>IFERROR(__xludf.DUMMYFUNCTION("""COMPUTED_VALUE"""),"Previous New Chastain")</f>
        <v>Previous New Chastain</v>
      </c>
      <c r="C738" s="2"/>
    </row>
    <row r="739" ht="15.75" customHeight="1">
      <c r="A739" s="2">
        <f>IFERROR(__xludf.DUMMYFUNCTION("""COMPUTED_VALUE"""),45118.0)</f>
        <v>45118</v>
      </c>
      <c r="B739" s="2" t="str">
        <f>IFERROR(__xludf.DUMMYFUNCTION("""COMPUTED_VALUE"""),"Previous Glenwood Park")</f>
        <v>Previous Glenwood Park</v>
      </c>
      <c r="C739" s="2"/>
    </row>
    <row r="740" ht="15.75" customHeight="1">
      <c r="A740" s="2">
        <f>IFERROR(__xludf.DUMMYFUNCTION("""COMPUTED_VALUE"""),45118.0)</f>
        <v>45118</v>
      </c>
      <c r="B740" s="2" t="str">
        <f>IFERROR(__xludf.DUMMYFUNCTION("""COMPUTED_VALUE"""),"FLOWERY BRANCH")</f>
        <v>FLOWERY BRANCH</v>
      </c>
      <c r="C740" s="2">
        <f>IFERROR(__xludf.DUMMYFUNCTION("""COMPUTED_VALUE"""),283.0)</f>
        <v>283</v>
      </c>
    </row>
    <row r="741" ht="15.75" customHeight="1">
      <c r="A741" s="2">
        <f>IFERROR(__xludf.DUMMYFUNCTION("""COMPUTED_VALUE"""),45118.0)</f>
        <v>45118</v>
      </c>
      <c r="B741" s="2" t="str">
        <f>IFERROR(__xludf.DUMMYFUNCTION("""COMPUTED_VALUE"""),"GROUPS ")</f>
        <v>GROUPS </v>
      </c>
      <c r="C741" s="2">
        <f>IFERROR(__xludf.DUMMYFUNCTION("""COMPUTED_VALUE"""),1664.0)</f>
        <v>1664</v>
      </c>
    </row>
    <row r="742" ht="15.75" customHeight="1">
      <c r="A742" s="2">
        <f>IFERROR(__xludf.DUMMYFUNCTION("""COMPUTED_VALUE"""),45118.0)</f>
        <v>45118</v>
      </c>
      <c r="B742" s="2" t="str">
        <f>IFERROR(__xludf.DUMMYFUNCTION("""COMPUTED_VALUE"""),"TOTAL")</f>
        <v>TOTAL</v>
      </c>
      <c r="C742" s="2"/>
    </row>
    <row r="743" ht="15.75" customHeight="1">
      <c r="A743" s="2">
        <f>IFERROR(__xludf.DUMMYFUNCTION("""COMPUTED_VALUE"""),45118.0)</f>
        <v>45118</v>
      </c>
      <c r="B743" s="2" t="str">
        <f>IFERROR(__xludf.DUMMYFUNCTION("""COMPUTED_VALUE"""),"Collective Learning")</f>
        <v>Collective Learning</v>
      </c>
      <c r="C743" s="2"/>
    </row>
    <row r="744" ht="15.75" customHeight="1">
      <c r="A744" s="2">
        <f>IFERROR(__xludf.DUMMYFUNCTION("""COMPUTED_VALUE"""),45118.0)</f>
        <v>45118</v>
      </c>
      <c r="B744" s="2" t="str">
        <f>IFERROR(__xludf.DUMMYFUNCTION("""COMPUTED_VALUE"""),"NOTES")</f>
        <v>NOTES</v>
      </c>
      <c r="C744" s="2"/>
    </row>
    <row r="745" ht="15.75" customHeight="1">
      <c r="A745" s="2">
        <f>IFERROR(__xludf.DUMMYFUNCTION("""COMPUTED_VALUE"""),45126.0)</f>
        <v>45126</v>
      </c>
      <c r="B745" s="2" t="str">
        <f>IFERROR(__xludf.DUMMYFUNCTION("""COMPUTED_VALUE"""),"# of Sandwiches")</f>
        <v># of Sandwiches</v>
      </c>
      <c r="C745" s="2">
        <f>IFERROR(__xludf.DUMMYFUNCTION("""COMPUTED_VALUE"""),8823.0)</f>
        <v>8823</v>
      </c>
    </row>
    <row r="746" ht="15.75" customHeight="1">
      <c r="A746" s="2">
        <f>IFERROR(__xludf.DUMMYFUNCTION("""COMPUTED_VALUE"""),45126.0)</f>
        <v>45126</v>
      </c>
      <c r="B746" s="2" t="str">
        <f>IFERROR(__xludf.DUMMYFUNCTION("""COMPUTED_VALUE"""),"ALPHARETTA")</f>
        <v>ALPHARETTA</v>
      </c>
      <c r="C746" s="2">
        <f>IFERROR(__xludf.DUMMYFUNCTION("""COMPUTED_VALUE"""),1035.0)</f>
        <v>1035</v>
      </c>
    </row>
    <row r="747" ht="15.75" customHeight="1">
      <c r="A747" s="2">
        <f>IFERROR(__xludf.DUMMYFUNCTION("""COMPUTED_VALUE"""),45126.0)</f>
        <v>45126</v>
      </c>
      <c r="B747" s="2" t="str">
        <f>IFERROR(__xludf.DUMMYFUNCTION("""COMPUTED_VALUE"""),"PREVIOUS BUCKHEAD")</f>
        <v>PREVIOUS BUCKHEAD</v>
      </c>
      <c r="C747" s="2"/>
    </row>
    <row r="748" ht="15.75" customHeight="1">
      <c r="A748" s="2">
        <f>IFERROR(__xludf.DUMMYFUNCTION("""COMPUTED_VALUE"""),45126.0)</f>
        <v>45126</v>
      </c>
      <c r="B748" s="2" t="str">
        <f>IFERROR(__xludf.DUMMYFUNCTION("""COMPUTED_VALUE"""),"PREVIOUS OAK GROVE")</f>
        <v>PREVIOUS OAK GROVE</v>
      </c>
      <c r="C748" s="2"/>
    </row>
    <row r="749" ht="15.75" customHeight="1">
      <c r="A749" s="2">
        <f>IFERROR(__xludf.DUMMYFUNCTION("""COMPUTED_VALUE"""),45126.0)</f>
        <v>45126</v>
      </c>
      <c r="B749" s="2" t="str">
        <f>IFERROR(__xludf.DUMMYFUNCTION("""COMPUTED_VALUE"""),"DUNWOODY/PTC ")</f>
        <v>DUNWOODY/PTC </v>
      </c>
      <c r="C749" s="2">
        <f>IFERROR(__xludf.DUMMYFUNCTION("""COMPUTED_VALUE"""),2606.0)</f>
        <v>2606</v>
      </c>
    </row>
    <row r="750" ht="15.75" customHeight="1">
      <c r="A750" s="2">
        <f>IFERROR(__xludf.DUMMYFUNCTION("""COMPUTED_VALUE"""),45126.0)</f>
        <v>45126</v>
      </c>
      <c r="B750" s="2" t="str">
        <f>IFERROR(__xludf.DUMMYFUNCTION("""COMPUTED_VALUE"""),"E COBB/ROSWELL")</f>
        <v>E COBB/ROSWELL</v>
      </c>
      <c r="C750" s="2">
        <f>IFERROR(__xludf.DUMMYFUNCTION("""COMPUTED_VALUE"""),1448.0)</f>
        <v>1448</v>
      </c>
    </row>
    <row r="751" ht="15.75" customHeight="1">
      <c r="A751" s="2">
        <f>IFERROR(__xludf.DUMMYFUNCTION("""COMPUTED_VALUE"""),45126.0)</f>
        <v>45126</v>
      </c>
      <c r="B751" s="2" t="str">
        <f>IFERROR(__xludf.DUMMYFUNCTION("""COMPUTED_VALUE"""),"DECATUR")</f>
        <v>DECATUR</v>
      </c>
      <c r="C751" s="2">
        <f>IFERROR(__xludf.DUMMYFUNCTION("""COMPUTED_VALUE"""),0.0)</f>
        <v>0</v>
      </c>
    </row>
    <row r="752" ht="15.75" customHeight="1">
      <c r="A752" s="2">
        <f>IFERROR(__xludf.DUMMYFUNCTION("""COMPUTED_VALUE"""),45126.0)</f>
        <v>45126</v>
      </c>
      <c r="B752" s="2" t="str">
        <f>IFERROR(__xludf.DUMMYFUNCTION("""COMPUTED_VALUE"""),"P'TREE CORNERS ")</f>
        <v>P'TREE CORNERS </v>
      </c>
      <c r="C752" s="2"/>
    </row>
    <row r="753" ht="15.75" customHeight="1">
      <c r="A753" s="2">
        <f>IFERROR(__xludf.DUMMYFUNCTION("""COMPUTED_VALUE"""),45126.0)</f>
        <v>45126</v>
      </c>
      <c r="B753" s="2" t="str">
        <f>IFERROR(__xludf.DUMMYFUNCTION("""COMPUTED_VALUE"""),"UGA/Athens")</f>
        <v>UGA/Athens</v>
      </c>
      <c r="C753" s="2"/>
    </row>
    <row r="754" ht="15.75" customHeight="1">
      <c r="A754" s="2">
        <f>IFERROR(__xludf.DUMMYFUNCTION("""COMPUTED_VALUE"""),45126.0)</f>
        <v>45126</v>
      </c>
      <c r="B754" s="2" t="str">
        <f>IFERROR(__xludf.DUMMYFUNCTION("""COMPUTED_VALUE"""),"SANDY SPRINGS ")</f>
        <v>SANDY SPRINGS </v>
      </c>
      <c r="C754" s="2">
        <f>IFERROR(__xludf.DUMMYFUNCTION("""COMPUTED_VALUE"""),532.0)</f>
        <v>532</v>
      </c>
    </row>
    <row r="755" ht="15.75" customHeight="1">
      <c r="A755" s="2">
        <f>IFERROR(__xludf.DUMMYFUNCTION("""COMPUTED_VALUE"""),45126.0)</f>
        <v>45126</v>
      </c>
      <c r="B755" s="2" t="str">
        <f>IFERROR(__xludf.DUMMYFUNCTION("""COMPUTED_VALUE"""),"INTOWN/DRUID HILLS ")</f>
        <v>INTOWN/DRUID HILLS </v>
      </c>
      <c r="C755" s="2">
        <f>IFERROR(__xludf.DUMMYFUNCTION("""COMPUTED_VALUE"""),629.0)</f>
        <v>629</v>
      </c>
    </row>
    <row r="756" ht="15.75" customHeight="1">
      <c r="A756" s="2">
        <f>IFERROR(__xludf.DUMMYFUNCTION("""COMPUTED_VALUE"""),45126.0)</f>
        <v>45126</v>
      </c>
      <c r="B756" s="2" t="str">
        <f>IFERROR(__xludf.DUMMYFUNCTION("""COMPUTED_VALUE"""),"SNELLVILLE")</f>
        <v>SNELLVILLE</v>
      </c>
      <c r="C756" s="2">
        <f>IFERROR(__xludf.DUMMYFUNCTION("""COMPUTED_VALUE"""),94.0)</f>
        <v>94</v>
      </c>
    </row>
    <row r="757" ht="15.75" customHeight="1">
      <c r="A757" s="2">
        <f>IFERROR(__xludf.DUMMYFUNCTION("""COMPUTED_VALUE"""),45126.0)</f>
        <v>45126</v>
      </c>
      <c r="B757" s="2" t="str">
        <f>IFERROR(__xludf.DUMMYFUNCTION("""COMPUTED_VALUE"""),"GROUPS")</f>
        <v>GROUPS</v>
      </c>
      <c r="C757" s="2"/>
    </row>
    <row r="758" ht="15.75" customHeight="1">
      <c r="A758" s="2">
        <f>IFERROR(__xludf.DUMMYFUNCTION("""COMPUTED_VALUE"""),45126.0)</f>
        <v>45126</v>
      </c>
      <c r="B758" s="2" t="str">
        <f>IFERROR(__xludf.DUMMYFUNCTION("""COMPUTED_VALUE"""),"Previous Woodstock")</f>
        <v>Previous Woodstock</v>
      </c>
      <c r="C758" s="2"/>
    </row>
    <row r="759" ht="15.75" customHeight="1">
      <c r="A759" s="2">
        <f>IFERROR(__xludf.DUMMYFUNCTION("""COMPUTED_VALUE"""),45126.0)</f>
        <v>45126</v>
      </c>
      <c r="B759" s="2" t="str">
        <f>IFERROR(__xludf.DUMMYFUNCTION("""COMPUTED_VALUE"""),"Previous Lenox/Brookhaven")</f>
        <v>Previous Lenox/Brookhaven</v>
      </c>
      <c r="C759" s="2"/>
    </row>
    <row r="760" ht="15.75" customHeight="1">
      <c r="A760" s="2">
        <f>IFERROR(__xludf.DUMMYFUNCTION("""COMPUTED_VALUE"""),45126.0)</f>
        <v>45126</v>
      </c>
      <c r="B760" s="2" t="str">
        <f>IFERROR(__xludf.DUMMYFUNCTION("""COMPUTED_VALUE"""),"Previous New Chastain")</f>
        <v>Previous New Chastain</v>
      </c>
      <c r="C760" s="2"/>
    </row>
    <row r="761" ht="15.75" customHeight="1">
      <c r="A761" s="2">
        <f>IFERROR(__xludf.DUMMYFUNCTION("""COMPUTED_VALUE"""),45126.0)</f>
        <v>45126</v>
      </c>
      <c r="B761" s="2" t="str">
        <f>IFERROR(__xludf.DUMMYFUNCTION("""COMPUTED_VALUE"""),"Previous Glenwood Park")</f>
        <v>Previous Glenwood Park</v>
      </c>
      <c r="C761" s="2"/>
    </row>
    <row r="762" ht="15.75" customHeight="1">
      <c r="A762" s="2">
        <f>IFERROR(__xludf.DUMMYFUNCTION("""COMPUTED_VALUE"""),45126.0)</f>
        <v>45126</v>
      </c>
      <c r="B762" s="2" t="str">
        <f>IFERROR(__xludf.DUMMYFUNCTION("""COMPUTED_VALUE"""),"FLOWERY BRANCH")</f>
        <v>FLOWERY BRANCH</v>
      </c>
      <c r="C762" s="2">
        <f>IFERROR(__xludf.DUMMYFUNCTION("""COMPUTED_VALUE"""),366.0)</f>
        <v>366</v>
      </c>
    </row>
    <row r="763" ht="15.75" customHeight="1">
      <c r="A763" s="2">
        <f>IFERROR(__xludf.DUMMYFUNCTION("""COMPUTED_VALUE"""),45126.0)</f>
        <v>45126</v>
      </c>
      <c r="B763" s="2" t="str">
        <f>IFERROR(__xludf.DUMMYFUNCTION("""COMPUTED_VALUE"""),"GROUPS ")</f>
        <v>GROUPS </v>
      </c>
      <c r="C763" s="2">
        <f>IFERROR(__xludf.DUMMYFUNCTION("""COMPUTED_VALUE"""),2113.0)</f>
        <v>2113</v>
      </c>
    </row>
    <row r="764" ht="15.75" customHeight="1">
      <c r="A764" s="2">
        <f>IFERROR(__xludf.DUMMYFUNCTION("""COMPUTED_VALUE"""),45126.0)</f>
        <v>45126</v>
      </c>
      <c r="B764" s="2" t="str">
        <f>IFERROR(__xludf.DUMMYFUNCTION("""COMPUTED_VALUE"""),"TOTAL")</f>
        <v>TOTAL</v>
      </c>
      <c r="C764" s="2"/>
    </row>
    <row r="765" ht="15.75" customHeight="1">
      <c r="A765" s="2">
        <f>IFERROR(__xludf.DUMMYFUNCTION("""COMPUTED_VALUE"""),45126.0)</f>
        <v>45126</v>
      </c>
      <c r="B765" s="2" t="str">
        <f>IFERROR(__xludf.DUMMYFUNCTION("""COMPUTED_VALUE"""),"Collective Learning")</f>
        <v>Collective Learning</v>
      </c>
      <c r="C765" s="2"/>
    </row>
    <row r="766" ht="15.75" customHeight="1">
      <c r="A766" s="2">
        <f>IFERROR(__xludf.DUMMYFUNCTION("""COMPUTED_VALUE"""),45126.0)</f>
        <v>45126</v>
      </c>
      <c r="B766" s="2" t="str">
        <f>IFERROR(__xludf.DUMMYFUNCTION("""COMPUTED_VALUE"""),"NOTES")</f>
        <v>NOTES</v>
      </c>
      <c r="C766" s="2"/>
    </row>
    <row r="767" ht="15.75" customHeight="1">
      <c r="A767" s="2">
        <f>IFERROR(__xludf.DUMMYFUNCTION("""COMPUTED_VALUE"""),45133.0)</f>
        <v>45133</v>
      </c>
      <c r="B767" s="2" t="str">
        <f>IFERROR(__xludf.DUMMYFUNCTION("""COMPUTED_VALUE"""),"# of Sandwiches")</f>
        <v># of Sandwiches</v>
      </c>
      <c r="C767" s="2">
        <f>IFERROR(__xludf.DUMMYFUNCTION("""COMPUTED_VALUE"""),8894.0)</f>
        <v>8894</v>
      </c>
    </row>
    <row r="768" ht="15.75" customHeight="1">
      <c r="A768" s="2">
        <f>IFERROR(__xludf.DUMMYFUNCTION("""COMPUTED_VALUE"""),45133.0)</f>
        <v>45133</v>
      </c>
      <c r="B768" s="2" t="str">
        <f>IFERROR(__xludf.DUMMYFUNCTION("""COMPUTED_VALUE"""),"ALPHARETTA")</f>
        <v>ALPHARETTA</v>
      </c>
      <c r="C768" s="2">
        <f>IFERROR(__xludf.DUMMYFUNCTION("""COMPUTED_VALUE"""),2097.0)</f>
        <v>2097</v>
      </c>
    </row>
    <row r="769" ht="15.75" customHeight="1">
      <c r="A769" s="2">
        <f>IFERROR(__xludf.DUMMYFUNCTION("""COMPUTED_VALUE"""),45133.0)</f>
        <v>45133</v>
      </c>
      <c r="B769" s="2" t="str">
        <f>IFERROR(__xludf.DUMMYFUNCTION("""COMPUTED_VALUE"""),"PREVIOUS BUCKHEAD")</f>
        <v>PREVIOUS BUCKHEAD</v>
      </c>
      <c r="C769" s="2"/>
    </row>
    <row r="770" ht="15.75" customHeight="1">
      <c r="A770" s="2">
        <f>IFERROR(__xludf.DUMMYFUNCTION("""COMPUTED_VALUE"""),45133.0)</f>
        <v>45133</v>
      </c>
      <c r="B770" s="2" t="str">
        <f>IFERROR(__xludf.DUMMYFUNCTION("""COMPUTED_VALUE"""),"PREVIOUS OAK GROVE")</f>
        <v>PREVIOUS OAK GROVE</v>
      </c>
      <c r="C770" s="2"/>
    </row>
    <row r="771" ht="15.75" customHeight="1">
      <c r="A771" s="2">
        <f>IFERROR(__xludf.DUMMYFUNCTION("""COMPUTED_VALUE"""),45133.0)</f>
        <v>45133</v>
      </c>
      <c r="B771" s="2" t="str">
        <f>IFERROR(__xludf.DUMMYFUNCTION("""COMPUTED_VALUE"""),"DUNWOODY/PTC ")</f>
        <v>DUNWOODY/PTC </v>
      </c>
      <c r="C771" s="2">
        <f>IFERROR(__xludf.DUMMYFUNCTION("""COMPUTED_VALUE"""),1904.0)</f>
        <v>1904</v>
      </c>
    </row>
    <row r="772" ht="15.75" customHeight="1">
      <c r="A772" s="2">
        <f>IFERROR(__xludf.DUMMYFUNCTION("""COMPUTED_VALUE"""),45133.0)</f>
        <v>45133</v>
      </c>
      <c r="B772" s="2" t="str">
        <f>IFERROR(__xludf.DUMMYFUNCTION("""COMPUTED_VALUE"""),"E COBB/ROSWELL")</f>
        <v>E COBB/ROSWELL</v>
      </c>
      <c r="C772" s="2">
        <f>IFERROR(__xludf.DUMMYFUNCTION("""COMPUTED_VALUE"""),1864.0)</f>
        <v>1864</v>
      </c>
    </row>
    <row r="773" ht="15.75" customHeight="1">
      <c r="A773" s="2">
        <f>IFERROR(__xludf.DUMMYFUNCTION("""COMPUTED_VALUE"""),45133.0)</f>
        <v>45133</v>
      </c>
      <c r="B773" s="2" t="str">
        <f>IFERROR(__xludf.DUMMYFUNCTION("""COMPUTED_VALUE"""),"DECATUR")</f>
        <v>DECATUR</v>
      </c>
      <c r="C773" s="2">
        <f>IFERROR(__xludf.DUMMYFUNCTION("""COMPUTED_VALUE"""),85.0)</f>
        <v>85</v>
      </c>
    </row>
    <row r="774" ht="15.75" customHeight="1">
      <c r="A774" s="2">
        <f>IFERROR(__xludf.DUMMYFUNCTION("""COMPUTED_VALUE"""),45133.0)</f>
        <v>45133</v>
      </c>
      <c r="B774" s="2" t="str">
        <f>IFERROR(__xludf.DUMMYFUNCTION("""COMPUTED_VALUE"""),"P'TREE CORNERS ")</f>
        <v>P'TREE CORNERS </v>
      </c>
      <c r="C774" s="2"/>
    </row>
    <row r="775" ht="15.75" customHeight="1">
      <c r="A775" s="2">
        <f>IFERROR(__xludf.DUMMYFUNCTION("""COMPUTED_VALUE"""),45133.0)</f>
        <v>45133</v>
      </c>
      <c r="B775" s="2" t="str">
        <f>IFERROR(__xludf.DUMMYFUNCTION("""COMPUTED_VALUE"""),"UGA/Athens")</f>
        <v>UGA/Athens</v>
      </c>
      <c r="C775" s="2"/>
    </row>
    <row r="776" ht="15.75" customHeight="1">
      <c r="A776" s="2">
        <f>IFERROR(__xludf.DUMMYFUNCTION("""COMPUTED_VALUE"""),45133.0)</f>
        <v>45133</v>
      </c>
      <c r="B776" s="2" t="str">
        <f>IFERROR(__xludf.DUMMYFUNCTION("""COMPUTED_VALUE"""),"SANDY SPRINGS ")</f>
        <v>SANDY SPRINGS </v>
      </c>
      <c r="C776" s="2">
        <f>IFERROR(__xludf.DUMMYFUNCTION("""COMPUTED_VALUE"""),690.0)</f>
        <v>690</v>
      </c>
    </row>
    <row r="777" ht="15.75" customHeight="1">
      <c r="A777" s="2">
        <f>IFERROR(__xludf.DUMMYFUNCTION("""COMPUTED_VALUE"""),45133.0)</f>
        <v>45133</v>
      </c>
      <c r="B777" s="2" t="str">
        <f>IFERROR(__xludf.DUMMYFUNCTION("""COMPUTED_VALUE"""),"INTOWN/DRUID HILLS ")</f>
        <v>INTOWN/DRUID HILLS </v>
      </c>
      <c r="C777" s="2">
        <f>IFERROR(__xludf.DUMMYFUNCTION("""COMPUTED_VALUE"""),923.0)</f>
        <v>923</v>
      </c>
    </row>
    <row r="778" ht="15.75" customHeight="1">
      <c r="A778" s="2">
        <f>IFERROR(__xludf.DUMMYFUNCTION("""COMPUTED_VALUE"""),45133.0)</f>
        <v>45133</v>
      </c>
      <c r="B778" s="2" t="str">
        <f>IFERROR(__xludf.DUMMYFUNCTION("""COMPUTED_VALUE"""),"SNELLVILLE")</f>
        <v>SNELLVILLE</v>
      </c>
      <c r="C778" s="2">
        <f>IFERROR(__xludf.DUMMYFUNCTION("""COMPUTED_VALUE"""),127.0)</f>
        <v>127</v>
      </c>
    </row>
    <row r="779" ht="15.75" customHeight="1">
      <c r="A779" s="2">
        <f>IFERROR(__xludf.DUMMYFUNCTION("""COMPUTED_VALUE"""),45133.0)</f>
        <v>45133</v>
      </c>
      <c r="B779" s="2" t="str">
        <f>IFERROR(__xludf.DUMMYFUNCTION("""COMPUTED_VALUE"""),"GROUPS")</f>
        <v>GROUPS</v>
      </c>
      <c r="C779" s="2"/>
    </row>
    <row r="780" ht="15.75" customHeight="1">
      <c r="A780" s="2">
        <f>IFERROR(__xludf.DUMMYFUNCTION("""COMPUTED_VALUE"""),45133.0)</f>
        <v>45133</v>
      </c>
      <c r="B780" s="2" t="str">
        <f>IFERROR(__xludf.DUMMYFUNCTION("""COMPUTED_VALUE"""),"Previous Woodstock")</f>
        <v>Previous Woodstock</v>
      </c>
      <c r="C780" s="2"/>
    </row>
    <row r="781" ht="15.75" customHeight="1">
      <c r="A781" s="2">
        <f>IFERROR(__xludf.DUMMYFUNCTION("""COMPUTED_VALUE"""),45133.0)</f>
        <v>45133</v>
      </c>
      <c r="B781" s="2" t="str">
        <f>IFERROR(__xludf.DUMMYFUNCTION("""COMPUTED_VALUE"""),"Previous Lenox/Brookhaven")</f>
        <v>Previous Lenox/Brookhaven</v>
      </c>
      <c r="C781" s="2"/>
    </row>
    <row r="782" ht="15.75" customHeight="1">
      <c r="A782" s="2">
        <f>IFERROR(__xludf.DUMMYFUNCTION("""COMPUTED_VALUE"""),45133.0)</f>
        <v>45133</v>
      </c>
      <c r="B782" s="2" t="str">
        <f>IFERROR(__xludf.DUMMYFUNCTION("""COMPUTED_VALUE"""),"Previous New Chastain")</f>
        <v>Previous New Chastain</v>
      </c>
      <c r="C782" s="2"/>
    </row>
    <row r="783" ht="15.75" customHeight="1">
      <c r="A783" s="2">
        <f>IFERROR(__xludf.DUMMYFUNCTION("""COMPUTED_VALUE"""),45133.0)</f>
        <v>45133</v>
      </c>
      <c r="B783" s="2" t="str">
        <f>IFERROR(__xludf.DUMMYFUNCTION("""COMPUTED_VALUE"""),"Previous Glenwood Park")</f>
        <v>Previous Glenwood Park</v>
      </c>
      <c r="C783" s="2"/>
    </row>
    <row r="784" ht="15.75" customHeight="1">
      <c r="A784" s="2">
        <f>IFERROR(__xludf.DUMMYFUNCTION("""COMPUTED_VALUE"""),45133.0)</f>
        <v>45133</v>
      </c>
      <c r="B784" s="2" t="str">
        <f>IFERROR(__xludf.DUMMYFUNCTION("""COMPUTED_VALUE"""),"FLOWERY BRANCH")</f>
        <v>FLOWERY BRANCH</v>
      </c>
      <c r="C784" s="2">
        <f>IFERROR(__xludf.DUMMYFUNCTION("""COMPUTED_VALUE"""),349.0)</f>
        <v>349</v>
      </c>
    </row>
    <row r="785" ht="15.75" customHeight="1">
      <c r="A785" s="2">
        <f>IFERROR(__xludf.DUMMYFUNCTION("""COMPUTED_VALUE"""),45133.0)</f>
        <v>45133</v>
      </c>
      <c r="B785" s="2" t="str">
        <f>IFERROR(__xludf.DUMMYFUNCTION("""COMPUTED_VALUE"""),"GROUPS ")</f>
        <v>GROUPS </v>
      </c>
      <c r="C785" s="2">
        <f>IFERROR(__xludf.DUMMYFUNCTION("""COMPUTED_VALUE"""),855.0)</f>
        <v>855</v>
      </c>
    </row>
    <row r="786" ht="15.75" customHeight="1">
      <c r="A786" s="2">
        <f>IFERROR(__xludf.DUMMYFUNCTION("""COMPUTED_VALUE"""),45133.0)</f>
        <v>45133</v>
      </c>
      <c r="B786" s="2" t="str">
        <f>IFERROR(__xludf.DUMMYFUNCTION("""COMPUTED_VALUE"""),"TOTAL")</f>
        <v>TOTAL</v>
      </c>
      <c r="C786" s="2"/>
    </row>
    <row r="787" ht="15.75" customHeight="1">
      <c r="A787" s="2">
        <f>IFERROR(__xludf.DUMMYFUNCTION("""COMPUTED_VALUE"""),45133.0)</f>
        <v>45133</v>
      </c>
      <c r="B787" s="2" t="str">
        <f>IFERROR(__xludf.DUMMYFUNCTION("""COMPUTED_VALUE"""),"Collective Learning")</f>
        <v>Collective Learning</v>
      </c>
      <c r="C787" s="2"/>
    </row>
    <row r="788" ht="15.75" customHeight="1">
      <c r="A788" s="2">
        <f>IFERROR(__xludf.DUMMYFUNCTION("""COMPUTED_VALUE"""),45133.0)</f>
        <v>45133</v>
      </c>
      <c r="B788" s="2" t="str">
        <f>IFERROR(__xludf.DUMMYFUNCTION("""COMPUTED_VALUE"""),"NOTES")</f>
        <v>NOTES</v>
      </c>
      <c r="C788" s="2"/>
    </row>
    <row r="789" ht="15.75" customHeight="1">
      <c r="A789" s="2">
        <f>IFERROR(__xludf.DUMMYFUNCTION("""COMPUTED_VALUE"""),45140.0)</f>
        <v>45140</v>
      </c>
      <c r="B789" s="2" t="str">
        <f>IFERROR(__xludf.DUMMYFUNCTION("""COMPUTED_VALUE"""),"# of Sandwiches")</f>
        <v># of Sandwiches</v>
      </c>
      <c r="C789" s="2">
        <f>IFERROR(__xludf.DUMMYFUNCTION("""COMPUTED_VALUE"""),6524.0)</f>
        <v>6524</v>
      </c>
    </row>
    <row r="790" ht="15.75" customHeight="1">
      <c r="A790" s="2">
        <f>IFERROR(__xludf.DUMMYFUNCTION("""COMPUTED_VALUE"""),45140.0)</f>
        <v>45140</v>
      </c>
      <c r="B790" s="2" t="str">
        <f>IFERROR(__xludf.DUMMYFUNCTION("""COMPUTED_VALUE"""),"ALPHARETTA")</f>
        <v>ALPHARETTA</v>
      </c>
      <c r="C790" s="2">
        <f>IFERROR(__xludf.DUMMYFUNCTION("""COMPUTED_VALUE"""),1528.0)</f>
        <v>1528</v>
      </c>
    </row>
    <row r="791" ht="15.75" customHeight="1">
      <c r="A791" s="2">
        <f>IFERROR(__xludf.DUMMYFUNCTION("""COMPUTED_VALUE"""),45140.0)</f>
        <v>45140</v>
      </c>
      <c r="B791" s="2" t="str">
        <f>IFERROR(__xludf.DUMMYFUNCTION("""COMPUTED_VALUE"""),"PREVIOUS BUCKHEAD")</f>
        <v>PREVIOUS BUCKHEAD</v>
      </c>
      <c r="C791" s="2"/>
    </row>
    <row r="792" ht="15.75" customHeight="1">
      <c r="A792" s="2">
        <f>IFERROR(__xludf.DUMMYFUNCTION("""COMPUTED_VALUE"""),45140.0)</f>
        <v>45140</v>
      </c>
      <c r="B792" s="2" t="str">
        <f>IFERROR(__xludf.DUMMYFUNCTION("""COMPUTED_VALUE"""),"PREVIOUS OAK GROVE")</f>
        <v>PREVIOUS OAK GROVE</v>
      </c>
      <c r="C792" s="2"/>
    </row>
    <row r="793" ht="15.75" customHeight="1">
      <c r="A793" s="2">
        <f>IFERROR(__xludf.DUMMYFUNCTION("""COMPUTED_VALUE"""),45140.0)</f>
        <v>45140</v>
      </c>
      <c r="B793" s="2" t="str">
        <f>IFERROR(__xludf.DUMMYFUNCTION("""COMPUTED_VALUE"""),"DUNWOODY/PTC ")</f>
        <v>DUNWOODY/PTC </v>
      </c>
      <c r="C793" s="2">
        <f>IFERROR(__xludf.DUMMYFUNCTION("""COMPUTED_VALUE"""),2480.0)</f>
        <v>2480</v>
      </c>
    </row>
    <row r="794" ht="15.75" customHeight="1">
      <c r="A794" s="2">
        <f>IFERROR(__xludf.DUMMYFUNCTION("""COMPUTED_VALUE"""),45140.0)</f>
        <v>45140</v>
      </c>
      <c r="B794" s="2" t="str">
        <f>IFERROR(__xludf.DUMMYFUNCTION("""COMPUTED_VALUE"""),"E COBB/ROSWELL")</f>
        <v>E COBB/ROSWELL</v>
      </c>
      <c r="C794" s="2">
        <f>IFERROR(__xludf.DUMMYFUNCTION("""COMPUTED_VALUE"""),862.0)</f>
        <v>862</v>
      </c>
    </row>
    <row r="795" ht="15.75" customHeight="1">
      <c r="A795" s="2">
        <f>IFERROR(__xludf.DUMMYFUNCTION("""COMPUTED_VALUE"""),45140.0)</f>
        <v>45140</v>
      </c>
      <c r="B795" s="2" t="str">
        <f>IFERROR(__xludf.DUMMYFUNCTION("""COMPUTED_VALUE"""),"DECATUR")</f>
        <v>DECATUR</v>
      </c>
      <c r="C795" s="2">
        <f>IFERROR(__xludf.DUMMYFUNCTION("""COMPUTED_VALUE"""),0.0)</f>
        <v>0</v>
      </c>
    </row>
    <row r="796" ht="15.75" customHeight="1">
      <c r="A796" s="2">
        <f>IFERROR(__xludf.DUMMYFUNCTION("""COMPUTED_VALUE"""),45140.0)</f>
        <v>45140</v>
      </c>
      <c r="B796" s="2" t="str">
        <f>IFERROR(__xludf.DUMMYFUNCTION("""COMPUTED_VALUE"""),"P'TREE CORNERS ")</f>
        <v>P'TREE CORNERS </v>
      </c>
      <c r="C796" s="2"/>
    </row>
    <row r="797" ht="15.75" customHeight="1">
      <c r="A797" s="2">
        <f>IFERROR(__xludf.DUMMYFUNCTION("""COMPUTED_VALUE"""),45140.0)</f>
        <v>45140</v>
      </c>
      <c r="B797" s="2" t="str">
        <f>IFERROR(__xludf.DUMMYFUNCTION("""COMPUTED_VALUE"""),"UGA/Athens")</f>
        <v>UGA/Athens</v>
      </c>
      <c r="C797" s="2"/>
    </row>
    <row r="798" ht="15.75" customHeight="1">
      <c r="A798" s="2">
        <f>IFERROR(__xludf.DUMMYFUNCTION("""COMPUTED_VALUE"""),45140.0)</f>
        <v>45140</v>
      </c>
      <c r="B798" s="2" t="str">
        <f>IFERROR(__xludf.DUMMYFUNCTION("""COMPUTED_VALUE"""),"SANDY SPRINGS ")</f>
        <v>SANDY SPRINGS </v>
      </c>
      <c r="C798" s="2">
        <f>IFERROR(__xludf.DUMMYFUNCTION("""COMPUTED_VALUE"""),522.0)</f>
        <v>522</v>
      </c>
    </row>
    <row r="799" ht="15.75" customHeight="1">
      <c r="A799" s="2">
        <f>IFERROR(__xludf.DUMMYFUNCTION("""COMPUTED_VALUE"""),45140.0)</f>
        <v>45140</v>
      </c>
      <c r="B799" s="2" t="str">
        <f>IFERROR(__xludf.DUMMYFUNCTION("""COMPUTED_VALUE"""),"INTOWN/DRUID HILLS ")</f>
        <v>INTOWN/DRUID HILLS </v>
      </c>
      <c r="C799" s="2">
        <f>IFERROR(__xludf.DUMMYFUNCTION("""COMPUTED_VALUE"""),214.0)</f>
        <v>214</v>
      </c>
    </row>
    <row r="800" ht="15.75" customHeight="1">
      <c r="A800" s="2">
        <f>IFERROR(__xludf.DUMMYFUNCTION("""COMPUTED_VALUE"""),45140.0)</f>
        <v>45140</v>
      </c>
      <c r="B800" s="2" t="str">
        <f>IFERROR(__xludf.DUMMYFUNCTION("""COMPUTED_VALUE"""),"SNELLVILLE")</f>
        <v>SNELLVILLE</v>
      </c>
      <c r="C800" s="2">
        <f>IFERROR(__xludf.DUMMYFUNCTION("""COMPUTED_VALUE"""),128.0)</f>
        <v>128</v>
      </c>
    </row>
    <row r="801" ht="15.75" customHeight="1">
      <c r="A801" s="2">
        <f>IFERROR(__xludf.DUMMYFUNCTION("""COMPUTED_VALUE"""),45140.0)</f>
        <v>45140</v>
      </c>
      <c r="B801" s="2" t="str">
        <f>IFERROR(__xludf.DUMMYFUNCTION("""COMPUTED_VALUE"""),"GROUPS")</f>
        <v>GROUPS</v>
      </c>
      <c r="C801" s="2"/>
    </row>
    <row r="802" ht="15.75" customHeight="1">
      <c r="A802" s="2">
        <f>IFERROR(__xludf.DUMMYFUNCTION("""COMPUTED_VALUE"""),45140.0)</f>
        <v>45140</v>
      </c>
      <c r="B802" s="2" t="str">
        <f>IFERROR(__xludf.DUMMYFUNCTION("""COMPUTED_VALUE"""),"Previous Woodstock")</f>
        <v>Previous Woodstock</v>
      </c>
      <c r="C802" s="2"/>
    </row>
    <row r="803" ht="15.75" customHeight="1">
      <c r="A803" s="2">
        <f>IFERROR(__xludf.DUMMYFUNCTION("""COMPUTED_VALUE"""),45140.0)</f>
        <v>45140</v>
      </c>
      <c r="B803" s="2" t="str">
        <f>IFERROR(__xludf.DUMMYFUNCTION("""COMPUTED_VALUE"""),"Previous Lenox/Brookhaven")</f>
        <v>Previous Lenox/Brookhaven</v>
      </c>
      <c r="C803" s="2"/>
    </row>
    <row r="804" ht="15.75" customHeight="1">
      <c r="A804" s="2">
        <f>IFERROR(__xludf.DUMMYFUNCTION("""COMPUTED_VALUE"""),45140.0)</f>
        <v>45140</v>
      </c>
      <c r="B804" s="2" t="str">
        <f>IFERROR(__xludf.DUMMYFUNCTION("""COMPUTED_VALUE"""),"Previous New Chastain")</f>
        <v>Previous New Chastain</v>
      </c>
      <c r="C804" s="2"/>
    </row>
    <row r="805" ht="15.75" customHeight="1">
      <c r="A805" s="2">
        <f>IFERROR(__xludf.DUMMYFUNCTION("""COMPUTED_VALUE"""),45140.0)</f>
        <v>45140</v>
      </c>
      <c r="B805" s="2" t="str">
        <f>IFERROR(__xludf.DUMMYFUNCTION("""COMPUTED_VALUE"""),"Previous Glenwood Park")</f>
        <v>Previous Glenwood Park</v>
      </c>
      <c r="C805" s="2"/>
    </row>
    <row r="806" ht="15.75" customHeight="1">
      <c r="A806" s="2">
        <f>IFERROR(__xludf.DUMMYFUNCTION("""COMPUTED_VALUE"""),45140.0)</f>
        <v>45140</v>
      </c>
      <c r="B806" s="2" t="str">
        <f>IFERROR(__xludf.DUMMYFUNCTION("""COMPUTED_VALUE"""),"FLOWERY BRANCH")</f>
        <v>FLOWERY BRANCH</v>
      </c>
      <c r="C806" s="2">
        <f>IFERROR(__xludf.DUMMYFUNCTION("""COMPUTED_VALUE"""),235.0)</f>
        <v>235</v>
      </c>
    </row>
    <row r="807" ht="15.75" customHeight="1">
      <c r="A807" s="2">
        <f>IFERROR(__xludf.DUMMYFUNCTION("""COMPUTED_VALUE"""),45140.0)</f>
        <v>45140</v>
      </c>
      <c r="B807" s="2" t="str">
        <f>IFERROR(__xludf.DUMMYFUNCTION("""COMPUTED_VALUE"""),"GROUPS ")</f>
        <v>GROUPS </v>
      </c>
      <c r="C807" s="2">
        <f>IFERROR(__xludf.DUMMYFUNCTION("""COMPUTED_VALUE"""),555.0)</f>
        <v>555</v>
      </c>
    </row>
    <row r="808" ht="15.75" customHeight="1">
      <c r="A808" s="2">
        <f>IFERROR(__xludf.DUMMYFUNCTION("""COMPUTED_VALUE"""),45140.0)</f>
        <v>45140</v>
      </c>
      <c r="B808" s="2" t="str">
        <f>IFERROR(__xludf.DUMMYFUNCTION("""COMPUTED_VALUE"""),"TOTAL")</f>
        <v>TOTAL</v>
      </c>
      <c r="C808" s="2"/>
    </row>
    <row r="809" ht="15.75" customHeight="1">
      <c r="A809" s="2">
        <f>IFERROR(__xludf.DUMMYFUNCTION("""COMPUTED_VALUE"""),45140.0)</f>
        <v>45140</v>
      </c>
      <c r="B809" s="2" t="str">
        <f>IFERROR(__xludf.DUMMYFUNCTION("""COMPUTED_VALUE"""),"Collective Learning")</f>
        <v>Collective Learning</v>
      </c>
      <c r="C809" s="2"/>
    </row>
    <row r="810" ht="15.75" customHeight="1">
      <c r="A810" s="2">
        <f>IFERROR(__xludf.DUMMYFUNCTION("""COMPUTED_VALUE"""),45140.0)</f>
        <v>45140</v>
      </c>
      <c r="B810" s="2" t="str">
        <f>IFERROR(__xludf.DUMMYFUNCTION("""COMPUTED_VALUE"""),"NOTES")</f>
        <v>NOTES</v>
      </c>
      <c r="C810" s="2"/>
    </row>
    <row r="811" ht="15.75" customHeight="1">
      <c r="A811" s="2">
        <f>IFERROR(__xludf.DUMMYFUNCTION("""COMPUTED_VALUE"""),45147.0)</f>
        <v>45147</v>
      </c>
      <c r="B811" s="2" t="str">
        <f>IFERROR(__xludf.DUMMYFUNCTION("""COMPUTED_VALUE"""),"# of Sandwiches")</f>
        <v># of Sandwiches</v>
      </c>
      <c r="C811" s="2">
        <f>IFERROR(__xludf.DUMMYFUNCTION("""COMPUTED_VALUE"""),6531.0)</f>
        <v>6531</v>
      </c>
    </row>
    <row r="812" ht="15.75" customHeight="1">
      <c r="A812" s="2">
        <f>IFERROR(__xludf.DUMMYFUNCTION("""COMPUTED_VALUE"""),45147.0)</f>
        <v>45147</v>
      </c>
      <c r="B812" s="2" t="str">
        <f>IFERROR(__xludf.DUMMYFUNCTION("""COMPUTED_VALUE"""),"ALPHARETTA")</f>
        <v>ALPHARETTA</v>
      </c>
      <c r="C812" s="2">
        <f>IFERROR(__xludf.DUMMYFUNCTION("""COMPUTED_VALUE"""),1962.0)</f>
        <v>1962</v>
      </c>
    </row>
    <row r="813" ht="15.75" customHeight="1">
      <c r="A813" s="2">
        <f>IFERROR(__xludf.DUMMYFUNCTION("""COMPUTED_VALUE"""),45147.0)</f>
        <v>45147</v>
      </c>
      <c r="B813" s="2" t="str">
        <f>IFERROR(__xludf.DUMMYFUNCTION("""COMPUTED_VALUE"""),"PREVIOUS BUCKHEAD")</f>
        <v>PREVIOUS BUCKHEAD</v>
      </c>
      <c r="C813" s="2"/>
    </row>
    <row r="814" ht="15.75" customHeight="1">
      <c r="A814" s="2">
        <f>IFERROR(__xludf.DUMMYFUNCTION("""COMPUTED_VALUE"""),45147.0)</f>
        <v>45147</v>
      </c>
      <c r="B814" s="2" t="str">
        <f>IFERROR(__xludf.DUMMYFUNCTION("""COMPUTED_VALUE"""),"PREVIOUS OAK GROVE")</f>
        <v>PREVIOUS OAK GROVE</v>
      </c>
      <c r="C814" s="2"/>
    </row>
    <row r="815" ht="15.75" customHeight="1">
      <c r="A815" s="2">
        <f>IFERROR(__xludf.DUMMYFUNCTION("""COMPUTED_VALUE"""),45147.0)</f>
        <v>45147</v>
      </c>
      <c r="B815" s="2" t="str">
        <f>IFERROR(__xludf.DUMMYFUNCTION("""COMPUTED_VALUE"""),"DUNWOODY/PTC ")</f>
        <v>DUNWOODY/PTC </v>
      </c>
      <c r="C815" s="2">
        <f>IFERROR(__xludf.DUMMYFUNCTION("""COMPUTED_VALUE"""),1777.0)</f>
        <v>1777</v>
      </c>
    </row>
    <row r="816" ht="15.75" customHeight="1">
      <c r="A816" s="2">
        <f>IFERROR(__xludf.DUMMYFUNCTION("""COMPUTED_VALUE"""),45147.0)</f>
        <v>45147</v>
      </c>
      <c r="B816" s="2" t="str">
        <f>IFERROR(__xludf.DUMMYFUNCTION("""COMPUTED_VALUE"""),"E COBB/ROSWELL")</f>
        <v>E COBB/ROSWELL</v>
      </c>
      <c r="C816" s="2">
        <f>IFERROR(__xludf.DUMMYFUNCTION("""COMPUTED_VALUE"""),1105.0)</f>
        <v>1105</v>
      </c>
    </row>
    <row r="817" ht="15.75" customHeight="1">
      <c r="A817" s="2">
        <f>IFERROR(__xludf.DUMMYFUNCTION("""COMPUTED_VALUE"""),45147.0)</f>
        <v>45147</v>
      </c>
      <c r="B817" s="2" t="str">
        <f>IFERROR(__xludf.DUMMYFUNCTION("""COMPUTED_VALUE"""),"DECATUR")</f>
        <v>DECATUR</v>
      </c>
      <c r="C817" s="2">
        <f>IFERROR(__xludf.DUMMYFUNCTION("""COMPUTED_VALUE"""),0.0)</f>
        <v>0</v>
      </c>
    </row>
    <row r="818" ht="15.75" customHeight="1">
      <c r="A818" s="2">
        <f>IFERROR(__xludf.DUMMYFUNCTION("""COMPUTED_VALUE"""),45147.0)</f>
        <v>45147</v>
      </c>
      <c r="B818" s="2" t="str">
        <f>IFERROR(__xludf.DUMMYFUNCTION("""COMPUTED_VALUE"""),"P'TREE CORNERS ")</f>
        <v>P'TREE CORNERS </v>
      </c>
      <c r="C818" s="2"/>
    </row>
    <row r="819" ht="15.75" customHeight="1">
      <c r="A819" s="2">
        <f>IFERROR(__xludf.DUMMYFUNCTION("""COMPUTED_VALUE"""),45147.0)</f>
        <v>45147</v>
      </c>
      <c r="B819" s="2" t="str">
        <f>IFERROR(__xludf.DUMMYFUNCTION("""COMPUTED_VALUE"""),"UGA/Athens")</f>
        <v>UGA/Athens</v>
      </c>
      <c r="C819" s="2"/>
    </row>
    <row r="820" ht="15.75" customHeight="1">
      <c r="A820" s="2">
        <f>IFERROR(__xludf.DUMMYFUNCTION("""COMPUTED_VALUE"""),45147.0)</f>
        <v>45147</v>
      </c>
      <c r="B820" s="2" t="str">
        <f>IFERROR(__xludf.DUMMYFUNCTION("""COMPUTED_VALUE"""),"SANDY SPRINGS ")</f>
        <v>SANDY SPRINGS </v>
      </c>
      <c r="C820" s="2">
        <f>IFERROR(__xludf.DUMMYFUNCTION("""COMPUTED_VALUE"""),457.0)</f>
        <v>457</v>
      </c>
    </row>
    <row r="821" ht="15.75" customHeight="1">
      <c r="A821" s="2">
        <f>IFERROR(__xludf.DUMMYFUNCTION("""COMPUTED_VALUE"""),45147.0)</f>
        <v>45147</v>
      </c>
      <c r="B821" s="2" t="str">
        <f>IFERROR(__xludf.DUMMYFUNCTION("""COMPUTED_VALUE"""),"INTOWN/DRUID HILLS ")</f>
        <v>INTOWN/DRUID HILLS </v>
      </c>
      <c r="C821" s="2">
        <f>IFERROR(__xludf.DUMMYFUNCTION("""COMPUTED_VALUE"""),362.0)</f>
        <v>362</v>
      </c>
    </row>
    <row r="822" ht="15.75" customHeight="1">
      <c r="A822" s="2">
        <f>IFERROR(__xludf.DUMMYFUNCTION("""COMPUTED_VALUE"""),45147.0)</f>
        <v>45147</v>
      </c>
      <c r="B822" s="2" t="str">
        <f>IFERROR(__xludf.DUMMYFUNCTION("""COMPUTED_VALUE"""),"SNELLVILLE")</f>
        <v>SNELLVILLE</v>
      </c>
      <c r="C822" s="2">
        <f>IFERROR(__xludf.DUMMYFUNCTION("""COMPUTED_VALUE"""),230.0)</f>
        <v>230</v>
      </c>
    </row>
    <row r="823" ht="15.75" customHeight="1">
      <c r="A823" s="2">
        <f>IFERROR(__xludf.DUMMYFUNCTION("""COMPUTED_VALUE"""),45147.0)</f>
        <v>45147</v>
      </c>
      <c r="B823" s="2" t="str">
        <f>IFERROR(__xludf.DUMMYFUNCTION("""COMPUTED_VALUE"""),"GROUPS")</f>
        <v>GROUPS</v>
      </c>
      <c r="C823" s="2"/>
    </row>
    <row r="824" ht="15.75" customHeight="1">
      <c r="A824" s="2">
        <f>IFERROR(__xludf.DUMMYFUNCTION("""COMPUTED_VALUE"""),45147.0)</f>
        <v>45147</v>
      </c>
      <c r="B824" s="2" t="str">
        <f>IFERROR(__xludf.DUMMYFUNCTION("""COMPUTED_VALUE"""),"Previous Woodstock")</f>
        <v>Previous Woodstock</v>
      </c>
      <c r="C824" s="2"/>
    </row>
    <row r="825" ht="15.75" customHeight="1">
      <c r="A825" s="2">
        <f>IFERROR(__xludf.DUMMYFUNCTION("""COMPUTED_VALUE"""),45147.0)</f>
        <v>45147</v>
      </c>
      <c r="B825" s="2" t="str">
        <f>IFERROR(__xludf.DUMMYFUNCTION("""COMPUTED_VALUE"""),"Previous Lenox/Brookhaven")</f>
        <v>Previous Lenox/Brookhaven</v>
      </c>
      <c r="C825" s="2"/>
    </row>
    <row r="826" ht="15.75" customHeight="1">
      <c r="A826" s="2">
        <f>IFERROR(__xludf.DUMMYFUNCTION("""COMPUTED_VALUE"""),45147.0)</f>
        <v>45147</v>
      </c>
      <c r="B826" s="2" t="str">
        <f>IFERROR(__xludf.DUMMYFUNCTION("""COMPUTED_VALUE"""),"Previous New Chastain")</f>
        <v>Previous New Chastain</v>
      </c>
      <c r="C826" s="2"/>
    </row>
    <row r="827" ht="15.75" customHeight="1">
      <c r="A827" s="2">
        <f>IFERROR(__xludf.DUMMYFUNCTION("""COMPUTED_VALUE"""),45147.0)</f>
        <v>45147</v>
      </c>
      <c r="B827" s="2" t="str">
        <f>IFERROR(__xludf.DUMMYFUNCTION("""COMPUTED_VALUE"""),"Previous Glenwood Park")</f>
        <v>Previous Glenwood Park</v>
      </c>
      <c r="C827" s="2"/>
    </row>
    <row r="828" ht="15.75" customHeight="1">
      <c r="A828" s="2">
        <f>IFERROR(__xludf.DUMMYFUNCTION("""COMPUTED_VALUE"""),45147.0)</f>
        <v>45147</v>
      </c>
      <c r="B828" s="2" t="str">
        <f>IFERROR(__xludf.DUMMYFUNCTION("""COMPUTED_VALUE"""),"FLOWERY BRANCH")</f>
        <v>FLOWERY BRANCH</v>
      </c>
      <c r="C828" s="2">
        <f>IFERROR(__xludf.DUMMYFUNCTION("""COMPUTED_VALUE"""),206.0)</f>
        <v>206</v>
      </c>
    </row>
    <row r="829" ht="15.75" customHeight="1">
      <c r="A829" s="2">
        <f>IFERROR(__xludf.DUMMYFUNCTION("""COMPUTED_VALUE"""),45147.0)</f>
        <v>45147</v>
      </c>
      <c r="B829" s="2" t="str">
        <f>IFERROR(__xludf.DUMMYFUNCTION("""COMPUTED_VALUE"""),"GROUPS ")</f>
        <v>GROUPS </v>
      </c>
      <c r="C829" s="2">
        <f>IFERROR(__xludf.DUMMYFUNCTION("""COMPUTED_VALUE"""),432.0)</f>
        <v>432</v>
      </c>
    </row>
    <row r="830" ht="15.75" customHeight="1">
      <c r="A830" s="2">
        <f>IFERROR(__xludf.DUMMYFUNCTION("""COMPUTED_VALUE"""),45147.0)</f>
        <v>45147</v>
      </c>
      <c r="B830" s="2" t="str">
        <f>IFERROR(__xludf.DUMMYFUNCTION("""COMPUTED_VALUE"""),"TOTAL")</f>
        <v>TOTAL</v>
      </c>
      <c r="C830" s="2"/>
    </row>
    <row r="831" ht="15.75" customHeight="1">
      <c r="A831" s="2">
        <f>IFERROR(__xludf.DUMMYFUNCTION("""COMPUTED_VALUE"""),45147.0)</f>
        <v>45147</v>
      </c>
      <c r="B831" s="2" t="str">
        <f>IFERROR(__xludf.DUMMYFUNCTION("""COMPUTED_VALUE"""),"Collective Learning")</f>
        <v>Collective Learning</v>
      </c>
      <c r="C831" s="2"/>
    </row>
    <row r="832" ht="15.75" customHeight="1">
      <c r="A832" s="2">
        <f>IFERROR(__xludf.DUMMYFUNCTION("""COMPUTED_VALUE"""),45147.0)</f>
        <v>45147</v>
      </c>
      <c r="B832" s="2" t="str">
        <f>IFERROR(__xludf.DUMMYFUNCTION("""COMPUTED_VALUE"""),"NOTES")</f>
        <v>NOTES</v>
      </c>
      <c r="C832" s="2"/>
    </row>
    <row r="833" ht="15.75" customHeight="1">
      <c r="A833" s="2">
        <f>IFERROR(__xludf.DUMMYFUNCTION("""COMPUTED_VALUE"""),45154.0)</f>
        <v>45154</v>
      </c>
      <c r="B833" s="2" t="str">
        <f>IFERROR(__xludf.DUMMYFUNCTION("""COMPUTED_VALUE"""),"# of Sandwiches")</f>
        <v># of Sandwiches</v>
      </c>
      <c r="C833" s="2">
        <f>IFERROR(__xludf.DUMMYFUNCTION("""COMPUTED_VALUE"""),13520.0)</f>
        <v>13520</v>
      </c>
    </row>
    <row r="834" ht="15.75" customHeight="1">
      <c r="A834" s="2">
        <f>IFERROR(__xludf.DUMMYFUNCTION("""COMPUTED_VALUE"""),45154.0)</f>
        <v>45154</v>
      </c>
      <c r="B834" s="2" t="str">
        <f>IFERROR(__xludf.DUMMYFUNCTION("""COMPUTED_VALUE"""),"ALPHARETTA")</f>
        <v>ALPHARETTA</v>
      </c>
      <c r="C834" s="2">
        <f>IFERROR(__xludf.DUMMYFUNCTION("""COMPUTED_VALUE"""),1292.0)</f>
        <v>1292</v>
      </c>
    </row>
    <row r="835" ht="15.75" customHeight="1">
      <c r="A835" s="2">
        <f>IFERROR(__xludf.DUMMYFUNCTION("""COMPUTED_VALUE"""),45154.0)</f>
        <v>45154</v>
      </c>
      <c r="B835" s="2" t="str">
        <f>IFERROR(__xludf.DUMMYFUNCTION("""COMPUTED_VALUE"""),"PREVIOUS BUCKHEAD")</f>
        <v>PREVIOUS BUCKHEAD</v>
      </c>
      <c r="C835" s="2"/>
    </row>
    <row r="836" ht="15.75" customHeight="1">
      <c r="A836" s="2">
        <f>IFERROR(__xludf.DUMMYFUNCTION("""COMPUTED_VALUE"""),45154.0)</f>
        <v>45154</v>
      </c>
      <c r="B836" s="2" t="str">
        <f>IFERROR(__xludf.DUMMYFUNCTION("""COMPUTED_VALUE"""),"PREVIOUS OAK GROVE")</f>
        <v>PREVIOUS OAK GROVE</v>
      </c>
      <c r="C836" s="2"/>
    </row>
    <row r="837" ht="15.75" customHeight="1">
      <c r="A837" s="2">
        <f>IFERROR(__xludf.DUMMYFUNCTION("""COMPUTED_VALUE"""),45154.0)</f>
        <v>45154</v>
      </c>
      <c r="B837" s="2" t="str">
        <f>IFERROR(__xludf.DUMMYFUNCTION("""COMPUTED_VALUE"""),"DUNWOODY/PTC ")</f>
        <v>DUNWOODY/PTC </v>
      </c>
      <c r="C837" s="2">
        <f>IFERROR(__xludf.DUMMYFUNCTION("""COMPUTED_VALUE"""),2218.0)</f>
        <v>2218</v>
      </c>
    </row>
    <row r="838" ht="15.75" customHeight="1">
      <c r="A838" s="2">
        <f>IFERROR(__xludf.DUMMYFUNCTION("""COMPUTED_VALUE"""),45154.0)</f>
        <v>45154</v>
      </c>
      <c r="B838" s="2" t="str">
        <f>IFERROR(__xludf.DUMMYFUNCTION("""COMPUTED_VALUE"""),"E COBB/ROSWELL")</f>
        <v>E COBB/ROSWELL</v>
      </c>
      <c r="C838" s="2">
        <f>IFERROR(__xludf.DUMMYFUNCTION("""COMPUTED_VALUE"""),1570.0)</f>
        <v>1570</v>
      </c>
    </row>
    <row r="839" ht="15.75" customHeight="1">
      <c r="A839" s="2">
        <f>IFERROR(__xludf.DUMMYFUNCTION("""COMPUTED_VALUE"""),45154.0)</f>
        <v>45154</v>
      </c>
      <c r="B839" s="2" t="str">
        <f>IFERROR(__xludf.DUMMYFUNCTION("""COMPUTED_VALUE"""),"DECATUR")</f>
        <v>DECATUR</v>
      </c>
      <c r="C839" s="2">
        <f>IFERROR(__xludf.DUMMYFUNCTION("""COMPUTED_VALUE"""),66.0)</f>
        <v>66</v>
      </c>
    </row>
    <row r="840" ht="15.75" customHeight="1">
      <c r="A840" s="2">
        <f>IFERROR(__xludf.DUMMYFUNCTION("""COMPUTED_VALUE"""),45154.0)</f>
        <v>45154</v>
      </c>
      <c r="B840" s="2" t="str">
        <f>IFERROR(__xludf.DUMMYFUNCTION("""COMPUTED_VALUE"""),"P'TREE CORNERS ")</f>
        <v>P'TREE CORNERS </v>
      </c>
      <c r="C840" s="2"/>
    </row>
    <row r="841" ht="15.75" customHeight="1">
      <c r="A841" s="2">
        <f>IFERROR(__xludf.DUMMYFUNCTION("""COMPUTED_VALUE"""),45154.0)</f>
        <v>45154</v>
      </c>
      <c r="B841" s="2" t="str">
        <f>IFERROR(__xludf.DUMMYFUNCTION("""COMPUTED_VALUE"""),"UGA/Athens")</f>
        <v>UGA/Athens</v>
      </c>
      <c r="C841" s="2"/>
    </row>
    <row r="842" ht="15.75" customHeight="1">
      <c r="A842" s="2">
        <f>IFERROR(__xludf.DUMMYFUNCTION("""COMPUTED_VALUE"""),45154.0)</f>
        <v>45154</v>
      </c>
      <c r="B842" s="2" t="str">
        <f>IFERROR(__xludf.DUMMYFUNCTION("""COMPUTED_VALUE"""),"SANDY SPRINGS ")</f>
        <v>SANDY SPRINGS </v>
      </c>
      <c r="C842" s="2">
        <f>IFERROR(__xludf.DUMMYFUNCTION("""COMPUTED_VALUE"""),298.0)</f>
        <v>298</v>
      </c>
    </row>
    <row r="843" ht="15.75" customHeight="1">
      <c r="A843" s="2">
        <f>IFERROR(__xludf.DUMMYFUNCTION("""COMPUTED_VALUE"""),45154.0)</f>
        <v>45154</v>
      </c>
      <c r="B843" s="2" t="str">
        <f>IFERROR(__xludf.DUMMYFUNCTION("""COMPUTED_VALUE"""),"INTOWN/DRUID HILLS ")</f>
        <v>INTOWN/DRUID HILLS </v>
      </c>
      <c r="C843" s="2">
        <f>IFERROR(__xludf.DUMMYFUNCTION("""COMPUTED_VALUE"""),245.0)</f>
        <v>245</v>
      </c>
    </row>
    <row r="844" ht="15.75" customHeight="1">
      <c r="A844" s="2">
        <f>IFERROR(__xludf.DUMMYFUNCTION("""COMPUTED_VALUE"""),45154.0)</f>
        <v>45154</v>
      </c>
      <c r="B844" s="2" t="str">
        <f>IFERROR(__xludf.DUMMYFUNCTION("""COMPUTED_VALUE"""),"SNELLVILLE")</f>
        <v>SNELLVILLE</v>
      </c>
      <c r="C844" s="2">
        <f>IFERROR(__xludf.DUMMYFUNCTION("""COMPUTED_VALUE"""),162.0)</f>
        <v>162</v>
      </c>
    </row>
    <row r="845" ht="15.75" customHeight="1">
      <c r="A845" s="2">
        <f>IFERROR(__xludf.DUMMYFUNCTION("""COMPUTED_VALUE"""),45154.0)</f>
        <v>45154</v>
      </c>
      <c r="B845" s="2" t="str">
        <f>IFERROR(__xludf.DUMMYFUNCTION("""COMPUTED_VALUE"""),"GROUPS")</f>
        <v>GROUPS</v>
      </c>
      <c r="C845" s="2"/>
    </row>
    <row r="846" ht="15.75" customHeight="1">
      <c r="A846" s="2">
        <f>IFERROR(__xludf.DUMMYFUNCTION("""COMPUTED_VALUE"""),45154.0)</f>
        <v>45154</v>
      </c>
      <c r="B846" s="2" t="str">
        <f>IFERROR(__xludf.DUMMYFUNCTION("""COMPUTED_VALUE"""),"Previous Woodstock")</f>
        <v>Previous Woodstock</v>
      </c>
      <c r="C846" s="2"/>
    </row>
    <row r="847" ht="15.75" customHeight="1">
      <c r="A847" s="2">
        <f>IFERROR(__xludf.DUMMYFUNCTION("""COMPUTED_VALUE"""),45154.0)</f>
        <v>45154</v>
      </c>
      <c r="B847" s="2" t="str">
        <f>IFERROR(__xludf.DUMMYFUNCTION("""COMPUTED_VALUE"""),"Previous Lenox/Brookhaven")</f>
        <v>Previous Lenox/Brookhaven</v>
      </c>
      <c r="C847" s="2"/>
    </row>
    <row r="848" ht="15.75" customHeight="1">
      <c r="A848" s="2">
        <f>IFERROR(__xludf.DUMMYFUNCTION("""COMPUTED_VALUE"""),45154.0)</f>
        <v>45154</v>
      </c>
      <c r="B848" s="2" t="str">
        <f>IFERROR(__xludf.DUMMYFUNCTION("""COMPUTED_VALUE"""),"Previous New Chastain")</f>
        <v>Previous New Chastain</v>
      </c>
      <c r="C848" s="2"/>
    </row>
    <row r="849" ht="15.75" customHeight="1">
      <c r="A849" s="2">
        <f>IFERROR(__xludf.DUMMYFUNCTION("""COMPUTED_VALUE"""),45154.0)</f>
        <v>45154</v>
      </c>
      <c r="B849" s="2" t="str">
        <f>IFERROR(__xludf.DUMMYFUNCTION("""COMPUTED_VALUE"""),"Previous Glenwood Park")</f>
        <v>Previous Glenwood Park</v>
      </c>
      <c r="C849" s="2"/>
    </row>
    <row r="850" ht="15.75" customHeight="1">
      <c r="A850" s="2">
        <f>IFERROR(__xludf.DUMMYFUNCTION("""COMPUTED_VALUE"""),45154.0)</f>
        <v>45154</v>
      </c>
      <c r="B850" s="2" t="str">
        <f>IFERROR(__xludf.DUMMYFUNCTION("""COMPUTED_VALUE"""),"FLOWERY BRANCH")</f>
        <v>FLOWERY BRANCH</v>
      </c>
      <c r="C850" s="2">
        <f>IFERROR(__xludf.DUMMYFUNCTION("""COMPUTED_VALUE"""),190.0)</f>
        <v>190</v>
      </c>
    </row>
    <row r="851" ht="15.75" customHeight="1">
      <c r="A851" s="2">
        <f>IFERROR(__xludf.DUMMYFUNCTION("""COMPUTED_VALUE"""),45154.0)</f>
        <v>45154</v>
      </c>
      <c r="B851" s="2" t="str">
        <f>IFERROR(__xludf.DUMMYFUNCTION("""COMPUTED_VALUE"""),"GROUPS ")</f>
        <v>GROUPS </v>
      </c>
      <c r="C851" s="2">
        <f>IFERROR(__xludf.DUMMYFUNCTION("""COMPUTED_VALUE"""),7479.0)</f>
        <v>7479</v>
      </c>
    </row>
    <row r="852" ht="15.75" customHeight="1">
      <c r="A852" s="2">
        <f>IFERROR(__xludf.DUMMYFUNCTION("""COMPUTED_VALUE"""),45154.0)</f>
        <v>45154</v>
      </c>
      <c r="B852" s="2" t="str">
        <f>IFERROR(__xludf.DUMMYFUNCTION("""COMPUTED_VALUE"""),"TOTAL")</f>
        <v>TOTAL</v>
      </c>
      <c r="C852" s="2"/>
    </row>
    <row r="853" ht="15.75" customHeight="1">
      <c r="A853" s="2">
        <f>IFERROR(__xludf.DUMMYFUNCTION("""COMPUTED_VALUE"""),45154.0)</f>
        <v>45154</v>
      </c>
      <c r="B853" s="2" t="str">
        <f>IFERROR(__xludf.DUMMYFUNCTION("""COMPUTED_VALUE"""),"Collective Learning")</f>
        <v>Collective Learning</v>
      </c>
      <c r="C853" s="2"/>
    </row>
    <row r="854" ht="15.75" customHeight="1">
      <c r="A854" s="2">
        <f>IFERROR(__xludf.DUMMYFUNCTION("""COMPUTED_VALUE"""),45154.0)</f>
        <v>45154</v>
      </c>
      <c r="B854" s="2" t="str">
        <f>IFERROR(__xludf.DUMMYFUNCTION("""COMPUTED_VALUE"""),"NOTES")</f>
        <v>NOTES</v>
      </c>
      <c r="C854" s="2"/>
    </row>
    <row r="855" ht="15.75" customHeight="1">
      <c r="A855" s="2">
        <f>IFERROR(__xludf.DUMMYFUNCTION("""COMPUTED_VALUE"""),45162.0)</f>
        <v>45162</v>
      </c>
      <c r="B855" s="2" t="str">
        <f>IFERROR(__xludf.DUMMYFUNCTION("""COMPUTED_VALUE"""),"# of Sandwiches")</f>
        <v># of Sandwiches</v>
      </c>
      <c r="C855" s="2">
        <f>IFERROR(__xludf.DUMMYFUNCTION("""COMPUTED_VALUE"""),6562.0)</f>
        <v>6562</v>
      </c>
    </row>
    <row r="856" ht="15.75" customHeight="1">
      <c r="A856" s="2">
        <f>IFERROR(__xludf.DUMMYFUNCTION("""COMPUTED_VALUE"""),45162.0)</f>
        <v>45162</v>
      </c>
      <c r="B856" s="2" t="str">
        <f>IFERROR(__xludf.DUMMYFUNCTION("""COMPUTED_VALUE"""),"ALPHARETTA")</f>
        <v>ALPHARETTA</v>
      </c>
      <c r="C856" s="2">
        <f>IFERROR(__xludf.DUMMYFUNCTION("""COMPUTED_VALUE"""),1276.0)</f>
        <v>1276</v>
      </c>
    </row>
    <row r="857" ht="15.75" customHeight="1">
      <c r="A857" s="2">
        <f>IFERROR(__xludf.DUMMYFUNCTION("""COMPUTED_VALUE"""),45162.0)</f>
        <v>45162</v>
      </c>
      <c r="B857" s="2" t="str">
        <f>IFERROR(__xludf.DUMMYFUNCTION("""COMPUTED_VALUE"""),"PREVIOUS BUCKHEAD")</f>
        <v>PREVIOUS BUCKHEAD</v>
      </c>
      <c r="C857" s="2"/>
    </row>
    <row r="858" ht="15.75" customHeight="1">
      <c r="A858" s="2">
        <f>IFERROR(__xludf.DUMMYFUNCTION("""COMPUTED_VALUE"""),45162.0)</f>
        <v>45162</v>
      </c>
      <c r="B858" s="2" t="str">
        <f>IFERROR(__xludf.DUMMYFUNCTION("""COMPUTED_VALUE"""),"PREVIOUS OAK GROVE")</f>
        <v>PREVIOUS OAK GROVE</v>
      </c>
      <c r="C858" s="2"/>
    </row>
    <row r="859" ht="15.75" customHeight="1">
      <c r="A859" s="2">
        <f>IFERROR(__xludf.DUMMYFUNCTION("""COMPUTED_VALUE"""),45162.0)</f>
        <v>45162</v>
      </c>
      <c r="B859" s="2" t="str">
        <f>IFERROR(__xludf.DUMMYFUNCTION("""COMPUTED_VALUE"""),"DUNWOODY/PTC ")</f>
        <v>DUNWOODY/PTC </v>
      </c>
      <c r="C859" s="2">
        <f>IFERROR(__xludf.DUMMYFUNCTION("""COMPUTED_VALUE"""),1650.0)</f>
        <v>1650</v>
      </c>
    </row>
    <row r="860" ht="15.75" customHeight="1">
      <c r="A860" s="2">
        <f>IFERROR(__xludf.DUMMYFUNCTION("""COMPUTED_VALUE"""),45162.0)</f>
        <v>45162</v>
      </c>
      <c r="B860" s="2" t="str">
        <f>IFERROR(__xludf.DUMMYFUNCTION("""COMPUTED_VALUE"""),"E COBB/ROSWELL")</f>
        <v>E COBB/ROSWELL</v>
      </c>
      <c r="C860" s="2">
        <f>IFERROR(__xludf.DUMMYFUNCTION("""COMPUTED_VALUE"""),970.0)</f>
        <v>970</v>
      </c>
    </row>
    <row r="861" ht="15.75" customHeight="1">
      <c r="A861" s="2">
        <f>IFERROR(__xludf.DUMMYFUNCTION("""COMPUTED_VALUE"""),45162.0)</f>
        <v>45162</v>
      </c>
      <c r="B861" s="2" t="str">
        <f>IFERROR(__xludf.DUMMYFUNCTION("""COMPUTED_VALUE"""),"DECATUR")</f>
        <v>DECATUR</v>
      </c>
      <c r="C861" s="2">
        <f>IFERROR(__xludf.DUMMYFUNCTION("""COMPUTED_VALUE"""),97.0)</f>
        <v>97</v>
      </c>
    </row>
    <row r="862" ht="15.75" customHeight="1">
      <c r="A862" s="2">
        <f>IFERROR(__xludf.DUMMYFUNCTION("""COMPUTED_VALUE"""),45162.0)</f>
        <v>45162</v>
      </c>
      <c r="B862" s="2" t="str">
        <f>IFERROR(__xludf.DUMMYFUNCTION("""COMPUTED_VALUE"""),"P'TREE CORNERS ")</f>
        <v>P'TREE CORNERS </v>
      </c>
      <c r="C862" s="2"/>
    </row>
    <row r="863" ht="15.75" customHeight="1">
      <c r="A863" s="2">
        <f>IFERROR(__xludf.DUMMYFUNCTION("""COMPUTED_VALUE"""),45162.0)</f>
        <v>45162</v>
      </c>
      <c r="B863" s="2" t="str">
        <f>IFERROR(__xludf.DUMMYFUNCTION("""COMPUTED_VALUE"""),"UGA/Athens")</f>
        <v>UGA/Athens</v>
      </c>
      <c r="C863" s="2"/>
    </row>
    <row r="864" ht="15.75" customHeight="1">
      <c r="A864" s="2">
        <f>IFERROR(__xludf.DUMMYFUNCTION("""COMPUTED_VALUE"""),45162.0)</f>
        <v>45162</v>
      </c>
      <c r="B864" s="2" t="str">
        <f>IFERROR(__xludf.DUMMYFUNCTION("""COMPUTED_VALUE"""),"SANDY SPRINGS ")</f>
        <v>SANDY SPRINGS </v>
      </c>
      <c r="C864" s="2">
        <f>IFERROR(__xludf.DUMMYFUNCTION("""COMPUTED_VALUE"""),579.0)</f>
        <v>579</v>
      </c>
    </row>
    <row r="865" ht="15.75" customHeight="1">
      <c r="A865" s="2">
        <f>IFERROR(__xludf.DUMMYFUNCTION("""COMPUTED_VALUE"""),45162.0)</f>
        <v>45162</v>
      </c>
      <c r="B865" s="2" t="str">
        <f>IFERROR(__xludf.DUMMYFUNCTION("""COMPUTED_VALUE"""),"INTOWN/DRUID HILLS ")</f>
        <v>INTOWN/DRUID HILLS </v>
      </c>
      <c r="C865" s="2">
        <f>IFERROR(__xludf.DUMMYFUNCTION("""COMPUTED_VALUE"""),237.0)</f>
        <v>237</v>
      </c>
    </row>
    <row r="866" ht="15.75" customHeight="1">
      <c r="A866" s="2">
        <f>IFERROR(__xludf.DUMMYFUNCTION("""COMPUTED_VALUE"""),45162.0)</f>
        <v>45162</v>
      </c>
      <c r="B866" s="2" t="str">
        <f>IFERROR(__xludf.DUMMYFUNCTION("""COMPUTED_VALUE"""),"SNELLVILLE")</f>
        <v>SNELLVILLE</v>
      </c>
      <c r="C866" s="2">
        <f>IFERROR(__xludf.DUMMYFUNCTION("""COMPUTED_VALUE"""),172.0)</f>
        <v>172</v>
      </c>
    </row>
    <row r="867" ht="15.75" customHeight="1">
      <c r="A867" s="2">
        <f>IFERROR(__xludf.DUMMYFUNCTION("""COMPUTED_VALUE"""),45162.0)</f>
        <v>45162</v>
      </c>
      <c r="B867" s="2" t="str">
        <f>IFERROR(__xludf.DUMMYFUNCTION("""COMPUTED_VALUE"""),"GROUPS")</f>
        <v>GROUPS</v>
      </c>
      <c r="C867" s="2"/>
    </row>
    <row r="868" ht="15.75" customHeight="1">
      <c r="A868" s="2">
        <f>IFERROR(__xludf.DUMMYFUNCTION("""COMPUTED_VALUE"""),45162.0)</f>
        <v>45162</v>
      </c>
      <c r="B868" s="2" t="str">
        <f>IFERROR(__xludf.DUMMYFUNCTION("""COMPUTED_VALUE"""),"Previous Woodstock")</f>
        <v>Previous Woodstock</v>
      </c>
      <c r="C868" s="2"/>
    </row>
    <row r="869" ht="15.75" customHeight="1">
      <c r="A869" s="2">
        <f>IFERROR(__xludf.DUMMYFUNCTION("""COMPUTED_VALUE"""),45162.0)</f>
        <v>45162</v>
      </c>
      <c r="B869" s="2" t="str">
        <f>IFERROR(__xludf.DUMMYFUNCTION("""COMPUTED_VALUE"""),"Previous Lenox/Brookhaven")</f>
        <v>Previous Lenox/Brookhaven</v>
      </c>
      <c r="C869" s="2"/>
    </row>
    <row r="870" ht="15.75" customHeight="1">
      <c r="A870" s="2">
        <f>IFERROR(__xludf.DUMMYFUNCTION("""COMPUTED_VALUE"""),45162.0)</f>
        <v>45162</v>
      </c>
      <c r="B870" s="2" t="str">
        <f>IFERROR(__xludf.DUMMYFUNCTION("""COMPUTED_VALUE"""),"Previous New Chastain")</f>
        <v>Previous New Chastain</v>
      </c>
      <c r="C870" s="2"/>
    </row>
    <row r="871" ht="15.75" customHeight="1">
      <c r="A871" s="2">
        <f>IFERROR(__xludf.DUMMYFUNCTION("""COMPUTED_VALUE"""),45162.0)</f>
        <v>45162</v>
      </c>
      <c r="B871" s="2" t="str">
        <f>IFERROR(__xludf.DUMMYFUNCTION("""COMPUTED_VALUE"""),"Previous Glenwood Park")</f>
        <v>Previous Glenwood Park</v>
      </c>
      <c r="C871" s="2"/>
    </row>
    <row r="872" ht="15.75" customHeight="1">
      <c r="A872" s="2">
        <f>IFERROR(__xludf.DUMMYFUNCTION("""COMPUTED_VALUE"""),45162.0)</f>
        <v>45162</v>
      </c>
      <c r="B872" s="2" t="str">
        <f>IFERROR(__xludf.DUMMYFUNCTION("""COMPUTED_VALUE"""),"FLOWERY BRANCH")</f>
        <v>FLOWERY BRANCH</v>
      </c>
      <c r="C872" s="2">
        <f>IFERROR(__xludf.DUMMYFUNCTION("""COMPUTED_VALUE"""),346.0)</f>
        <v>346</v>
      </c>
    </row>
    <row r="873" ht="15.75" customHeight="1">
      <c r="A873" s="2">
        <f>IFERROR(__xludf.DUMMYFUNCTION("""COMPUTED_VALUE"""),45162.0)</f>
        <v>45162</v>
      </c>
      <c r="B873" s="2" t="str">
        <f>IFERROR(__xludf.DUMMYFUNCTION("""COMPUTED_VALUE"""),"GROUPS ")</f>
        <v>GROUPS </v>
      </c>
      <c r="C873" s="2">
        <f>IFERROR(__xludf.DUMMYFUNCTION("""COMPUTED_VALUE"""),1235.0)</f>
        <v>1235</v>
      </c>
    </row>
    <row r="874" ht="15.75" customHeight="1">
      <c r="A874" s="2">
        <f>IFERROR(__xludf.DUMMYFUNCTION("""COMPUTED_VALUE"""),45162.0)</f>
        <v>45162</v>
      </c>
      <c r="B874" s="2" t="str">
        <f>IFERROR(__xludf.DUMMYFUNCTION("""COMPUTED_VALUE"""),"TOTAL")</f>
        <v>TOTAL</v>
      </c>
      <c r="C874" s="2"/>
    </row>
    <row r="875" ht="15.75" customHeight="1">
      <c r="A875" s="2">
        <f>IFERROR(__xludf.DUMMYFUNCTION("""COMPUTED_VALUE"""),45162.0)</f>
        <v>45162</v>
      </c>
      <c r="B875" s="2" t="str">
        <f>IFERROR(__xludf.DUMMYFUNCTION("""COMPUTED_VALUE"""),"Collective Learning")</f>
        <v>Collective Learning</v>
      </c>
      <c r="C875" s="2"/>
    </row>
    <row r="876" ht="15.75" customHeight="1">
      <c r="A876" s="2">
        <f>IFERROR(__xludf.DUMMYFUNCTION("""COMPUTED_VALUE"""),45162.0)</f>
        <v>45162</v>
      </c>
      <c r="B876" s="2" t="str">
        <f>IFERROR(__xludf.DUMMYFUNCTION("""COMPUTED_VALUE"""),"NOTES")</f>
        <v>NOTES</v>
      </c>
      <c r="C876" s="2"/>
    </row>
    <row r="877" ht="15.75" customHeight="1">
      <c r="A877" s="2">
        <f>IFERROR(__xludf.DUMMYFUNCTION("""COMPUTED_VALUE"""),45168.0)</f>
        <v>45168</v>
      </c>
      <c r="B877" s="2" t="str">
        <f>IFERROR(__xludf.DUMMYFUNCTION("""COMPUTED_VALUE"""),"# of Sandwiches")</f>
        <v># of Sandwiches</v>
      </c>
      <c r="C877" s="2">
        <f>IFERROR(__xludf.DUMMYFUNCTION("""COMPUTED_VALUE"""),6060.0)</f>
        <v>6060</v>
      </c>
    </row>
    <row r="878" ht="15.75" customHeight="1">
      <c r="A878" s="2">
        <f>IFERROR(__xludf.DUMMYFUNCTION("""COMPUTED_VALUE"""),45168.0)</f>
        <v>45168</v>
      </c>
      <c r="B878" s="2" t="str">
        <f>IFERROR(__xludf.DUMMYFUNCTION("""COMPUTED_VALUE"""),"ALPHARETTA")</f>
        <v>ALPHARETTA</v>
      </c>
      <c r="C878" s="2">
        <f>IFERROR(__xludf.DUMMYFUNCTION("""COMPUTED_VALUE"""),1090.0)</f>
        <v>1090</v>
      </c>
    </row>
    <row r="879" ht="15.75" customHeight="1">
      <c r="A879" s="2">
        <f>IFERROR(__xludf.DUMMYFUNCTION("""COMPUTED_VALUE"""),45168.0)</f>
        <v>45168</v>
      </c>
      <c r="B879" s="2" t="str">
        <f>IFERROR(__xludf.DUMMYFUNCTION("""COMPUTED_VALUE"""),"PREVIOUS BUCKHEAD")</f>
        <v>PREVIOUS BUCKHEAD</v>
      </c>
      <c r="C879" s="2"/>
    </row>
    <row r="880" ht="15.75" customHeight="1">
      <c r="A880" s="2">
        <f>IFERROR(__xludf.DUMMYFUNCTION("""COMPUTED_VALUE"""),45168.0)</f>
        <v>45168</v>
      </c>
      <c r="B880" s="2" t="str">
        <f>IFERROR(__xludf.DUMMYFUNCTION("""COMPUTED_VALUE"""),"PREVIOUS OAK GROVE")</f>
        <v>PREVIOUS OAK GROVE</v>
      </c>
      <c r="C880" s="2"/>
    </row>
    <row r="881" ht="15.75" customHeight="1">
      <c r="A881" s="2">
        <f>IFERROR(__xludf.DUMMYFUNCTION("""COMPUTED_VALUE"""),45168.0)</f>
        <v>45168</v>
      </c>
      <c r="B881" s="2" t="str">
        <f>IFERROR(__xludf.DUMMYFUNCTION("""COMPUTED_VALUE"""),"DUNWOODY/PTC ")</f>
        <v>DUNWOODY/PTC </v>
      </c>
      <c r="C881" s="2">
        <f>IFERROR(__xludf.DUMMYFUNCTION("""COMPUTED_VALUE"""),1182.0)</f>
        <v>1182</v>
      </c>
    </row>
    <row r="882" ht="15.75" customHeight="1">
      <c r="A882" s="2">
        <f>IFERROR(__xludf.DUMMYFUNCTION("""COMPUTED_VALUE"""),45168.0)</f>
        <v>45168</v>
      </c>
      <c r="B882" s="2" t="str">
        <f>IFERROR(__xludf.DUMMYFUNCTION("""COMPUTED_VALUE"""),"E COBB/ROSWELL")</f>
        <v>E COBB/ROSWELL</v>
      </c>
      <c r="C882" s="2">
        <f>IFERROR(__xludf.DUMMYFUNCTION("""COMPUTED_VALUE"""),1095.0)</f>
        <v>1095</v>
      </c>
    </row>
    <row r="883" ht="15.75" customHeight="1">
      <c r="A883" s="2">
        <f>IFERROR(__xludf.DUMMYFUNCTION("""COMPUTED_VALUE"""),45168.0)</f>
        <v>45168</v>
      </c>
      <c r="B883" s="2" t="str">
        <f>IFERROR(__xludf.DUMMYFUNCTION("""COMPUTED_VALUE"""),"DECATUR")</f>
        <v>DECATUR</v>
      </c>
      <c r="C883" s="2">
        <f>IFERROR(__xludf.DUMMYFUNCTION("""COMPUTED_VALUE"""),106.0)</f>
        <v>106</v>
      </c>
    </row>
    <row r="884" ht="15.75" customHeight="1">
      <c r="A884" s="2">
        <f>IFERROR(__xludf.DUMMYFUNCTION("""COMPUTED_VALUE"""),45168.0)</f>
        <v>45168</v>
      </c>
      <c r="B884" s="2" t="str">
        <f>IFERROR(__xludf.DUMMYFUNCTION("""COMPUTED_VALUE"""),"P'TREE CORNERS ")</f>
        <v>P'TREE CORNERS </v>
      </c>
      <c r="C884" s="2"/>
    </row>
    <row r="885" ht="15.75" customHeight="1">
      <c r="A885" s="2">
        <f>IFERROR(__xludf.DUMMYFUNCTION("""COMPUTED_VALUE"""),45168.0)</f>
        <v>45168</v>
      </c>
      <c r="B885" s="2" t="str">
        <f>IFERROR(__xludf.DUMMYFUNCTION("""COMPUTED_VALUE"""),"UGA/Athens")</f>
        <v>UGA/Athens</v>
      </c>
      <c r="C885" s="2"/>
    </row>
    <row r="886" ht="15.75" customHeight="1">
      <c r="A886" s="2">
        <f>IFERROR(__xludf.DUMMYFUNCTION("""COMPUTED_VALUE"""),45168.0)</f>
        <v>45168</v>
      </c>
      <c r="B886" s="2" t="str">
        <f>IFERROR(__xludf.DUMMYFUNCTION("""COMPUTED_VALUE"""),"SANDY SPRINGS ")</f>
        <v>SANDY SPRINGS </v>
      </c>
      <c r="C886" s="2">
        <f>IFERROR(__xludf.DUMMYFUNCTION("""COMPUTED_VALUE"""),459.0)</f>
        <v>459</v>
      </c>
    </row>
    <row r="887" ht="15.75" customHeight="1">
      <c r="A887" s="2">
        <f>IFERROR(__xludf.DUMMYFUNCTION("""COMPUTED_VALUE"""),45168.0)</f>
        <v>45168</v>
      </c>
      <c r="B887" s="2" t="str">
        <f>IFERROR(__xludf.DUMMYFUNCTION("""COMPUTED_VALUE"""),"INTOWN/DRUID HILLS ")</f>
        <v>INTOWN/DRUID HILLS </v>
      </c>
      <c r="C887" s="2">
        <f>IFERROR(__xludf.DUMMYFUNCTION("""COMPUTED_VALUE"""),178.0)</f>
        <v>178</v>
      </c>
    </row>
    <row r="888" ht="15.75" customHeight="1">
      <c r="A888" s="2">
        <f>IFERROR(__xludf.DUMMYFUNCTION("""COMPUTED_VALUE"""),45168.0)</f>
        <v>45168</v>
      </c>
      <c r="B888" s="2" t="str">
        <f>IFERROR(__xludf.DUMMYFUNCTION("""COMPUTED_VALUE"""),"SNELLVILLE")</f>
        <v>SNELLVILLE</v>
      </c>
      <c r="C888" s="2">
        <f>IFERROR(__xludf.DUMMYFUNCTION("""COMPUTED_VALUE"""),116.0)</f>
        <v>116</v>
      </c>
    </row>
    <row r="889" ht="15.75" customHeight="1">
      <c r="A889" s="2">
        <f>IFERROR(__xludf.DUMMYFUNCTION("""COMPUTED_VALUE"""),45168.0)</f>
        <v>45168</v>
      </c>
      <c r="B889" s="2" t="str">
        <f>IFERROR(__xludf.DUMMYFUNCTION("""COMPUTED_VALUE"""),"GROUPS")</f>
        <v>GROUPS</v>
      </c>
      <c r="C889" s="2"/>
    </row>
    <row r="890" ht="15.75" customHeight="1">
      <c r="A890" s="2">
        <f>IFERROR(__xludf.DUMMYFUNCTION("""COMPUTED_VALUE"""),45168.0)</f>
        <v>45168</v>
      </c>
      <c r="B890" s="2" t="str">
        <f>IFERROR(__xludf.DUMMYFUNCTION("""COMPUTED_VALUE"""),"Previous Woodstock")</f>
        <v>Previous Woodstock</v>
      </c>
      <c r="C890" s="2"/>
    </row>
    <row r="891" ht="15.75" customHeight="1">
      <c r="A891" s="2">
        <f>IFERROR(__xludf.DUMMYFUNCTION("""COMPUTED_VALUE"""),45168.0)</f>
        <v>45168</v>
      </c>
      <c r="B891" s="2" t="str">
        <f>IFERROR(__xludf.DUMMYFUNCTION("""COMPUTED_VALUE"""),"Previous Lenox/Brookhaven")</f>
        <v>Previous Lenox/Brookhaven</v>
      </c>
      <c r="C891" s="2"/>
    </row>
    <row r="892" ht="15.75" customHeight="1">
      <c r="A892" s="2">
        <f>IFERROR(__xludf.DUMMYFUNCTION("""COMPUTED_VALUE"""),45168.0)</f>
        <v>45168</v>
      </c>
      <c r="B892" s="2" t="str">
        <f>IFERROR(__xludf.DUMMYFUNCTION("""COMPUTED_VALUE"""),"Previous New Chastain")</f>
        <v>Previous New Chastain</v>
      </c>
      <c r="C892" s="2"/>
    </row>
    <row r="893" ht="15.75" customHeight="1">
      <c r="A893" s="2">
        <f>IFERROR(__xludf.DUMMYFUNCTION("""COMPUTED_VALUE"""),45168.0)</f>
        <v>45168</v>
      </c>
      <c r="B893" s="2" t="str">
        <f>IFERROR(__xludf.DUMMYFUNCTION("""COMPUTED_VALUE"""),"Previous Glenwood Park")</f>
        <v>Previous Glenwood Park</v>
      </c>
      <c r="C893" s="2"/>
    </row>
    <row r="894" ht="15.75" customHeight="1">
      <c r="A894" s="2">
        <f>IFERROR(__xludf.DUMMYFUNCTION("""COMPUTED_VALUE"""),45168.0)</f>
        <v>45168</v>
      </c>
      <c r="B894" s="2" t="str">
        <f>IFERROR(__xludf.DUMMYFUNCTION("""COMPUTED_VALUE"""),"FLOWERY BRANCH")</f>
        <v>FLOWERY BRANCH</v>
      </c>
      <c r="C894" s="2">
        <f>IFERROR(__xludf.DUMMYFUNCTION("""COMPUTED_VALUE"""),349.0)</f>
        <v>349</v>
      </c>
    </row>
    <row r="895" ht="15.75" customHeight="1">
      <c r="A895" s="2">
        <f>IFERROR(__xludf.DUMMYFUNCTION("""COMPUTED_VALUE"""),45168.0)</f>
        <v>45168</v>
      </c>
      <c r="B895" s="2" t="str">
        <f>IFERROR(__xludf.DUMMYFUNCTION("""COMPUTED_VALUE"""),"GROUPS ")</f>
        <v>GROUPS </v>
      </c>
      <c r="C895" s="2">
        <f>IFERROR(__xludf.DUMMYFUNCTION("""COMPUTED_VALUE"""),1485.0)</f>
        <v>1485</v>
      </c>
    </row>
    <row r="896" ht="15.75" customHeight="1">
      <c r="A896" s="2">
        <f>IFERROR(__xludf.DUMMYFUNCTION("""COMPUTED_VALUE"""),45168.0)</f>
        <v>45168</v>
      </c>
      <c r="B896" s="2" t="str">
        <f>IFERROR(__xludf.DUMMYFUNCTION("""COMPUTED_VALUE"""),"TOTAL")</f>
        <v>TOTAL</v>
      </c>
      <c r="C896" s="2"/>
    </row>
    <row r="897" ht="15.75" customHeight="1">
      <c r="A897" s="2">
        <f>IFERROR(__xludf.DUMMYFUNCTION("""COMPUTED_VALUE"""),45168.0)</f>
        <v>45168</v>
      </c>
      <c r="B897" s="2" t="str">
        <f>IFERROR(__xludf.DUMMYFUNCTION("""COMPUTED_VALUE"""),"Collective Learning")</f>
        <v>Collective Learning</v>
      </c>
      <c r="C897" s="2"/>
    </row>
    <row r="898" ht="15.75" customHeight="1">
      <c r="A898" s="2">
        <f>IFERROR(__xludf.DUMMYFUNCTION("""COMPUTED_VALUE"""),45168.0)</f>
        <v>45168</v>
      </c>
      <c r="B898" s="2" t="str">
        <f>IFERROR(__xludf.DUMMYFUNCTION("""COMPUTED_VALUE"""),"NOTES")</f>
        <v>NOTES</v>
      </c>
      <c r="C898" s="2"/>
    </row>
    <row r="899" ht="15.75" customHeight="1">
      <c r="A899" s="2">
        <f>IFERROR(__xludf.DUMMYFUNCTION("""COMPUTED_VALUE"""),45175.0)</f>
        <v>45175</v>
      </c>
      <c r="B899" s="2" t="str">
        <f>IFERROR(__xludf.DUMMYFUNCTION("""COMPUTED_VALUE"""),"# of Sandwiches")</f>
        <v># of Sandwiches</v>
      </c>
      <c r="C899" s="2">
        <f>IFERROR(__xludf.DUMMYFUNCTION("""COMPUTED_VALUE"""),7435.0)</f>
        <v>7435</v>
      </c>
    </row>
    <row r="900" ht="15.75" customHeight="1">
      <c r="A900" s="2">
        <f>IFERROR(__xludf.DUMMYFUNCTION("""COMPUTED_VALUE"""),45175.0)</f>
        <v>45175</v>
      </c>
      <c r="B900" s="2" t="str">
        <f>IFERROR(__xludf.DUMMYFUNCTION("""COMPUTED_VALUE"""),"ALPHARETTA")</f>
        <v>ALPHARETTA</v>
      </c>
      <c r="C900" s="2">
        <f>IFERROR(__xludf.DUMMYFUNCTION("""COMPUTED_VALUE"""),2262.0)</f>
        <v>2262</v>
      </c>
    </row>
    <row r="901" ht="15.75" customHeight="1">
      <c r="A901" s="2">
        <f>IFERROR(__xludf.DUMMYFUNCTION("""COMPUTED_VALUE"""),45175.0)</f>
        <v>45175</v>
      </c>
      <c r="B901" s="2" t="str">
        <f>IFERROR(__xludf.DUMMYFUNCTION("""COMPUTED_VALUE"""),"PREVIOUS BUCKHEAD")</f>
        <v>PREVIOUS BUCKHEAD</v>
      </c>
      <c r="C901" s="2"/>
    </row>
    <row r="902" ht="15.75" customHeight="1">
      <c r="A902" s="2">
        <f>IFERROR(__xludf.DUMMYFUNCTION("""COMPUTED_VALUE"""),45175.0)</f>
        <v>45175</v>
      </c>
      <c r="B902" s="2" t="str">
        <f>IFERROR(__xludf.DUMMYFUNCTION("""COMPUTED_VALUE"""),"PREVIOUS OAK GROVE")</f>
        <v>PREVIOUS OAK GROVE</v>
      </c>
      <c r="C902" s="2"/>
    </row>
    <row r="903" ht="15.75" customHeight="1">
      <c r="A903" s="2">
        <f>IFERROR(__xludf.DUMMYFUNCTION("""COMPUTED_VALUE"""),45175.0)</f>
        <v>45175</v>
      </c>
      <c r="B903" s="2" t="str">
        <f>IFERROR(__xludf.DUMMYFUNCTION("""COMPUTED_VALUE"""),"DUNWOODY/PTC ")</f>
        <v>DUNWOODY/PTC </v>
      </c>
      <c r="C903" s="2">
        <f>IFERROR(__xludf.DUMMYFUNCTION("""COMPUTED_VALUE"""),1881.0)</f>
        <v>1881</v>
      </c>
    </row>
    <row r="904" ht="15.75" customHeight="1">
      <c r="A904" s="2">
        <f>IFERROR(__xludf.DUMMYFUNCTION("""COMPUTED_VALUE"""),45175.0)</f>
        <v>45175</v>
      </c>
      <c r="B904" s="2" t="str">
        <f>IFERROR(__xludf.DUMMYFUNCTION("""COMPUTED_VALUE"""),"E COBB/ROSWELL")</f>
        <v>E COBB/ROSWELL</v>
      </c>
      <c r="C904" s="2">
        <f>IFERROR(__xludf.DUMMYFUNCTION("""COMPUTED_VALUE"""),1060.0)</f>
        <v>1060</v>
      </c>
    </row>
    <row r="905" ht="15.75" customHeight="1">
      <c r="A905" s="2">
        <f>IFERROR(__xludf.DUMMYFUNCTION("""COMPUTED_VALUE"""),45175.0)</f>
        <v>45175</v>
      </c>
      <c r="B905" s="2" t="str">
        <f>IFERROR(__xludf.DUMMYFUNCTION("""COMPUTED_VALUE"""),"DECATUR")</f>
        <v>DECATUR</v>
      </c>
      <c r="C905" s="2">
        <f>IFERROR(__xludf.DUMMYFUNCTION("""COMPUTED_VALUE"""),92.0)</f>
        <v>92</v>
      </c>
    </row>
    <row r="906" ht="15.75" customHeight="1">
      <c r="A906" s="2">
        <f>IFERROR(__xludf.DUMMYFUNCTION("""COMPUTED_VALUE"""),45175.0)</f>
        <v>45175</v>
      </c>
      <c r="B906" s="2" t="str">
        <f>IFERROR(__xludf.DUMMYFUNCTION("""COMPUTED_VALUE"""),"P'TREE CORNERS ")</f>
        <v>P'TREE CORNERS </v>
      </c>
      <c r="C906" s="2"/>
    </row>
    <row r="907" ht="15.75" customHeight="1">
      <c r="A907" s="2">
        <f>IFERROR(__xludf.DUMMYFUNCTION("""COMPUTED_VALUE"""),45175.0)</f>
        <v>45175</v>
      </c>
      <c r="B907" s="2" t="str">
        <f>IFERROR(__xludf.DUMMYFUNCTION("""COMPUTED_VALUE"""),"UGA/Athens")</f>
        <v>UGA/Athens</v>
      </c>
      <c r="C907" s="2"/>
    </row>
    <row r="908" ht="15.75" customHeight="1">
      <c r="A908" s="2">
        <f>IFERROR(__xludf.DUMMYFUNCTION("""COMPUTED_VALUE"""),45175.0)</f>
        <v>45175</v>
      </c>
      <c r="B908" s="2" t="str">
        <f>IFERROR(__xludf.DUMMYFUNCTION("""COMPUTED_VALUE"""),"SANDY SPRINGS ")</f>
        <v>SANDY SPRINGS </v>
      </c>
      <c r="C908" s="2">
        <f>IFERROR(__xludf.DUMMYFUNCTION("""COMPUTED_VALUE"""),305.0)</f>
        <v>305</v>
      </c>
    </row>
    <row r="909" ht="15.75" customHeight="1">
      <c r="A909" s="2">
        <f>IFERROR(__xludf.DUMMYFUNCTION("""COMPUTED_VALUE"""),45175.0)</f>
        <v>45175</v>
      </c>
      <c r="B909" s="2" t="str">
        <f>IFERROR(__xludf.DUMMYFUNCTION("""COMPUTED_VALUE"""),"INTOWN/DRUID HILLS ")</f>
        <v>INTOWN/DRUID HILLS </v>
      </c>
      <c r="C909" s="2">
        <f>IFERROR(__xludf.DUMMYFUNCTION("""COMPUTED_VALUE"""),400.0)</f>
        <v>400</v>
      </c>
    </row>
    <row r="910" ht="15.75" customHeight="1">
      <c r="A910" s="2">
        <f>IFERROR(__xludf.DUMMYFUNCTION("""COMPUTED_VALUE"""),45175.0)</f>
        <v>45175</v>
      </c>
      <c r="B910" s="2" t="str">
        <f>IFERROR(__xludf.DUMMYFUNCTION("""COMPUTED_VALUE"""),"SNELLVILLE")</f>
        <v>SNELLVILLE</v>
      </c>
      <c r="C910" s="2">
        <f>IFERROR(__xludf.DUMMYFUNCTION("""COMPUTED_VALUE"""),80.0)</f>
        <v>80</v>
      </c>
    </row>
    <row r="911" ht="15.75" customHeight="1">
      <c r="A911" s="2">
        <f>IFERROR(__xludf.DUMMYFUNCTION("""COMPUTED_VALUE"""),45175.0)</f>
        <v>45175</v>
      </c>
      <c r="B911" s="2" t="str">
        <f>IFERROR(__xludf.DUMMYFUNCTION("""COMPUTED_VALUE"""),"GROUPS")</f>
        <v>GROUPS</v>
      </c>
      <c r="C911" s="2"/>
    </row>
    <row r="912" ht="15.75" customHeight="1">
      <c r="A912" s="2">
        <f>IFERROR(__xludf.DUMMYFUNCTION("""COMPUTED_VALUE"""),45175.0)</f>
        <v>45175</v>
      </c>
      <c r="B912" s="2" t="str">
        <f>IFERROR(__xludf.DUMMYFUNCTION("""COMPUTED_VALUE"""),"Previous Woodstock")</f>
        <v>Previous Woodstock</v>
      </c>
      <c r="C912" s="2"/>
    </row>
    <row r="913" ht="15.75" customHeight="1">
      <c r="A913" s="2">
        <f>IFERROR(__xludf.DUMMYFUNCTION("""COMPUTED_VALUE"""),45175.0)</f>
        <v>45175</v>
      </c>
      <c r="B913" s="2" t="str">
        <f>IFERROR(__xludf.DUMMYFUNCTION("""COMPUTED_VALUE"""),"Previous Lenox/Brookhaven")</f>
        <v>Previous Lenox/Brookhaven</v>
      </c>
      <c r="C913" s="2"/>
    </row>
    <row r="914" ht="15.75" customHeight="1">
      <c r="A914" s="2">
        <f>IFERROR(__xludf.DUMMYFUNCTION("""COMPUTED_VALUE"""),45175.0)</f>
        <v>45175</v>
      </c>
      <c r="B914" s="2" t="str">
        <f>IFERROR(__xludf.DUMMYFUNCTION("""COMPUTED_VALUE"""),"Previous New Chastain")</f>
        <v>Previous New Chastain</v>
      </c>
      <c r="C914" s="2"/>
    </row>
    <row r="915" ht="15.75" customHeight="1">
      <c r="A915" s="2">
        <f>IFERROR(__xludf.DUMMYFUNCTION("""COMPUTED_VALUE"""),45175.0)</f>
        <v>45175</v>
      </c>
      <c r="B915" s="2" t="str">
        <f>IFERROR(__xludf.DUMMYFUNCTION("""COMPUTED_VALUE"""),"Previous Glenwood Park")</f>
        <v>Previous Glenwood Park</v>
      </c>
      <c r="C915" s="2"/>
    </row>
    <row r="916" ht="15.75" customHeight="1">
      <c r="A916" s="2">
        <f>IFERROR(__xludf.DUMMYFUNCTION("""COMPUTED_VALUE"""),45175.0)</f>
        <v>45175</v>
      </c>
      <c r="B916" s="2" t="str">
        <f>IFERROR(__xludf.DUMMYFUNCTION("""COMPUTED_VALUE"""),"FLOWERY BRANCH")</f>
        <v>FLOWERY BRANCH</v>
      </c>
      <c r="C916" s="2">
        <f>IFERROR(__xludf.DUMMYFUNCTION("""COMPUTED_VALUE"""),249.0)</f>
        <v>249</v>
      </c>
    </row>
    <row r="917" ht="15.75" customHeight="1">
      <c r="A917" s="2">
        <f>IFERROR(__xludf.DUMMYFUNCTION("""COMPUTED_VALUE"""),45175.0)</f>
        <v>45175</v>
      </c>
      <c r="B917" s="2" t="str">
        <f>IFERROR(__xludf.DUMMYFUNCTION("""COMPUTED_VALUE"""),"GROUPS ")</f>
        <v>GROUPS </v>
      </c>
      <c r="C917" s="2">
        <f>IFERROR(__xludf.DUMMYFUNCTION("""COMPUTED_VALUE"""),1106.0)</f>
        <v>1106</v>
      </c>
    </row>
    <row r="918" ht="15.75" customHeight="1">
      <c r="A918" s="2">
        <f>IFERROR(__xludf.DUMMYFUNCTION("""COMPUTED_VALUE"""),45175.0)</f>
        <v>45175</v>
      </c>
      <c r="B918" s="2" t="str">
        <f>IFERROR(__xludf.DUMMYFUNCTION("""COMPUTED_VALUE"""),"TOTAL")</f>
        <v>TOTAL</v>
      </c>
      <c r="C918" s="2"/>
    </row>
    <row r="919" ht="15.75" customHeight="1">
      <c r="A919" s="2">
        <f>IFERROR(__xludf.DUMMYFUNCTION("""COMPUTED_VALUE"""),45175.0)</f>
        <v>45175</v>
      </c>
      <c r="B919" s="2" t="str">
        <f>IFERROR(__xludf.DUMMYFUNCTION("""COMPUTED_VALUE"""),"Collective Learning")</f>
        <v>Collective Learning</v>
      </c>
      <c r="C919" s="2"/>
    </row>
    <row r="920" ht="15.75" customHeight="1">
      <c r="A920" s="2">
        <f>IFERROR(__xludf.DUMMYFUNCTION("""COMPUTED_VALUE"""),45175.0)</f>
        <v>45175</v>
      </c>
      <c r="B920" s="2" t="str">
        <f>IFERROR(__xludf.DUMMYFUNCTION("""COMPUTED_VALUE"""),"NOTES")</f>
        <v>NOTES</v>
      </c>
      <c r="C920" s="2"/>
    </row>
    <row r="921" ht="15.75" customHeight="1">
      <c r="A921" s="2">
        <f>IFERROR(__xludf.DUMMYFUNCTION("""COMPUTED_VALUE"""),45182.0)</f>
        <v>45182</v>
      </c>
      <c r="B921" s="2" t="str">
        <f>IFERROR(__xludf.DUMMYFUNCTION("""COMPUTED_VALUE"""),"# of Sandwiches")</f>
        <v># of Sandwiches</v>
      </c>
      <c r="C921" s="2">
        <f>IFERROR(__xludf.DUMMYFUNCTION("""COMPUTED_VALUE"""),8499.0)</f>
        <v>8499</v>
      </c>
    </row>
    <row r="922" ht="15.75" customHeight="1">
      <c r="A922" s="2">
        <f>IFERROR(__xludf.DUMMYFUNCTION("""COMPUTED_VALUE"""),45182.0)</f>
        <v>45182</v>
      </c>
      <c r="B922" s="2" t="str">
        <f>IFERROR(__xludf.DUMMYFUNCTION("""COMPUTED_VALUE"""),"ALPHARETTA")</f>
        <v>ALPHARETTA</v>
      </c>
      <c r="C922" s="2">
        <f>IFERROR(__xludf.DUMMYFUNCTION("""COMPUTED_VALUE"""),615.0)</f>
        <v>615</v>
      </c>
    </row>
    <row r="923" ht="15.75" customHeight="1">
      <c r="A923" s="2">
        <f>IFERROR(__xludf.DUMMYFUNCTION("""COMPUTED_VALUE"""),45182.0)</f>
        <v>45182</v>
      </c>
      <c r="B923" s="2" t="str">
        <f>IFERROR(__xludf.DUMMYFUNCTION("""COMPUTED_VALUE"""),"PREVIOUS BUCKHEAD")</f>
        <v>PREVIOUS BUCKHEAD</v>
      </c>
      <c r="C923" s="2"/>
    </row>
    <row r="924" ht="15.75" customHeight="1">
      <c r="A924" s="2">
        <f>IFERROR(__xludf.DUMMYFUNCTION("""COMPUTED_VALUE"""),45182.0)</f>
        <v>45182</v>
      </c>
      <c r="B924" s="2" t="str">
        <f>IFERROR(__xludf.DUMMYFUNCTION("""COMPUTED_VALUE"""),"PREVIOUS OAK GROVE")</f>
        <v>PREVIOUS OAK GROVE</v>
      </c>
      <c r="C924" s="2"/>
    </row>
    <row r="925" ht="15.75" customHeight="1">
      <c r="A925" s="2">
        <f>IFERROR(__xludf.DUMMYFUNCTION("""COMPUTED_VALUE"""),45182.0)</f>
        <v>45182</v>
      </c>
      <c r="B925" s="2" t="str">
        <f>IFERROR(__xludf.DUMMYFUNCTION("""COMPUTED_VALUE"""),"DUNWOODY/PTC ")</f>
        <v>DUNWOODY/PTC </v>
      </c>
      <c r="C925" s="2">
        <f>IFERROR(__xludf.DUMMYFUNCTION("""COMPUTED_VALUE"""),2090.0)</f>
        <v>2090</v>
      </c>
    </row>
    <row r="926" ht="15.75" customHeight="1">
      <c r="A926" s="2">
        <f>IFERROR(__xludf.DUMMYFUNCTION("""COMPUTED_VALUE"""),45182.0)</f>
        <v>45182</v>
      </c>
      <c r="B926" s="2" t="str">
        <f>IFERROR(__xludf.DUMMYFUNCTION("""COMPUTED_VALUE"""),"E COBB/ROSWELL")</f>
        <v>E COBB/ROSWELL</v>
      </c>
      <c r="C926" s="2">
        <f>IFERROR(__xludf.DUMMYFUNCTION("""COMPUTED_VALUE"""),1605.0)</f>
        <v>1605</v>
      </c>
    </row>
    <row r="927" ht="15.75" customHeight="1">
      <c r="A927" s="2">
        <f>IFERROR(__xludf.DUMMYFUNCTION("""COMPUTED_VALUE"""),45182.0)</f>
        <v>45182</v>
      </c>
      <c r="B927" s="2" t="str">
        <f>IFERROR(__xludf.DUMMYFUNCTION("""COMPUTED_VALUE"""),"DECATUR")</f>
        <v>DECATUR</v>
      </c>
      <c r="C927" s="2">
        <f>IFERROR(__xludf.DUMMYFUNCTION("""COMPUTED_VALUE"""),82.0)</f>
        <v>82</v>
      </c>
    </row>
    <row r="928" ht="15.75" customHeight="1">
      <c r="A928" s="2">
        <f>IFERROR(__xludf.DUMMYFUNCTION("""COMPUTED_VALUE"""),45182.0)</f>
        <v>45182</v>
      </c>
      <c r="B928" s="2" t="str">
        <f>IFERROR(__xludf.DUMMYFUNCTION("""COMPUTED_VALUE"""),"P'TREE CORNERS ")</f>
        <v>P'TREE CORNERS </v>
      </c>
      <c r="C928" s="2"/>
    </row>
    <row r="929" ht="15.75" customHeight="1">
      <c r="A929" s="2">
        <f>IFERROR(__xludf.DUMMYFUNCTION("""COMPUTED_VALUE"""),45182.0)</f>
        <v>45182</v>
      </c>
      <c r="B929" s="2" t="str">
        <f>IFERROR(__xludf.DUMMYFUNCTION("""COMPUTED_VALUE"""),"UGA/Athens")</f>
        <v>UGA/Athens</v>
      </c>
      <c r="C929" s="2"/>
    </row>
    <row r="930" ht="15.75" customHeight="1">
      <c r="A930" s="2">
        <f>IFERROR(__xludf.DUMMYFUNCTION("""COMPUTED_VALUE"""),45182.0)</f>
        <v>45182</v>
      </c>
      <c r="B930" s="2" t="str">
        <f>IFERROR(__xludf.DUMMYFUNCTION("""COMPUTED_VALUE"""),"SANDY SPRINGS ")</f>
        <v>SANDY SPRINGS </v>
      </c>
      <c r="C930" s="2">
        <f>IFERROR(__xludf.DUMMYFUNCTION("""COMPUTED_VALUE"""),888.0)</f>
        <v>888</v>
      </c>
    </row>
    <row r="931" ht="15.75" customHeight="1">
      <c r="A931" s="2">
        <f>IFERROR(__xludf.DUMMYFUNCTION("""COMPUTED_VALUE"""),45182.0)</f>
        <v>45182</v>
      </c>
      <c r="B931" s="2" t="str">
        <f>IFERROR(__xludf.DUMMYFUNCTION("""COMPUTED_VALUE"""),"INTOWN/DRUID HILLS ")</f>
        <v>INTOWN/DRUID HILLS </v>
      </c>
      <c r="C931" s="2">
        <f>IFERROR(__xludf.DUMMYFUNCTION("""COMPUTED_VALUE"""),746.0)</f>
        <v>746</v>
      </c>
    </row>
    <row r="932" ht="15.75" customHeight="1">
      <c r="A932" s="2">
        <f>IFERROR(__xludf.DUMMYFUNCTION("""COMPUTED_VALUE"""),45182.0)</f>
        <v>45182</v>
      </c>
      <c r="B932" s="2" t="str">
        <f>IFERROR(__xludf.DUMMYFUNCTION("""COMPUTED_VALUE"""),"SNELLVILLE")</f>
        <v>SNELLVILLE</v>
      </c>
      <c r="C932" s="2">
        <f>IFERROR(__xludf.DUMMYFUNCTION("""COMPUTED_VALUE"""),228.0)</f>
        <v>228</v>
      </c>
    </row>
    <row r="933" ht="15.75" customHeight="1">
      <c r="A933" s="2">
        <f>IFERROR(__xludf.DUMMYFUNCTION("""COMPUTED_VALUE"""),45182.0)</f>
        <v>45182</v>
      </c>
      <c r="B933" s="2" t="str">
        <f>IFERROR(__xludf.DUMMYFUNCTION("""COMPUTED_VALUE"""),"GROUPS")</f>
        <v>GROUPS</v>
      </c>
      <c r="C933" s="2"/>
    </row>
    <row r="934" ht="15.75" customHeight="1">
      <c r="A934" s="2">
        <f>IFERROR(__xludf.DUMMYFUNCTION("""COMPUTED_VALUE"""),45182.0)</f>
        <v>45182</v>
      </c>
      <c r="B934" s="2" t="str">
        <f>IFERROR(__xludf.DUMMYFUNCTION("""COMPUTED_VALUE"""),"Previous Woodstock")</f>
        <v>Previous Woodstock</v>
      </c>
      <c r="C934" s="2"/>
    </row>
    <row r="935" ht="15.75" customHeight="1">
      <c r="A935" s="2">
        <f>IFERROR(__xludf.DUMMYFUNCTION("""COMPUTED_VALUE"""),45182.0)</f>
        <v>45182</v>
      </c>
      <c r="B935" s="2" t="str">
        <f>IFERROR(__xludf.DUMMYFUNCTION("""COMPUTED_VALUE"""),"Previous Lenox/Brookhaven")</f>
        <v>Previous Lenox/Brookhaven</v>
      </c>
      <c r="C935" s="2"/>
    </row>
    <row r="936" ht="15.75" customHeight="1">
      <c r="A936" s="2">
        <f>IFERROR(__xludf.DUMMYFUNCTION("""COMPUTED_VALUE"""),45182.0)</f>
        <v>45182</v>
      </c>
      <c r="B936" s="2" t="str">
        <f>IFERROR(__xludf.DUMMYFUNCTION("""COMPUTED_VALUE"""),"Previous New Chastain")</f>
        <v>Previous New Chastain</v>
      </c>
      <c r="C936" s="2"/>
    </row>
    <row r="937" ht="15.75" customHeight="1">
      <c r="A937" s="2">
        <f>IFERROR(__xludf.DUMMYFUNCTION("""COMPUTED_VALUE"""),45182.0)</f>
        <v>45182</v>
      </c>
      <c r="B937" s="2" t="str">
        <f>IFERROR(__xludf.DUMMYFUNCTION("""COMPUTED_VALUE"""),"Previous Glenwood Park")</f>
        <v>Previous Glenwood Park</v>
      </c>
      <c r="C937" s="2"/>
    </row>
    <row r="938" ht="15.75" customHeight="1">
      <c r="A938" s="2">
        <f>IFERROR(__xludf.DUMMYFUNCTION("""COMPUTED_VALUE"""),45182.0)</f>
        <v>45182</v>
      </c>
      <c r="B938" s="2" t="str">
        <f>IFERROR(__xludf.DUMMYFUNCTION("""COMPUTED_VALUE"""),"FLOWERY BRANCH")</f>
        <v>FLOWERY BRANCH</v>
      </c>
      <c r="C938" s="2">
        <f>IFERROR(__xludf.DUMMYFUNCTION("""COMPUTED_VALUE"""),200.0)</f>
        <v>200</v>
      </c>
    </row>
    <row r="939" ht="15.75" customHeight="1">
      <c r="A939" s="2">
        <f>IFERROR(__xludf.DUMMYFUNCTION("""COMPUTED_VALUE"""),45182.0)</f>
        <v>45182</v>
      </c>
      <c r="B939" s="2" t="str">
        <f>IFERROR(__xludf.DUMMYFUNCTION("""COMPUTED_VALUE"""),"GROUPS ")</f>
        <v>GROUPS </v>
      </c>
      <c r="C939" s="2">
        <f>IFERROR(__xludf.DUMMYFUNCTION("""COMPUTED_VALUE"""),2045.0)</f>
        <v>2045</v>
      </c>
    </row>
    <row r="940" ht="15.75" customHeight="1">
      <c r="A940" s="2">
        <f>IFERROR(__xludf.DUMMYFUNCTION("""COMPUTED_VALUE"""),45182.0)</f>
        <v>45182</v>
      </c>
      <c r="B940" s="2" t="str">
        <f>IFERROR(__xludf.DUMMYFUNCTION("""COMPUTED_VALUE"""),"TOTAL")</f>
        <v>TOTAL</v>
      </c>
      <c r="C940" s="2"/>
    </row>
    <row r="941" ht="15.75" customHeight="1">
      <c r="A941" s="2">
        <f>IFERROR(__xludf.DUMMYFUNCTION("""COMPUTED_VALUE"""),45182.0)</f>
        <v>45182</v>
      </c>
      <c r="B941" s="2" t="str">
        <f>IFERROR(__xludf.DUMMYFUNCTION("""COMPUTED_VALUE"""),"Collective Learning")</f>
        <v>Collective Learning</v>
      </c>
      <c r="C941" s="2"/>
    </row>
    <row r="942" ht="15.75" customHeight="1">
      <c r="A942" s="2">
        <f>IFERROR(__xludf.DUMMYFUNCTION("""COMPUTED_VALUE"""),45182.0)</f>
        <v>45182</v>
      </c>
      <c r="B942" s="2" t="str">
        <f>IFERROR(__xludf.DUMMYFUNCTION("""COMPUTED_VALUE"""),"NOTES")</f>
        <v>NOTES</v>
      </c>
      <c r="C942" s="2"/>
    </row>
    <row r="943" ht="15.75" customHeight="1">
      <c r="A943" s="2">
        <f>IFERROR(__xludf.DUMMYFUNCTION("""COMPUTED_VALUE"""),45189.0)</f>
        <v>45189</v>
      </c>
      <c r="B943" s="2" t="str">
        <f>IFERROR(__xludf.DUMMYFUNCTION("""COMPUTED_VALUE"""),"# of Sandwiches")</f>
        <v># of Sandwiches</v>
      </c>
      <c r="C943" s="2">
        <f>IFERROR(__xludf.DUMMYFUNCTION("""COMPUTED_VALUE"""),8448.0)</f>
        <v>8448</v>
      </c>
    </row>
    <row r="944" ht="15.75" customHeight="1">
      <c r="A944" s="2">
        <f>IFERROR(__xludf.DUMMYFUNCTION("""COMPUTED_VALUE"""),45189.0)</f>
        <v>45189</v>
      </c>
      <c r="B944" s="2" t="str">
        <f>IFERROR(__xludf.DUMMYFUNCTION("""COMPUTED_VALUE"""),"ALPHARETTA")</f>
        <v>ALPHARETTA</v>
      </c>
      <c r="C944" s="2">
        <f>IFERROR(__xludf.DUMMYFUNCTION("""COMPUTED_VALUE"""),1842.0)</f>
        <v>1842</v>
      </c>
    </row>
    <row r="945" ht="15.75" customHeight="1">
      <c r="A945" s="2">
        <f>IFERROR(__xludf.DUMMYFUNCTION("""COMPUTED_VALUE"""),45189.0)</f>
        <v>45189</v>
      </c>
      <c r="B945" s="2" t="str">
        <f>IFERROR(__xludf.DUMMYFUNCTION("""COMPUTED_VALUE"""),"PREVIOUS BUCKHEAD")</f>
        <v>PREVIOUS BUCKHEAD</v>
      </c>
      <c r="C945" s="2"/>
    </row>
    <row r="946" ht="15.75" customHeight="1">
      <c r="A946" s="2">
        <f>IFERROR(__xludf.DUMMYFUNCTION("""COMPUTED_VALUE"""),45189.0)</f>
        <v>45189</v>
      </c>
      <c r="B946" s="2" t="str">
        <f>IFERROR(__xludf.DUMMYFUNCTION("""COMPUTED_VALUE"""),"PREVIOUS OAK GROVE")</f>
        <v>PREVIOUS OAK GROVE</v>
      </c>
      <c r="C946" s="2"/>
    </row>
    <row r="947" ht="15.75" customHeight="1">
      <c r="A947" s="2">
        <f>IFERROR(__xludf.DUMMYFUNCTION("""COMPUTED_VALUE"""),45189.0)</f>
        <v>45189</v>
      </c>
      <c r="B947" s="2" t="str">
        <f>IFERROR(__xludf.DUMMYFUNCTION("""COMPUTED_VALUE"""),"DUNWOODY/PTC ")</f>
        <v>DUNWOODY/PTC </v>
      </c>
      <c r="C947" s="2">
        <f>IFERROR(__xludf.DUMMYFUNCTION("""COMPUTED_VALUE"""),2138.0)</f>
        <v>2138</v>
      </c>
    </row>
    <row r="948" ht="15.75" customHeight="1">
      <c r="A948" s="2">
        <f>IFERROR(__xludf.DUMMYFUNCTION("""COMPUTED_VALUE"""),45189.0)</f>
        <v>45189</v>
      </c>
      <c r="B948" s="2" t="str">
        <f>IFERROR(__xludf.DUMMYFUNCTION("""COMPUTED_VALUE"""),"E COBB/ROSWELL")</f>
        <v>E COBB/ROSWELL</v>
      </c>
      <c r="C948" s="2">
        <f>IFERROR(__xludf.DUMMYFUNCTION("""COMPUTED_VALUE"""),1614.0)</f>
        <v>1614</v>
      </c>
    </row>
    <row r="949" ht="15.75" customHeight="1">
      <c r="A949" s="2">
        <f>IFERROR(__xludf.DUMMYFUNCTION("""COMPUTED_VALUE"""),45189.0)</f>
        <v>45189</v>
      </c>
      <c r="B949" s="2" t="str">
        <f>IFERROR(__xludf.DUMMYFUNCTION("""COMPUTED_VALUE"""),"DECATUR")</f>
        <v>DECATUR</v>
      </c>
      <c r="C949" s="2">
        <f>IFERROR(__xludf.DUMMYFUNCTION("""COMPUTED_VALUE"""),0.0)</f>
        <v>0</v>
      </c>
    </row>
    <row r="950" ht="15.75" customHeight="1">
      <c r="A950" s="2">
        <f>IFERROR(__xludf.DUMMYFUNCTION("""COMPUTED_VALUE"""),45189.0)</f>
        <v>45189</v>
      </c>
      <c r="B950" s="2" t="str">
        <f>IFERROR(__xludf.DUMMYFUNCTION("""COMPUTED_VALUE"""),"P'TREE CORNERS ")</f>
        <v>P'TREE CORNERS </v>
      </c>
      <c r="C950" s="2"/>
    </row>
    <row r="951" ht="15.75" customHeight="1">
      <c r="A951" s="2">
        <f>IFERROR(__xludf.DUMMYFUNCTION("""COMPUTED_VALUE"""),45189.0)</f>
        <v>45189</v>
      </c>
      <c r="B951" s="2" t="str">
        <f>IFERROR(__xludf.DUMMYFUNCTION("""COMPUTED_VALUE"""),"UGA/Athens")</f>
        <v>UGA/Athens</v>
      </c>
      <c r="C951" s="2"/>
    </row>
    <row r="952" ht="15.75" customHeight="1">
      <c r="A952" s="2">
        <f>IFERROR(__xludf.DUMMYFUNCTION("""COMPUTED_VALUE"""),45189.0)</f>
        <v>45189</v>
      </c>
      <c r="B952" s="2" t="str">
        <f>IFERROR(__xludf.DUMMYFUNCTION("""COMPUTED_VALUE"""),"SANDY SPRINGS ")</f>
        <v>SANDY SPRINGS </v>
      </c>
      <c r="C952" s="2">
        <f>IFERROR(__xludf.DUMMYFUNCTION("""COMPUTED_VALUE"""),495.0)</f>
        <v>495</v>
      </c>
    </row>
    <row r="953" ht="15.75" customHeight="1">
      <c r="A953" s="2">
        <f>IFERROR(__xludf.DUMMYFUNCTION("""COMPUTED_VALUE"""),45189.0)</f>
        <v>45189</v>
      </c>
      <c r="B953" s="2" t="str">
        <f>IFERROR(__xludf.DUMMYFUNCTION("""COMPUTED_VALUE"""),"INTOWN/DRUID HILLS ")</f>
        <v>INTOWN/DRUID HILLS </v>
      </c>
      <c r="C953" s="2">
        <f>IFERROR(__xludf.DUMMYFUNCTION("""COMPUTED_VALUE"""),437.0)</f>
        <v>437</v>
      </c>
    </row>
    <row r="954" ht="15.75" customHeight="1">
      <c r="A954" s="2">
        <f>IFERROR(__xludf.DUMMYFUNCTION("""COMPUTED_VALUE"""),45189.0)</f>
        <v>45189</v>
      </c>
      <c r="B954" s="2" t="str">
        <f>IFERROR(__xludf.DUMMYFUNCTION("""COMPUTED_VALUE"""),"SNELLVILLE")</f>
        <v>SNELLVILLE</v>
      </c>
      <c r="C954" s="2">
        <f>IFERROR(__xludf.DUMMYFUNCTION("""COMPUTED_VALUE"""),109.0)</f>
        <v>109</v>
      </c>
    </row>
    <row r="955" ht="15.75" customHeight="1">
      <c r="A955" s="2">
        <f>IFERROR(__xludf.DUMMYFUNCTION("""COMPUTED_VALUE"""),45189.0)</f>
        <v>45189</v>
      </c>
      <c r="B955" s="2" t="str">
        <f>IFERROR(__xludf.DUMMYFUNCTION("""COMPUTED_VALUE"""),"GROUPS")</f>
        <v>GROUPS</v>
      </c>
      <c r="C955" s="2"/>
    </row>
    <row r="956" ht="15.75" customHeight="1">
      <c r="A956" s="2">
        <f>IFERROR(__xludf.DUMMYFUNCTION("""COMPUTED_VALUE"""),45189.0)</f>
        <v>45189</v>
      </c>
      <c r="B956" s="2" t="str">
        <f>IFERROR(__xludf.DUMMYFUNCTION("""COMPUTED_VALUE"""),"Previous Woodstock")</f>
        <v>Previous Woodstock</v>
      </c>
      <c r="C956" s="2"/>
    </row>
    <row r="957" ht="15.75" customHeight="1">
      <c r="A957" s="2">
        <f>IFERROR(__xludf.DUMMYFUNCTION("""COMPUTED_VALUE"""),45189.0)</f>
        <v>45189</v>
      </c>
      <c r="B957" s="2" t="str">
        <f>IFERROR(__xludf.DUMMYFUNCTION("""COMPUTED_VALUE"""),"Previous Lenox/Brookhaven")</f>
        <v>Previous Lenox/Brookhaven</v>
      </c>
      <c r="C957" s="2"/>
    </row>
    <row r="958" ht="15.75" customHeight="1">
      <c r="A958" s="2">
        <f>IFERROR(__xludf.DUMMYFUNCTION("""COMPUTED_VALUE"""),45189.0)</f>
        <v>45189</v>
      </c>
      <c r="B958" s="2" t="str">
        <f>IFERROR(__xludf.DUMMYFUNCTION("""COMPUTED_VALUE"""),"Previous New Chastain")</f>
        <v>Previous New Chastain</v>
      </c>
      <c r="C958" s="2"/>
    </row>
    <row r="959" ht="15.75" customHeight="1">
      <c r="A959" s="2">
        <f>IFERROR(__xludf.DUMMYFUNCTION("""COMPUTED_VALUE"""),45189.0)</f>
        <v>45189</v>
      </c>
      <c r="B959" s="2" t="str">
        <f>IFERROR(__xludf.DUMMYFUNCTION("""COMPUTED_VALUE"""),"Previous Glenwood Park")</f>
        <v>Previous Glenwood Park</v>
      </c>
      <c r="C959" s="2"/>
    </row>
    <row r="960" ht="15.75" customHeight="1">
      <c r="A960" s="2">
        <f>IFERROR(__xludf.DUMMYFUNCTION("""COMPUTED_VALUE"""),45189.0)</f>
        <v>45189</v>
      </c>
      <c r="B960" s="2" t="str">
        <f>IFERROR(__xludf.DUMMYFUNCTION("""COMPUTED_VALUE"""),"FLOWERY BRANCH")</f>
        <v>FLOWERY BRANCH</v>
      </c>
      <c r="C960" s="2">
        <f>IFERROR(__xludf.DUMMYFUNCTION("""COMPUTED_VALUE"""),635.0)</f>
        <v>635</v>
      </c>
    </row>
    <row r="961" ht="15.75" customHeight="1">
      <c r="A961" s="2">
        <f>IFERROR(__xludf.DUMMYFUNCTION("""COMPUTED_VALUE"""),45189.0)</f>
        <v>45189</v>
      </c>
      <c r="B961" s="2" t="str">
        <f>IFERROR(__xludf.DUMMYFUNCTION("""COMPUTED_VALUE"""),"GROUPS ")</f>
        <v>GROUPS </v>
      </c>
      <c r="C961" s="2">
        <f>IFERROR(__xludf.DUMMYFUNCTION("""COMPUTED_VALUE"""),1178.0)</f>
        <v>1178</v>
      </c>
    </row>
    <row r="962" ht="15.75" customHeight="1">
      <c r="A962" s="2">
        <f>IFERROR(__xludf.DUMMYFUNCTION("""COMPUTED_VALUE"""),45189.0)</f>
        <v>45189</v>
      </c>
      <c r="B962" s="2" t="str">
        <f>IFERROR(__xludf.DUMMYFUNCTION("""COMPUTED_VALUE"""),"TOTAL")</f>
        <v>TOTAL</v>
      </c>
      <c r="C962" s="2"/>
    </row>
    <row r="963" ht="15.75" customHeight="1">
      <c r="A963" s="2">
        <f>IFERROR(__xludf.DUMMYFUNCTION("""COMPUTED_VALUE"""),45189.0)</f>
        <v>45189</v>
      </c>
      <c r="B963" s="2" t="str">
        <f>IFERROR(__xludf.DUMMYFUNCTION("""COMPUTED_VALUE"""),"Collective Learning")</f>
        <v>Collective Learning</v>
      </c>
      <c r="C963" s="2"/>
    </row>
    <row r="964" ht="15.75" customHeight="1">
      <c r="A964" s="2">
        <f>IFERROR(__xludf.DUMMYFUNCTION("""COMPUTED_VALUE"""),45189.0)</f>
        <v>45189</v>
      </c>
      <c r="B964" s="2" t="str">
        <f>IFERROR(__xludf.DUMMYFUNCTION("""COMPUTED_VALUE"""),"NOTES")</f>
        <v>NOTES</v>
      </c>
      <c r="C964" s="2"/>
    </row>
    <row r="965" ht="15.75" customHeight="1">
      <c r="A965" s="2">
        <f>IFERROR(__xludf.DUMMYFUNCTION("""COMPUTED_VALUE"""),45196.0)</f>
        <v>45196</v>
      </c>
      <c r="B965" s="2" t="str">
        <f>IFERROR(__xludf.DUMMYFUNCTION("""COMPUTED_VALUE"""),"# of Sandwiches")</f>
        <v># of Sandwiches</v>
      </c>
      <c r="C965" s="2">
        <f>IFERROR(__xludf.DUMMYFUNCTION("""COMPUTED_VALUE"""),9471.0)</f>
        <v>9471</v>
      </c>
    </row>
    <row r="966" ht="15.75" customHeight="1">
      <c r="A966" s="2">
        <f>IFERROR(__xludf.DUMMYFUNCTION("""COMPUTED_VALUE"""),45196.0)</f>
        <v>45196</v>
      </c>
      <c r="B966" s="2" t="str">
        <f>IFERROR(__xludf.DUMMYFUNCTION("""COMPUTED_VALUE"""),"ALPHARETTA")</f>
        <v>ALPHARETTA</v>
      </c>
      <c r="C966" s="2">
        <f>IFERROR(__xludf.DUMMYFUNCTION("""COMPUTED_VALUE"""),1922.0)</f>
        <v>1922</v>
      </c>
    </row>
    <row r="967" ht="15.75" customHeight="1">
      <c r="A967" s="2">
        <f>IFERROR(__xludf.DUMMYFUNCTION("""COMPUTED_VALUE"""),45196.0)</f>
        <v>45196</v>
      </c>
      <c r="B967" s="2" t="str">
        <f>IFERROR(__xludf.DUMMYFUNCTION("""COMPUTED_VALUE"""),"PREVIOUS BUCKHEAD")</f>
        <v>PREVIOUS BUCKHEAD</v>
      </c>
      <c r="C967" s="2"/>
    </row>
    <row r="968" ht="15.75" customHeight="1">
      <c r="A968" s="2">
        <f>IFERROR(__xludf.DUMMYFUNCTION("""COMPUTED_VALUE"""),45196.0)</f>
        <v>45196</v>
      </c>
      <c r="B968" s="2" t="str">
        <f>IFERROR(__xludf.DUMMYFUNCTION("""COMPUTED_VALUE"""),"PREVIOUS OAK GROVE")</f>
        <v>PREVIOUS OAK GROVE</v>
      </c>
      <c r="C968" s="2"/>
    </row>
    <row r="969" ht="15.75" customHeight="1">
      <c r="A969" s="2">
        <f>IFERROR(__xludf.DUMMYFUNCTION("""COMPUTED_VALUE"""),45196.0)</f>
        <v>45196</v>
      </c>
      <c r="B969" s="2" t="str">
        <f>IFERROR(__xludf.DUMMYFUNCTION("""COMPUTED_VALUE"""),"DUNWOODY/PTC ")</f>
        <v>DUNWOODY/PTC </v>
      </c>
      <c r="C969" s="2">
        <f>IFERROR(__xludf.DUMMYFUNCTION("""COMPUTED_VALUE"""),1520.0)</f>
        <v>1520</v>
      </c>
    </row>
    <row r="970" ht="15.75" customHeight="1">
      <c r="A970" s="2">
        <f>IFERROR(__xludf.DUMMYFUNCTION("""COMPUTED_VALUE"""),45196.0)</f>
        <v>45196</v>
      </c>
      <c r="B970" s="2" t="str">
        <f>IFERROR(__xludf.DUMMYFUNCTION("""COMPUTED_VALUE"""),"E COBB/ROSWELL")</f>
        <v>E COBB/ROSWELL</v>
      </c>
      <c r="C970" s="2">
        <f>IFERROR(__xludf.DUMMYFUNCTION("""COMPUTED_VALUE"""),869.0)</f>
        <v>869</v>
      </c>
    </row>
    <row r="971" ht="15.75" customHeight="1">
      <c r="A971" s="2">
        <f>IFERROR(__xludf.DUMMYFUNCTION("""COMPUTED_VALUE"""),45196.0)</f>
        <v>45196</v>
      </c>
      <c r="B971" s="2" t="str">
        <f>IFERROR(__xludf.DUMMYFUNCTION("""COMPUTED_VALUE"""),"DECATUR")</f>
        <v>DECATUR</v>
      </c>
      <c r="C971" s="2">
        <f>IFERROR(__xludf.DUMMYFUNCTION("""COMPUTED_VALUE"""),142.0)</f>
        <v>142</v>
      </c>
    </row>
    <row r="972" ht="15.75" customHeight="1">
      <c r="A972" s="2">
        <f>IFERROR(__xludf.DUMMYFUNCTION("""COMPUTED_VALUE"""),45196.0)</f>
        <v>45196</v>
      </c>
      <c r="B972" s="2" t="str">
        <f>IFERROR(__xludf.DUMMYFUNCTION("""COMPUTED_VALUE"""),"P'TREE CORNERS ")</f>
        <v>P'TREE CORNERS </v>
      </c>
      <c r="C972" s="2"/>
    </row>
    <row r="973" ht="15.75" customHeight="1">
      <c r="A973" s="2">
        <f>IFERROR(__xludf.DUMMYFUNCTION("""COMPUTED_VALUE"""),45196.0)</f>
        <v>45196</v>
      </c>
      <c r="B973" s="2" t="str">
        <f>IFERROR(__xludf.DUMMYFUNCTION("""COMPUTED_VALUE"""),"UGA/Athens")</f>
        <v>UGA/Athens</v>
      </c>
      <c r="C973" s="2"/>
    </row>
    <row r="974" ht="15.75" customHeight="1">
      <c r="A974" s="2">
        <f>IFERROR(__xludf.DUMMYFUNCTION("""COMPUTED_VALUE"""),45196.0)</f>
        <v>45196</v>
      </c>
      <c r="B974" s="2" t="str">
        <f>IFERROR(__xludf.DUMMYFUNCTION("""COMPUTED_VALUE"""),"SANDY SPRINGS ")</f>
        <v>SANDY SPRINGS </v>
      </c>
      <c r="C974" s="2">
        <f>IFERROR(__xludf.DUMMYFUNCTION("""COMPUTED_VALUE"""),827.0)</f>
        <v>827</v>
      </c>
    </row>
    <row r="975" ht="15.75" customHeight="1">
      <c r="A975" s="2">
        <f>IFERROR(__xludf.DUMMYFUNCTION("""COMPUTED_VALUE"""),45196.0)</f>
        <v>45196</v>
      </c>
      <c r="B975" s="2" t="str">
        <f>IFERROR(__xludf.DUMMYFUNCTION("""COMPUTED_VALUE"""),"INTOWN/DRUID HILLS ")</f>
        <v>INTOWN/DRUID HILLS </v>
      </c>
      <c r="C975" s="2">
        <f>IFERROR(__xludf.DUMMYFUNCTION("""COMPUTED_VALUE"""),635.0)</f>
        <v>635</v>
      </c>
    </row>
    <row r="976" ht="15.75" customHeight="1">
      <c r="A976" s="2">
        <f>IFERROR(__xludf.DUMMYFUNCTION("""COMPUTED_VALUE"""),45196.0)</f>
        <v>45196</v>
      </c>
      <c r="B976" s="2" t="str">
        <f>IFERROR(__xludf.DUMMYFUNCTION("""COMPUTED_VALUE"""),"SNELLVILLE")</f>
        <v>SNELLVILLE</v>
      </c>
      <c r="C976" s="2">
        <f>IFERROR(__xludf.DUMMYFUNCTION("""COMPUTED_VALUE"""),113.0)</f>
        <v>113</v>
      </c>
    </row>
    <row r="977" ht="15.75" customHeight="1">
      <c r="A977" s="2">
        <f>IFERROR(__xludf.DUMMYFUNCTION("""COMPUTED_VALUE"""),45196.0)</f>
        <v>45196</v>
      </c>
      <c r="B977" s="2" t="str">
        <f>IFERROR(__xludf.DUMMYFUNCTION("""COMPUTED_VALUE"""),"GROUPS")</f>
        <v>GROUPS</v>
      </c>
      <c r="C977" s="2"/>
    </row>
    <row r="978" ht="15.75" customHeight="1">
      <c r="A978" s="2">
        <f>IFERROR(__xludf.DUMMYFUNCTION("""COMPUTED_VALUE"""),45196.0)</f>
        <v>45196</v>
      </c>
      <c r="B978" s="2" t="str">
        <f>IFERROR(__xludf.DUMMYFUNCTION("""COMPUTED_VALUE"""),"Previous Woodstock")</f>
        <v>Previous Woodstock</v>
      </c>
      <c r="C978" s="2"/>
    </row>
    <row r="979" ht="15.75" customHeight="1">
      <c r="A979" s="2">
        <f>IFERROR(__xludf.DUMMYFUNCTION("""COMPUTED_VALUE"""),45196.0)</f>
        <v>45196</v>
      </c>
      <c r="B979" s="2" t="str">
        <f>IFERROR(__xludf.DUMMYFUNCTION("""COMPUTED_VALUE"""),"Previous Lenox/Brookhaven")</f>
        <v>Previous Lenox/Brookhaven</v>
      </c>
      <c r="C979" s="2"/>
    </row>
    <row r="980" ht="15.75" customHeight="1">
      <c r="A980" s="2">
        <f>IFERROR(__xludf.DUMMYFUNCTION("""COMPUTED_VALUE"""),45196.0)</f>
        <v>45196</v>
      </c>
      <c r="B980" s="2" t="str">
        <f>IFERROR(__xludf.DUMMYFUNCTION("""COMPUTED_VALUE"""),"Previous New Chastain")</f>
        <v>Previous New Chastain</v>
      </c>
      <c r="C980" s="2"/>
    </row>
    <row r="981" ht="15.75" customHeight="1">
      <c r="A981" s="2">
        <f>IFERROR(__xludf.DUMMYFUNCTION("""COMPUTED_VALUE"""),45196.0)</f>
        <v>45196</v>
      </c>
      <c r="B981" s="2" t="str">
        <f>IFERROR(__xludf.DUMMYFUNCTION("""COMPUTED_VALUE"""),"Previous Glenwood Park")</f>
        <v>Previous Glenwood Park</v>
      </c>
      <c r="C981" s="2"/>
    </row>
    <row r="982" ht="15.75" customHeight="1">
      <c r="A982" s="2">
        <f>IFERROR(__xludf.DUMMYFUNCTION("""COMPUTED_VALUE"""),45196.0)</f>
        <v>45196</v>
      </c>
      <c r="B982" s="2" t="str">
        <f>IFERROR(__xludf.DUMMYFUNCTION("""COMPUTED_VALUE"""),"FLOWERY BRANCH")</f>
        <v>FLOWERY BRANCH</v>
      </c>
      <c r="C982" s="2">
        <f>IFERROR(__xludf.DUMMYFUNCTION("""COMPUTED_VALUE"""),438.0)</f>
        <v>438</v>
      </c>
    </row>
    <row r="983" ht="15.75" customHeight="1">
      <c r="A983" s="2">
        <f>IFERROR(__xludf.DUMMYFUNCTION("""COMPUTED_VALUE"""),45196.0)</f>
        <v>45196</v>
      </c>
      <c r="B983" s="2" t="str">
        <f>IFERROR(__xludf.DUMMYFUNCTION("""COMPUTED_VALUE"""),"GROUPS ")</f>
        <v>GROUPS </v>
      </c>
      <c r="C983" s="2">
        <f>IFERROR(__xludf.DUMMYFUNCTION("""COMPUTED_VALUE"""),3005.0)</f>
        <v>3005</v>
      </c>
    </row>
    <row r="984" ht="15.75" customHeight="1">
      <c r="A984" s="2">
        <f>IFERROR(__xludf.DUMMYFUNCTION("""COMPUTED_VALUE"""),45196.0)</f>
        <v>45196</v>
      </c>
      <c r="B984" s="2" t="str">
        <f>IFERROR(__xludf.DUMMYFUNCTION("""COMPUTED_VALUE"""),"TOTAL")</f>
        <v>TOTAL</v>
      </c>
      <c r="C984" s="2"/>
    </row>
    <row r="985" ht="15.75" customHeight="1">
      <c r="A985" s="2">
        <f>IFERROR(__xludf.DUMMYFUNCTION("""COMPUTED_VALUE"""),45196.0)</f>
        <v>45196</v>
      </c>
      <c r="B985" s="2" t="str">
        <f>IFERROR(__xludf.DUMMYFUNCTION("""COMPUTED_VALUE"""),"Collective Learning")</f>
        <v>Collective Learning</v>
      </c>
      <c r="C985" s="2"/>
    </row>
    <row r="986" ht="15.75" customHeight="1">
      <c r="A986" s="2">
        <f>IFERROR(__xludf.DUMMYFUNCTION("""COMPUTED_VALUE"""),45196.0)</f>
        <v>45196</v>
      </c>
      <c r="B986" s="2" t="str">
        <f>IFERROR(__xludf.DUMMYFUNCTION("""COMPUTED_VALUE"""),"NOTES")</f>
        <v>NOTES</v>
      </c>
      <c r="C986" s="2"/>
    </row>
    <row r="987" ht="15.75" customHeight="1">
      <c r="A987" s="2">
        <f>IFERROR(__xludf.DUMMYFUNCTION("""COMPUTED_VALUE"""),45204.0)</f>
        <v>45204</v>
      </c>
      <c r="B987" s="2" t="str">
        <f>IFERROR(__xludf.DUMMYFUNCTION("""COMPUTED_VALUE"""),"# of Sandwiches")</f>
        <v># of Sandwiches</v>
      </c>
      <c r="C987" s="2">
        <f>IFERROR(__xludf.DUMMYFUNCTION("""COMPUTED_VALUE"""),8220.0)</f>
        <v>8220</v>
      </c>
    </row>
    <row r="988" ht="15.75" customHeight="1">
      <c r="A988" s="2">
        <f>IFERROR(__xludf.DUMMYFUNCTION("""COMPUTED_VALUE"""),45204.0)</f>
        <v>45204</v>
      </c>
      <c r="B988" s="2" t="str">
        <f>IFERROR(__xludf.DUMMYFUNCTION("""COMPUTED_VALUE"""),"ALPHARETTA")</f>
        <v>ALPHARETTA</v>
      </c>
      <c r="C988" s="2">
        <f>IFERROR(__xludf.DUMMYFUNCTION("""COMPUTED_VALUE"""),1022.0)</f>
        <v>1022</v>
      </c>
    </row>
    <row r="989" ht="15.75" customHeight="1">
      <c r="A989" s="2">
        <f>IFERROR(__xludf.DUMMYFUNCTION("""COMPUTED_VALUE"""),45204.0)</f>
        <v>45204</v>
      </c>
      <c r="B989" s="2" t="str">
        <f>IFERROR(__xludf.DUMMYFUNCTION("""COMPUTED_VALUE"""),"PREVIOUS BUCKHEAD")</f>
        <v>PREVIOUS BUCKHEAD</v>
      </c>
      <c r="C989" s="2"/>
    </row>
    <row r="990" ht="15.75" customHeight="1">
      <c r="A990" s="2">
        <f>IFERROR(__xludf.DUMMYFUNCTION("""COMPUTED_VALUE"""),45204.0)</f>
        <v>45204</v>
      </c>
      <c r="B990" s="2" t="str">
        <f>IFERROR(__xludf.DUMMYFUNCTION("""COMPUTED_VALUE"""),"PREVIOUS OAK GROVE")</f>
        <v>PREVIOUS OAK GROVE</v>
      </c>
      <c r="C990" s="2"/>
    </row>
    <row r="991" ht="15.75" customHeight="1">
      <c r="A991" s="2">
        <f>IFERROR(__xludf.DUMMYFUNCTION("""COMPUTED_VALUE"""),45204.0)</f>
        <v>45204</v>
      </c>
      <c r="B991" s="2" t="str">
        <f>IFERROR(__xludf.DUMMYFUNCTION("""COMPUTED_VALUE"""),"DUNWOODY/PTC ")</f>
        <v>DUNWOODY/PTC </v>
      </c>
      <c r="C991" s="2">
        <f>IFERROR(__xludf.DUMMYFUNCTION("""COMPUTED_VALUE"""),2880.0)</f>
        <v>2880</v>
      </c>
    </row>
    <row r="992" ht="15.75" customHeight="1">
      <c r="A992" s="2">
        <f>IFERROR(__xludf.DUMMYFUNCTION("""COMPUTED_VALUE"""),45204.0)</f>
        <v>45204</v>
      </c>
      <c r="B992" s="2" t="str">
        <f>IFERROR(__xludf.DUMMYFUNCTION("""COMPUTED_VALUE"""),"E COBB/ROSWELL")</f>
        <v>E COBB/ROSWELL</v>
      </c>
      <c r="C992" s="2">
        <f>IFERROR(__xludf.DUMMYFUNCTION("""COMPUTED_VALUE"""),1147.0)</f>
        <v>1147</v>
      </c>
    </row>
    <row r="993" ht="15.75" customHeight="1">
      <c r="A993" s="2">
        <f>IFERROR(__xludf.DUMMYFUNCTION("""COMPUTED_VALUE"""),45204.0)</f>
        <v>45204</v>
      </c>
      <c r="B993" s="2" t="str">
        <f>IFERROR(__xludf.DUMMYFUNCTION("""COMPUTED_VALUE"""),"DECATUR")</f>
        <v>DECATUR</v>
      </c>
      <c r="C993" s="2">
        <f>IFERROR(__xludf.DUMMYFUNCTION("""COMPUTED_VALUE"""),125.0)</f>
        <v>125</v>
      </c>
    </row>
    <row r="994" ht="15.75" customHeight="1">
      <c r="A994" s="2">
        <f>IFERROR(__xludf.DUMMYFUNCTION("""COMPUTED_VALUE"""),45204.0)</f>
        <v>45204</v>
      </c>
      <c r="B994" s="2" t="str">
        <f>IFERROR(__xludf.DUMMYFUNCTION("""COMPUTED_VALUE"""),"P'TREE CORNERS ")</f>
        <v>P'TREE CORNERS </v>
      </c>
      <c r="C994" s="2"/>
    </row>
    <row r="995" ht="15.75" customHeight="1">
      <c r="A995" s="2">
        <f>IFERROR(__xludf.DUMMYFUNCTION("""COMPUTED_VALUE"""),45204.0)</f>
        <v>45204</v>
      </c>
      <c r="B995" s="2" t="str">
        <f>IFERROR(__xludf.DUMMYFUNCTION("""COMPUTED_VALUE"""),"UGA/Athens")</f>
        <v>UGA/Athens</v>
      </c>
      <c r="C995" s="2"/>
    </row>
    <row r="996" ht="15.75" customHeight="1">
      <c r="A996" s="2">
        <f>IFERROR(__xludf.DUMMYFUNCTION("""COMPUTED_VALUE"""),45204.0)</f>
        <v>45204</v>
      </c>
      <c r="B996" s="2" t="str">
        <f>IFERROR(__xludf.DUMMYFUNCTION("""COMPUTED_VALUE"""),"SANDY SPRINGS ")</f>
        <v>SANDY SPRINGS </v>
      </c>
      <c r="C996" s="2">
        <f>IFERROR(__xludf.DUMMYFUNCTION("""COMPUTED_VALUE"""),589.0)</f>
        <v>589</v>
      </c>
    </row>
    <row r="997" ht="15.75" customHeight="1">
      <c r="A997" s="2">
        <f>IFERROR(__xludf.DUMMYFUNCTION("""COMPUTED_VALUE"""),45204.0)</f>
        <v>45204</v>
      </c>
      <c r="B997" s="2" t="str">
        <f>IFERROR(__xludf.DUMMYFUNCTION("""COMPUTED_VALUE"""),"INTOWN/DRUID HILLS ")</f>
        <v>INTOWN/DRUID HILLS </v>
      </c>
      <c r="C997" s="2">
        <f>IFERROR(__xludf.DUMMYFUNCTION("""COMPUTED_VALUE"""),395.0)</f>
        <v>395</v>
      </c>
    </row>
    <row r="998" ht="15.75" customHeight="1">
      <c r="A998" s="2">
        <f>IFERROR(__xludf.DUMMYFUNCTION("""COMPUTED_VALUE"""),45204.0)</f>
        <v>45204</v>
      </c>
      <c r="B998" s="2" t="str">
        <f>IFERROR(__xludf.DUMMYFUNCTION("""COMPUTED_VALUE"""),"SNELLVILLE")</f>
        <v>SNELLVILLE</v>
      </c>
      <c r="C998" s="2">
        <f>IFERROR(__xludf.DUMMYFUNCTION("""COMPUTED_VALUE"""),171.0)</f>
        <v>171</v>
      </c>
    </row>
    <row r="999" ht="15.75" customHeight="1">
      <c r="A999" s="2">
        <f>IFERROR(__xludf.DUMMYFUNCTION("""COMPUTED_VALUE"""),45204.0)</f>
        <v>45204</v>
      </c>
      <c r="B999" s="2" t="str">
        <f>IFERROR(__xludf.DUMMYFUNCTION("""COMPUTED_VALUE"""),"GROUPS")</f>
        <v>GROUPS</v>
      </c>
      <c r="C999" s="2"/>
    </row>
    <row r="1000" ht="15.75" customHeight="1">
      <c r="A1000" s="2">
        <f>IFERROR(__xludf.DUMMYFUNCTION("""COMPUTED_VALUE"""),45204.0)</f>
        <v>45204</v>
      </c>
      <c r="B1000" s="2" t="str">
        <f>IFERROR(__xludf.DUMMYFUNCTION("""COMPUTED_VALUE"""),"Previous Woodstock")</f>
        <v>Previous Woodstock</v>
      </c>
      <c r="C1000" s="2"/>
    </row>
    <row r="1001" ht="15.75" customHeight="1">
      <c r="A1001" s="2">
        <f>IFERROR(__xludf.DUMMYFUNCTION("""COMPUTED_VALUE"""),45204.0)</f>
        <v>45204</v>
      </c>
      <c r="B1001" s="2" t="str">
        <f>IFERROR(__xludf.DUMMYFUNCTION("""COMPUTED_VALUE"""),"Previous Lenox/Brookhaven")</f>
        <v>Previous Lenox/Brookhaven</v>
      </c>
      <c r="C1001" s="2"/>
    </row>
    <row r="1002" ht="15.75" customHeight="1">
      <c r="A1002" s="2">
        <f>IFERROR(__xludf.DUMMYFUNCTION("""COMPUTED_VALUE"""),45204.0)</f>
        <v>45204</v>
      </c>
      <c r="B1002" s="2" t="str">
        <f>IFERROR(__xludf.DUMMYFUNCTION("""COMPUTED_VALUE"""),"Previous New Chastain")</f>
        <v>Previous New Chastain</v>
      </c>
      <c r="C1002" s="2"/>
    </row>
    <row r="1003" ht="15.75" customHeight="1">
      <c r="A1003" s="2">
        <f>IFERROR(__xludf.DUMMYFUNCTION("""COMPUTED_VALUE"""),45204.0)</f>
        <v>45204</v>
      </c>
      <c r="B1003" s="2" t="str">
        <f>IFERROR(__xludf.DUMMYFUNCTION("""COMPUTED_VALUE"""),"Previous Glenwood Park")</f>
        <v>Previous Glenwood Park</v>
      </c>
      <c r="C1003" s="2"/>
    </row>
    <row r="1004" ht="15.75" customHeight="1">
      <c r="A1004" s="2">
        <f>IFERROR(__xludf.DUMMYFUNCTION("""COMPUTED_VALUE"""),45204.0)</f>
        <v>45204</v>
      </c>
      <c r="B1004" s="2" t="str">
        <f>IFERROR(__xludf.DUMMYFUNCTION("""COMPUTED_VALUE"""),"FLOWERY BRANCH")</f>
        <v>FLOWERY BRANCH</v>
      </c>
      <c r="C1004" s="2">
        <f>IFERROR(__xludf.DUMMYFUNCTION("""COMPUTED_VALUE"""),409.0)</f>
        <v>409</v>
      </c>
    </row>
    <row r="1005" ht="15.75" customHeight="1">
      <c r="A1005" s="2">
        <f>IFERROR(__xludf.DUMMYFUNCTION("""COMPUTED_VALUE"""),45204.0)</f>
        <v>45204</v>
      </c>
      <c r="B1005" s="2" t="str">
        <f>IFERROR(__xludf.DUMMYFUNCTION("""COMPUTED_VALUE"""),"GROUPS ")</f>
        <v>GROUPS </v>
      </c>
      <c r="C1005" s="2">
        <f>IFERROR(__xludf.DUMMYFUNCTION("""COMPUTED_VALUE"""),1482.0)</f>
        <v>1482</v>
      </c>
    </row>
    <row r="1006" ht="15.75" customHeight="1">
      <c r="A1006" s="2">
        <f>IFERROR(__xludf.DUMMYFUNCTION("""COMPUTED_VALUE"""),45204.0)</f>
        <v>45204</v>
      </c>
      <c r="B1006" s="2" t="str">
        <f>IFERROR(__xludf.DUMMYFUNCTION("""COMPUTED_VALUE"""),"TOTAL")</f>
        <v>TOTAL</v>
      </c>
      <c r="C1006" s="2"/>
    </row>
    <row r="1007" ht="15.75" customHeight="1">
      <c r="A1007" s="2">
        <f>IFERROR(__xludf.DUMMYFUNCTION("""COMPUTED_VALUE"""),45204.0)</f>
        <v>45204</v>
      </c>
      <c r="B1007" s="2" t="str">
        <f>IFERROR(__xludf.DUMMYFUNCTION("""COMPUTED_VALUE"""),"Collective Learning")</f>
        <v>Collective Learning</v>
      </c>
      <c r="C1007" s="2"/>
    </row>
    <row r="1008" ht="15.75" customHeight="1">
      <c r="A1008" s="2">
        <f>IFERROR(__xludf.DUMMYFUNCTION("""COMPUTED_VALUE"""),45204.0)</f>
        <v>45204</v>
      </c>
      <c r="B1008" s="2" t="str">
        <f>IFERROR(__xludf.DUMMYFUNCTION("""COMPUTED_VALUE"""),"NOTES")</f>
        <v>NOTES</v>
      </c>
      <c r="C1008" s="2"/>
    </row>
    <row r="1009" ht="15.75" customHeight="1">
      <c r="A1009" s="2">
        <f>IFERROR(__xludf.DUMMYFUNCTION("""COMPUTED_VALUE"""),45210.0)</f>
        <v>45210</v>
      </c>
      <c r="B1009" s="2" t="str">
        <f>IFERROR(__xludf.DUMMYFUNCTION("""COMPUTED_VALUE"""),"# of Sandwiches")</f>
        <v># of Sandwiches</v>
      </c>
      <c r="C1009" s="2">
        <f>IFERROR(__xludf.DUMMYFUNCTION("""COMPUTED_VALUE"""),6576.0)</f>
        <v>6576</v>
      </c>
    </row>
    <row r="1010" ht="15.75" customHeight="1">
      <c r="A1010" s="2">
        <f>IFERROR(__xludf.DUMMYFUNCTION("""COMPUTED_VALUE"""),45210.0)</f>
        <v>45210</v>
      </c>
      <c r="B1010" s="2" t="str">
        <f>IFERROR(__xludf.DUMMYFUNCTION("""COMPUTED_VALUE"""),"ALPHARETTA")</f>
        <v>ALPHARETTA</v>
      </c>
      <c r="C1010" s="2">
        <f>IFERROR(__xludf.DUMMYFUNCTION("""COMPUTED_VALUE"""),2187.0)</f>
        <v>2187</v>
      </c>
    </row>
    <row r="1011" ht="15.75" customHeight="1">
      <c r="A1011" s="2">
        <f>IFERROR(__xludf.DUMMYFUNCTION("""COMPUTED_VALUE"""),45210.0)</f>
        <v>45210</v>
      </c>
      <c r="B1011" s="2" t="str">
        <f>IFERROR(__xludf.DUMMYFUNCTION("""COMPUTED_VALUE"""),"PREVIOUS BUCKHEAD")</f>
        <v>PREVIOUS BUCKHEAD</v>
      </c>
      <c r="C1011" s="2"/>
    </row>
    <row r="1012" ht="15.75" customHeight="1">
      <c r="A1012" s="2">
        <f>IFERROR(__xludf.DUMMYFUNCTION("""COMPUTED_VALUE"""),45210.0)</f>
        <v>45210</v>
      </c>
      <c r="B1012" s="2" t="str">
        <f>IFERROR(__xludf.DUMMYFUNCTION("""COMPUTED_VALUE"""),"PREVIOUS OAK GROVE")</f>
        <v>PREVIOUS OAK GROVE</v>
      </c>
      <c r="C1012" s="2"/>
    </row>
    <row r="1013" ht="15.75" customHeight="1">
      <c r="A1013" s="2">
        <f>IFERROR(__xludf.DUMMYFUNCTION("""COMPUTED_VALUE"""),45210.0)</f>
        <v>45210</v>
      </c>
      <c r="B1013" s="2" t="str">
        <f>IFERROR(__xludf.DUMMYFUNCTION("""COMPUTED_VALUE"""),"DUNWOODY/PTC ")</f>
        <v>DUNWOODY/PTC </v>
      </c>
      <c r="C1013" s="2">
        <f>IFERROR(__xludf.DUMMYFUNCTION("""COMPUTED_VALUE"""),1127.0)</f>
        <v>1127</v>
      </c>
    </row>
    <row r="1014" ht="15.75" customHeight="1">
      <c r="A1014" s="2">
        <f>IFERROR(__xludf.DUMMYFUNCTION("""COMPUTED_VALUE"""),45210.0)</f>
        <v>45210</v>
      </c>
      <c r="B1014" s="2" t="str">
        <f>IFERROR(__xludf.DUMMYFUNCTION("""COMPUTED_VALUE"""),"E COBB/ROSWELL")</f>
        <v>E COBB/ROSWELL</v>
      </c>
      <c r="C1014" s="2">
        <f>IFERROR(__xludf.DUMMYFUNCTION("""COMPUTED_VALUE"""),1605.0)</f>
        <v>1605</v>
      </c>
    </row>
    <row r="1015" ht="15.75" customHeight="1">
      <c r="A1015" s="2">
        <f>IFERROR(__xludf.DUMMYFUNCTION("""COMPUTED_VALUE"""),45210.0)</f>
        <v>45210</v>
      </c>
      <c r="B1015" s="2" t="str">
        <f>IFERROR(__xludf.DUMMYFUNCTION("""COMPUTED_VALUE"""),"DECATUR")</f>
        <v>DECATUR</v>
      </c>
      <c r="C1015" s="2">
        <f>IFERROR(__xludf.DUMMYFUNCTION("""COMPUTED_VALUE"""),92.0)</f>
        <v>92</v>
      </c>
    </row>
    <row r="1016" ht="15.75" customHeight="1">
      <c r="A1016" s="2">
        <f>IFERROR(__xludf.DUMMYFUNCTION("""COMPUTED_VALUE"""),45210.0)</f>
        <v>45210</v>
      </c>
      <c r="B1016" s="2" t="str">
        <f>IFERROR(__xludf.DUMMYFUNCTION("""COMPUTED_VALUE"""),"P'TREE CORNERS ")</f>
        <v>P'TREE CORNERS </v>
      </c>
      <c r="C1016" s="2"/>
    </row>
    <row r="1017" ht="15.75" customHeight="1">
      <c r="A1017" s="2">
        <f>IFERROR(__xludf.DUMMYFUNCTION("""COMPUTED_VALUE"""),45210.0)</f>
        <v>45210</v>
      </c>
      <c r="B1017" s="2" t="str">
        <f>IFERROR(__xludf.DUMMYFUNCTION("""COMPUTED_VALUE"""),"UGA/Athens")</f>
        <v>UGA/Athens</v>
      </c>
      <c r="C1017" s="2"/>
    </row>
    <row r="1018" ht="15.75" customHeight="1">
      <c r="A1018" s="2">
        <f>IFERROR(__xludf.DUMMYFUNCTION("""COMPUTED_VALUE"""),45210.0)</f>
        <v>45210</v>
      </c>
      <c r="B1018" s="2" t="str">
        <f>IFERROR(__xludf.DUMMYFUNCTION("""COMPUTED_VALUE"""),"SANDY SPRINGS ")</f>
        <v>SANDY SPRINGS </v>
      </c>
      <c r="C1018" s="2">
        <f>IFERROR(__xludf.DUMMYFUNCTION("""COMPUTED_VALUE"""),444.0)</f>
        <v>444</v>
      </c>
    </row>
    <row r="1019" ht="15.75" customHeight="1">
      <c r="A1019" s="2">
        <f>IFERROR(__xludf.DUMMYFUNCTION("""COMPUTED_VALUE"""),45210.0)</f>
        <v>45210</v>
      </c>
      <c r="B1019" s="2" t="str">
        <f>IFERROR(__xludf.DUMMYFUNCTION("""COMPUTED_VALUE"""),"INTOWN/DRUID HILLS ")</f>
        <v>INTOWN/DRUID HILLS </v>
      </c>
      <c r="C1019" s="2">
        <f>IFERROR(__xludf.DUMMYFUNCTION("""COMPUTED_VALUE"""),580.0)</f>
        <v>580</v>
      </c>
    </row>
    <row r="1020" ht="15.75" customHeight="1">
      <c r="A1020" s="2">
        <f>IFERROR(__xludf.DUMMYFUNCTION("""COMPUTED_VALUE"""),45210.0)</f>
        <v>45210</v>
      </c>
      <c r="B1020" s="2" t="str">
        <f>IFERROR(__xludf.DUMMYFUNCTION("""COMPUTED_VALUE"""),"SNELLVILLE")</f>
        <v>SNELLVILLE</v>
      </c>
      <c r="C1020" s="2">
        <f>IFERROR(__xludf.DUMMYFUNCTION("""COMPUTED_VALUE"""),107.0)</f>
        <v>107</v>
      </c>
    </row>
    <row r="1021" ht="15.75" customHeight="1">
      <c r="A1021" s="2">
        <f>IFERROR(__xludf.DUMMYFUNCTION("""COMPUTED_VALUE"""),45210.0)</f>
        <v>45210</v>
      </c>
      <c r="B1021" s="2" t="str">
        <f>IFERROR(__xludf.DUMMYFUNCTION("""COMPUTED_VALUE"""),"GROUPS")</f>
        <v>GROUPS</v>
      </c>
      <c r="C1021" s="2"/>
    </row>
    <row r="1022" ht="15.75" customHeight="1">
      <c r="A1022" s="2">
        <f>IFERROR(__xludf.DUMMYFUNCTION("""COMPUTED_VALUE"""),45210.0)</f>
        <v>45210</v>
      </c>
      <c r="B1022" s="2" t="str">
        <f>IFERROR(__xludf.DUMMYFUNCTION("""COMPUTED_VALUE"""),"Previous Woodstock")</f>
        <v>Previous Woodstock</v>
      </c>
      <c r="C1022" s="2"/>
    </row>
    <row r="1023" ht="15.75" customHeight="1">
      <c r="A1023" s="2">
        <f>IFERROR(__xludf.DUMMYFUNCTION("""COMPUTED_VALUE"""),45210.0)</f>
        <v>45210</v>
      </c>
      <c r="B1023" s="2" t="str">
        <f>IFERROR(__xludf.DUMMYFUNCTION("""COMPUTED_VALUE"""),"Previous Lenox/Brookhaven")</f>
        <v>Previous Lenox/Brookhaven</v>
      </c>
      <c r="C1023" s="2"/>
    </row>
    <row r="1024" ht="15.75" customHeight="1">
      <c r="A1024" s="2">
        <f>IFERROR(__xludf.DUMMYFUNCTION("""COMPUTED_VALUE"""),45210.0)</f>
        <v>45210</v>
      </c>
      <c r="B1024" s="2" t="str">
        <f>IFERROR(__xludf.DUMMYFUNCTION("""COMPUTED_VALUE"""),"Previous New Chastain")</f>
        <v>Previous New Chastain</v>
      </c>
      <c r="C1024" s="2"/>
    </row>
    <row r="1025" ht="15.75" customHeight="1">
      <c r="A1025" s="2">
        <f>IFERROR(__xludf.DUMMYFUNCTION("""COMPUTED_VALUE"""),45210.0)</f>
        <v>45210</v>
      </c>
      <c r="B1025" s="2" t="str">
        <f>IFERROR(__xludf.DUMMYFUNCTION("""COMPUTED_VALUE"""),"Previous Glenwood Park")</f>
        <v>Previous Glenwood Park</v>
      </c>
      <c r="C1025" s="2"/>
    </row>
    <row r="1026" ht="15.75" customHeight="1">
      <c r="A1026" s="2">
        <f>IFERROR(__xludf.DUMMYFUNCTION("""COMPUTED_VALUE"""),45210.0)</f>
        <v>45210</v>
      </c>
      <c r="B1026" s="2" t="str">
        <f>IFERROR(__xludf.DUMMYFUNCTION("""COMPUTED_VALUE"""),"FLOWERY BRANCH")</f>
        <v>FLOWERY BRANCH</v>
      </c>
      <c r="C1026" s="2">
        <f>IFERROR(__xludf.DUMMYFUNCTION("""COMPUTED_VALUE"""),240.0)</f>
        <v>240</v>
      </c>
    </row>
    <row r="1027" ht="15.75" customHeight="1">
      <c r="A1027" s="2">
        <f>IFERROR(__xludf.DUMMYFUNCTION("""COMPUTED_VALUE"""),45210.0)</f>
        <v>45210</v>
      </c>
      <c r="B1027" s="2" t="str">
        <f>IFERROR(__xludf.DUMMYFUNCTION("""COMPUTED_VALUE"""),"GROUPS ")</f>
        <v>GROUPS </v>
      </c>
      <c r="C1027" s="2">
        <f>IFERROR(__xludf.DUMMYFUNCTION("""COMPUTED_VALUE"""),194.0)</f>
        <v>194</v>
      </c>
    </row>
    <row r="1028" ht="15.75" customHeight="1">
      <c r="A1028" s="2">
        <f>IFERROR(__xludf.DUMMYFUNCTION("""COMPUTED_VALUE"""),45210.0)</f>
        <v>45210</v>
      </c>
      <c r="B1028" s="2" t="str">
        <f>IFERROR(__xludf.DUMMYFUNCTION("""COMPUTED_VALUE"""),"TOTAL")</f>
        <v>TOTAL</v>
      </c>
      <c r="C1028" s="2"/>
    </row>
    <row r="1029" ht="15.75" customHeight="1">
      <c r="A1029" s="2">
        <f>IFERROR(__xludf.DUMMYFUNCTION("""COMPUTED_VALUE"""),45210.0)</f>
        <v>45210</v>
      </c>
      <c r="B1029" s="2" t="str">
        <f>IFERROR(__xludf.DUMMYFUNCTION("""COMPUTED_VALUE"""),"Collective Learning")</f>
        <v>Collective Learning</v>
      </c>
      <c r="C1029" s="2"/>
    </row>
    <row r="1030" ht="15.75" customHeight="1">
      <c r="A1030" s="2">
        <f>IFERROR(__xludf.DUMMYFUNCTION("""COMPUTED_VALUE"""),45210.0)</f>
        <v>45210</v>
      </c>
      <c r="B1030" s="2" t="str">
        <f>IFERROR(__xludf.DUMMYFUNCTION("""COMPUTED_VALUE"""),"NOTES")</f>
        <v>NOTES</v>
      </c>
      <c r="C1030" s="2"/>
    </row>
    <row r="1031" ht="15.75" customHeight="1">
      <c r="A1031" s="2">
        <f>IFERROR(__xludf.DUMMYFUNCTION("""COMPUTED_VALUE"""),45217.0)</f>
        <v>45217</v>
      </c>
      <c r="B1031" s="2" t="str">
        <f>IFERROR(__xludf.DUMMYFUNCTION("""COMPUTED_VALUE"""),"# of Sandwiches")</f>
        <v># of Sandwiches</v>
      </c>
      <c r="C1031" s="2">
        <f>IFERROR(__xludf.DUMMYFUNCTION("""COMPUTED_VALUE"""),10635.0)</f>
        <v>10635</v>
      </c>
    </row>
    <row r="1032" ht="15.75" customHeight="1">
      <c r="A1032" s="2">
        <f>IFERROR(__xludf.DUMMYFUNCTION("""COMPUTED_VALUE"""),45217.0)</f>
        <v>45217</v>
      </c>
      <c r="B1032" s="2" t="str">
        <f>IFERROR(__xludf.DUMMYFUNCTION("""COMPUTED_VALUE"""),"ALPHARETTA")</f>
        <v>ALPHARETTA</v>
      </c>
      <c r="C1032" s="2">
        <f>IFERROR(__xludf.DUMMYFUNCTION("""COMPUTED_VALUE"""),2107.0)</f>
        <v>2107</v>
      </c>
    </row>
    <row r="1033" ht="15.75" customHeight="1">
      <c r="A1033" s="2">
        <f>IFERROR(__xludf.DUMMYFUNCTION("""COMPUTED_VALUE"""),45217.0)</f>
        <v>45217</v>
      </c>
      <c r="B1033" s="2" t="str">
        <f>IFERROR(__xludf.DUMMYFUNCTION("""COMPUTED_VALUE"""),"PREVIOUS BUCKHEAD")</f>
        <v>PREVIOUS BUCKHEAD</v>
      </c>
      <c r="C1033" s="2"/>
    </row>
    <row r="1034" ht="15.75" customHeight="1">
      <c r="A1034" s="2">
        <f>IFERROR(__xludf.DUMMYFUNCTION("""COMPUTED_VALUE"""),45217.0)</f>
        <v>45217</v>
      </c>
      <c r="B1034" s="2" t="str">
        <f>IFERROR(__xludf.DUMMYFUNCTION("""COMPUTED_VALUE"""),"PREVIOUS OAK GROVE")</f>
        <v>PREVIOUS OAK GROVE</v>
      </c>
      <c r="C1034" s="2"/>
    </row>
    <row r="1035" ht="15.75" customHeight="1">
      <c r="A1035" s="2">
        <f>IFERROR(__xludf.DUMMYFUNCTION("""COMPUTED_VALUE"""),45217.0)</f>
        <v>45217</v>
      </c>
      <c r="B1035" s="2" t="str">
        <f>IFERROR(__xludf.DUMMYFUNCTION("""COMPUTED_VALUE"""),"DUNWOODY/PTC ")</f>
        <v>DUNWOODY/PTC </v>
      </c>
      <c r="C1035" s="2">
        <f>IFERROR(__xludf.DUMMYFUNCTION("""COMPUTED_VALUE"""),1800.0)</f>
        <v>1800</v>
      </c>
    </row>
    <row r="1036" ht="15.75" customHeight="1">
      <c r="A1036" s="2">
        <f>IFERROR(__xludf.DUMMYFUNCTION("""COMPUTED_VALUE"""),45217.0)</f>
        <v>45217</v>
      </c>
      <c r="B1036" s="2" t="str">
        <f>IFERROR(__xludf.DUMMYFUNCTION("""COMPUTED_VALUE"""),"E COBB/ROSWELL")</f>
        <v>E COBB/ROSWELL</v>
      </c>
      <c r="C1036" s="2">
        <f>IFERROR(__xludf.DUMMYFUNCTION("""COMPUTED_VALUE"""),722.0)</f>
        <v>722</v>
      </c>
    </row>
    <row r="1037" ht="15.75" customHeight="1">
      <c r="A1037" s="2">
        <f>IFERROR(__xludf.DUMMYFUNCTION("""COMPUTED_VALUE"""),45217.0)</f>
        <v>45217</v>
      </c>
      <c r="B1037" s="2" t="str">
        <f>IFERROR(__xludf.DUMMYFUNCTION("""COMPUTED_VALUE"""),"DECATUR")</f>
        <v>DECATUR</v>
      </c>
      <c r="C1037" s="2">
        <f>IFERROR(__xludf.DUMMYFUNCTION("""COMPUTED_VALUE"""),130.0)</f>
        <v>130</v>
      </c>
    </row>
    <row r="1038" ht="15.75" customHeight="1">
      <c r="A1038" s="2">
        <f>IFERROR(__xludf.DUMMYFUNCTION("""COMPUTED_VALUE"""),45217.0)</f>
        <v>45217</v>
      </c>
      <c r="B1038" s="2" t="str">
        <f>IFERROR(__xludf.DUMMYFUNCTION("""COMPUTED_VALUE"""),"P'TREE CORNERS ")</f>
        <v>P'TREE CORNERS </v>
      </c>
      <c r="C1038" s="2"/>
    </row>
    <row r="1039" ht="15.75" customHeight="1">
      <c r="A1039" s="2">
        <f>IFERROR(__xludf.DUMMYFUNCTION("""COMPUTED_VALUE"""),45217.0)</f>
        <v>45217</v>
      </c>
      <c r="B1039" s="2" t="str">
        <f>IFERROR(__xludf.DUMMYFUNCTION("""COMPUTED_VALUE"""),"UGA/Athens")</f>
        <v>UGA/Athens</v>
      </c>
      <c r="C1039" s="2"/>
    </row>
    <row r="1040" ht="15.75" customHeight="1">
      <c r="A1040" s="2">
        <f>IFERROR(__xludf.DUMMYFUNCTION("""COMPUTED_VALUE"""),45217.0)</f>
        <v>45217</v>
      </c>
      <c r="B1040" s="2" t="str">
        <f>IFERROR(__xludf.DUMMYFUNCTION("""COMPUTED_VALUE"""),"SANDY SPRINGS ")</f>
        <v>SANDY SPRINGS </v>
      </c>
      <c r="C1040" s="2">
        <f>IFERROR(__xludf.DUMMYFUNCTION("""COMPUTED_VALUE"""),1159.0)</f>
        <v>1159</v>
      </c>
    </row>
    <row r="1041" ht="15.75" customHeight="1">
      <c r="A1041" s="2">
        <f>IFERROR(__xludf.DUMMYFUNCTION("""COMPUTED_VALUE"""),45217.0)</f>
        <v>45217</v>
      </c>
      <c r="B1041" s="2" t="str">
        <f>IFERROR(__xludf.DUMMYFUNCTION("""COMPUTED_VALUE"""),"INTOWN/DRUID HILLS ")</f>
        <v>INTOWN/DRUID HILLS </v>
      </c>
      <c r="C1041" s="2">
        <f>IFERROR(__xludf.DUMMYFUNCTION("""COMPUTED_VALUE"""),751.0)</f>
        <v>751</v>
      </c>
    </row>
    <row r="1042" ht="15.75" customHeight="1">
      <c r="A1042" s="2">
        <f>IFERROR(__xludf.DUMMYFUNCTION("""COMPUTED_VALUE"""),45217.0)</f>
        <v>45217</v>
      </c>
      <c r="B1042" s="2" t="str">
        <f>IFERROR(__xludf.DUMMYFUNCTION("""COMPUTED_VALUE"""),"SNELLVILLE")</f>
        <v>SNELLVILLE</v>
      </c>
      <c r="C1042" s="2">
        <f>IFERROR(__xludf.DUMMYFUNCTION("""COMPUTED_VALUE"""),126.0)</f>
        <v>126</v>
      </c>
    </row>
    <row r="1043" ht="15.75" customHeight="1">
      <c r="A1043" s="2">
        <f>IFERROR(__xludf.DUMMYFUNCTION("""COMPUTED_VALUE"""),45217.0)</f>
        <v>45217</v>
      </c>
      <c r="B1043" s="2" t="str">
        <f>IFERROR(__xludf.DUMMYFUNCTION("""COMPUTED_VALUE"""),"GROUPS")</f>
        <v>GROUPS</v>
      </c>
      <c r="C1043" s="2"/>
    </row>
    <row r="1044" ht="15.75" customHeight="1">
      <c r="A1044" s="2">
        <f>IFERROR(__xludf.DUMMYFUNCTION("""COMPUTED_VALUE"""),45217.0)</f>
        <v>45217</v>
      </c>
      <c r="B1044" s="2" t="str">
        <f>IFERROR(__xludf.DUMMYFUNCTION("""COMPUTED_VALUE"""),"Previous Woodstock")</f>
        <v>Previous Woodstock</v>
      </c>
      <c r="C1044" s="2"/>
    </row>
    <row r="1045" ht="15.75" customHeight="1">
      <c r="A1045" s="2">
        <f>IFERROR(__xludf.DUMMYFUNCTION("""COMPUTED_VALUE"""),45217.0)</f>
        <v>45217</v>
      </c>
      <c r="B1045" s="2" t="str">
        <f>IFERROR(__xludf.DUMMYFUNCTION("""COMPUTED_VALUE"""),"Previous Lenox/Brookhaven")</f>
        <v>Previous Lenox/Brookhaven</v>
      </c>
      <c r="C1045" s="2"/>
    </row>
    <row r="1046" ht="15.75" customHeight="1">
      <c r="A1046" s="2">
        <f>IFERROR(__xludf.DUMMYFUNCTION("""COMPUTED_VALUE"""),45217.0)</f>
        <v>45217</v>
      </c>
      <c r="B1046" s="2" t="str">
        <f>IFERROR(__xludf.DUMMYFUNCTION("""COMPUTED_VALUE"""),"Previous New Chastain")</f>
        <v>Previous New Chastain</v>
      </c>
      <c r="C1046" s="2"/>
    </row>
    <row r="1047" ht="15.75" customHeight="1">
      <c r="A1047" s="2">
        <f>IFERROR(__xludf.DUMMYFUNCTION("""COMPUTED_VALUE"""),45217.0)</f>
        <v>45217</v>
      </c>
      <c r="B1047" s="2" t="str">
        <f>IFERROR(__xludf.DUMMYFUNCTION("""COMPUTED_VALUE"""),"Previous Glenwood Park")</f>
        <v>Previous Glenwood Park</v>
      </c>
      <c r="C1047" s="2"/>
    </row>
    <row r="1048" ht="15.75" customHeight="1">
      <c r="A1048" s="2">
        <f>IFERROR(__xludf.DUMMYFUNCTION("""COMPUTED_VALUE"""),45217.0)</f>
        <v>45217</v>
      </c>
      <c r="B1048" s="2" t="str">
        <f>IFERROR(__xludf.DUMMYFUNCTION("""COMPUTED_VALUE"""),"FLOWERY BRANCH")</f>
        <v>FLOWERY BRANCH</v>
      </c>
      <c r="C1048" s="2">
        <f>IFERROR(__xludf.DUMMYFUNCTION("""COMPUTED_VALUE"""),205.0)</f>
        <v>205</v>
      </c>
    </row>
    <row r="1049" ht="15.75" customHeight="1">
      <c r="A1049" s="2">
        <f>IFERROR(__xludf.DUMMYFUNCTION("""COMPUTED_VALUE"""),45217.0)</f>
        <v>45217</v>
      </c>
      <c r="B1049" s="2" t="str">
        <f>IFERROR(__xludf.DUMMYFUNCTION("""COMPUTED_VALUE"""),"GROUPS ")</f>
        <v>GROUPS </v>
      </c>
      <c r="C1049" s="2">
        <f>IFERROR(__xludf.DUMMYFUNCTION("""COMPUTED_VALUE"""),3635.0)</f>
        <v>3635</v>
      </c>
    </row>
    <row r="1050" ht="15.75" customHeight="1">
      <c r="A1050" s="2">
        <f>IFERROR(__xludf.DUMMYFUNCTION("""COMPUTED_VALUE"""),45217.0)</f>
        <v>45217</v>
      </c>
      <c r="B1050" s="2" t="str">
        <f>IFERROR(__xludf.DUMMYFUNCTION("""COMPUTED_VALUE"""),"TOTAL")</f>
        <v>TOTAL</v>
      </c>
      <c r="C1050" s="2"/>
    </row>
    <row r="1051" ht="15.75" customHeight="1">
      <c r="A1051" s="2">
        <f>IFERROR(__xludf.DUMMYFUNCTION("""COMPUTED_VALUE"""),45217.0)</f>
        <v>45217</v>
      </c>
      <c r="B1051" s="2" t="str">
        <f>IFERROR(__xludf.DUMMYFUNCTION("""COMPUTED_VALUE"""),"Collective Learning")</f>
        <v>Collective Learning</v>
      </c>
      <c r="C1051" s="2"/>
    </row>
    <row r="1052" ht="15.75" customHeight="1">
      <c r="A1052" s="2">
        <f>IFERROR(__xludf.DUMMYFUNCTION("""COMPUTED_VALUE"""),45217.0)</f>
        <v>45217</v>
      </c>
      <c r="B1052" s="2" t="str">
        <f>IFERROR(__xludf.DUMMYFUNCTION("""COMPUTED_VALUE"""),"NOTES")</f>
        <v>NOTES</v>
      </c>
      <c r="C1052" s="2"/>
    </row>
    <row r="1053" ht="15.75" customHeight="1">
      <c r="A1053" s="2">
        <f>IFERROR(__xludf.DUMMYFUNCTION("""COMPUTED_VALUE"""),45224.0)</f>
        <v>45224</v>
      </c>
      <c r="B1053" s="2" t="str">
        <f>IFERROR(__xludf.DUMMYFUNCTION("""COMPUTED_VALUE"""),"# of Sandwiches")</f>
        <v># of Sandwiches</v>
      </c>
      <c r="C1053" s="2">
        <f>IFERROR(__xludf.DUMMYFUNCTION("""COMPUTED_VALUE"""),10308.0)</f>
        <v>10308</v>
      </c>
    </row>
    <row r="1054" ht="15.75" customHeight="1">
      <c r="A1054" s="2">
        <f>IFERROR(__xludf.DUMMYFUNCTION("""COMPUTED_VALUE"""),45224.0)</f>
        <v>45224</v>
      </c>
      <c r="B1054" s="2" t="str">
        <f>IFERROR(__xludf.DUMMYFUNCTION("""COMPUTED_VALUE"""),"ALPHARETTA")</f>
        <v>ALPHARETTA</v>
      </c>
      <c r="C1054" s="2">
        <f>IFERROR(__xludf.DUMMYFUNCTION("""COMPUTED_VALUE"""),1339.0)</f>
        <v>1339</v>
      </c>
    </row>
    <row r="1055" ht="15.75" customHeight="1">
      <c r="A1055" s="2">
        <f>IFERROR(__xludf.DUMMYFUNCTION("""COMPUTED_VALUE"""),45224.0)</f>
        <v>45224</v>
      </c>
      <c r="B1055" s="2" t="str">
        <f>IFERROR(__xludf.DUMMYFUNCTION("""COMPUTED_VALUE"""),"PREVIOUS BUCKHEAD")</f>
        <v>PREVIOUS BUCKHEAD</v>
      </c>
      <c r="C1055" s="2"/>
    </row>
    <row r="1056" ht="15.75" customHeight="1">
      <c r="A1056" s="2">
        <f>IFERROR(__xludf.DUMMYFUNCTION("""COMPUTED_VALUE"""),45224.0)</f>
        <v>45224</v>
      </c>
      <c r="B1056" s="2" t="str">
        <f>IFERROR(__xludf.DUMMYFUNCTION("""COMPUTED_VALUE"""),"PREVIOUS OAK GROVE")</f>
        <v>PREVIOUS OAK GROVE</v>
      </c>
      <c r="C1056" s="2"/>
    </row>
    <row r="1057" ht="15.75" customHeight="1">
      <c r="A1057" s="2">
        <f>IFERROR(__xludf.DUMMYFUNCTION("""COMPUTED_VALUE"""),45224.0)</f>
        <v>45224</v>
      </c>
      <c r="B1057" s="2" t="str">
        <f>IFERROR(__xludf.DUMMYFUNCTION("""COMPUTED_VALUE"""),"DUNWOODY/PTC ")</f>
        <v>DUNWOODY/PTC </v>
      </c>
      <c r="C1057" s="2">
        <f>IFERROR(__xludf.DUMMYFUNCTION("""COMPUTED_VALUE"""),1349.0)</f>
        <v>1349</v>
      </c>
    </row>
    <row r="1058" ht="15.75" customHeight="1">
      <c r="A1058" s="2">
        <f>IFERROR(__xludf.DUMMYFUNCTION("""COMPUTED_VALUE"""),45224.0)</f>
        <v>45224</v>
      </c>
      <c r="B1058" s="2" t="str">
        <f>IFERROR(__xludf.DUMMYFUNCTION("""COMPUTED_VALUE"""),"E COBB/ROSWELL")</f>
        <v>E COBB/ROSWELL</v>
      </c>
      <c r="C1058" s="2">
        <f>IFERROR(__xludf.DUMMYFUNCTION("""COMPUTED_VALUE"""),1379.0)</f>
        <v>1379</v>
      </c>
    </row>
    <row r="1059" ht="15.75" customHeight="1">
      <c r="A1059" s="2">
        <f>IFERROR(__xludf.DUMMYFUNCTION("""COMPUTED_VALUE"""),45224.0)</f>
        <v>45224</v>
      </c>
      <c r="B1059" s="2" t="str">
        <f>IFERROR(__xludf.DUMMYFUNCTION("""COMPUTED_VALUE"""),"DECATUR")</f>
        <v>DECATUR</v>
      </c>
      <c r="C1059" s="2">
        <f>IFERROR(__xludf.DUMMYFUNCTION("""COMPUTED_VALUE"""),121.0)</f>
        <v>121</v>
      </c>
    </row>
    <row r="1060" ht="15.75" customHeight="1">
      <c r="A1060" s="2">
        <f>IFERROR(__xludf.DUMMYFUNCTION("""COMPUTED_VALUE"""),45224.0)</f>
        <v>45224</v>
      </c>
      <c r="B1060" s="2" t="str">
        <f>IFERROR(__xludf.DUMMYFUNCTION("""COMPUTED_VALUE"""),"P'TREE CORNERS ")</f>
        <v>P'TREE CORNERS </v>
      </c>
      <c r="C1060" s="2"/>
    </row>
    <row r="1061" ht="15.75" customHeight="1">
      <c r="A1061" s="2">
        <f>IFERROR(__xludf.DUMMYFUNCTION("""COMPUTED_VALUE"""),45224.0)</f>
        <v>45224</v>
      </c>
      <c r="B1061" s="2" t="str">
        <f>IFERROR(__xludf.DUMMYFUNCTION("""COMPUTED_VALUE"""),"UGA/Athens")</f>
        <v>UGA/Athens</v>
      </c>
      <c r="C1061" s="2"/>
    </row>
    <row r="1062" ht="15.75" customHeight="1">
      <c r="A1062" s="2">
        <f>IFERROR(__xludf.DUMMYFUNCTION("""COMPUTED_VALUE"""),45224.0)</f>
        <v>45224</v>
      </c>
      <c r="B1062" s="2" t="str">
        <f>IFERROR(__xludf.DUMMYFUNCTION("""COMPUTED_VALUE"""),"SANDY SPRINGS ")</f>
        <v>SANDY SPRINGS </v>
      </c>
      <c r="C1062" s="2">
        <f>IFERROR(__xludf.DUMMYFUNCTION("""COMPUTED_VALUE"""),669.0)</f>
        <v>669</v>
      </c>
    </row>
    <row r="1063" ht="15.75" customHeight="1">
      <c r="A1063" s="2">
        <f>IFERROR(__xludf.DUMMYFUNCTION("""COMPUTED_VALUE"""),45224.0)</f>
        <v>45224</v>
      </c>
      <c r="B1063" s="2" t="str">
        <f>IFERROR(__xludf.DUMMYFUNCTION("""COMPUTED_VALUE"""),"INTOWN/DRUID HILLS ")</f>
        <v>INTOWN/DRUID HILLS </v>
      </c>
      <c r="C1063" s="2">
        <f>IFERROR(__xludf.DUMMYFUNCTION("""COMPUTED_VALUE"""),1198.0)</f>
        <v>1198</v>
      </c>
    </row>
    <row r="1064" ht="15.75" customHeight="1">
      <c r="A1064" s="2">
        <f>IFERROR(__xludf.DUMMYFUNCTION("""COMPUTED_VALUE"""),45224.0)</f>
        <v>45224</v>
      </c>
      <c r="B1064" s="2" t="str">
        <f>IFERROR(__xludf.DUMMYFUNCTION("""COMPUTED_VALUE"""),"SNELLVILLE")</f>
        <v>SNELLVILLE</v>
      </c>
      <c r="C1064" s="2">
        <f>IFERROR(__xludf.DUMMYFUNCTION("""COMPUTED_VALUE"""),105.0)</f>
        <v>105</v>
      </c>
    </row>
    <row r="1065" ht="15.75" customHeight="1">
      <c r="A1065" s="2">
        <f>IFERROR(__xludf.DUMMYFUNCTION("""COMPUTED_VALUE"""),45224.0)</f>
        <v>45224</v>
      </c>
      <c r="B1065" s="2" t="str">
        <f>IFERROR(__xludf.DUMMYFUNCTION("""COMPUTED_VALUE"""),"GROUPS")</f>
        <v>GROUPS</v>
      </c>
      <c r="C1065" s="2"/>
    </row>
    <row r="1066" ht="15.75" customHeight="1">
      <c r="A1066" s="2">
        <f>IFERROR(__xludf.DUMMYFUNCTION("""COMPUTED_VALUE"""),45224.0)</f>
        <v>45224</v>
      </c>
      <c r="B1066" s="2" t="str">
        <f>IFERROR(__xludf.DUMMYFUNCTION("""COMPUTED_VALUE"""),"Previous Woodstock")</f>
        <v>Previous Woodstock</v>
      </c>
      <c r="C1066" s="2"/>
    </row>
    <row r="1067" ht="15.75" customHeight="1">
      <c r="A1067" s="2">
        <f>IFERROR(__xludf.DUMMYFUNCTION("""COMPUTED_VALUE"""),45224.0)</f>
        <v>45224</v>
      </c>
      <c r="B1067" s="2" t="str">
        <f>IFERROR(__xludf.DUMMYFUNCTION("""COMPUTED_VALUE"""),"Previous Lenox/Brookhaven")</f>
        <v>Previous Lenox/Brookhaven</v>
      </c>
      <c r="C1067" s="2"/>
    </row>
    <row r="1068" ht="15.75" customHeight="1">
      <c r="A1068" s="2">
        <f>IFERROR(__xludf.DUMMYFUNCTION("""COMPUTED_VALUE"""),45224.0)</f>
        <v>45224</v>
      </c>
      <c r="B1068" s="2" t="str">
        <f>IFERROR(__xludf.DUMMYFUNCTION("""COMPUTED_VALUE"""),"Previous New Chastain")</f>
        <v>Previous New Chastain</v>
      </c>
      <c r="C1068" s="2"/>
    </row>
    <row r="1069" ht="15.75" customHeight="1">
      <c r="A1069" s="2">
        <f>IFERROR(__xludf.DUMMYFUNCTION("""COMPUTED_VALUE"""),45224.0)</f>
        <v>45224</v>
      </c>
      <c r="B1069" s="2" t="str">
        <f>IFERROR(__xludf.DUMMYFUNCTION("""COMPUTED_VALUE"""),"Previous Glenwood Park")</f>
        <v>Previous Glenwood Park</v>
      </c>
      <c r="C1069" s="2"/>
    </row>
    <row r="1070" ht="15.75" customHeight="1">
      <c r="A1070" s="2">
        <f>IFERROR(__xludf.DUMMYFUNCTION("""COMPUTED_VALUE"""),45224.0)</f>
        <v>45224</v>
      </c>
      <c r="B1070" s="2" t="str">
        <f>IFERROR(__xludf.DUMMYFUNCTION("""COMPUTED_VALUE"""),"FLOWERY BRANCH")</f>
        <v>FLOWERY BRANCH</v>
      </c>
      <c r="C1070" s="2">
        <f>IFERROR(__xludf.DUMMYFUNCTION("""COMPUTED_VALUE"""),1163.0)</f>
        <v>1163</v>
      </c>
    </row>
    <row r="1071" ht="15.75" customHeight="1">
      <c r="A1071" s="2">
        <f>IFERROR(__xludf.DUMMYFUNCTION("""COMPUTED_VALUE"""),45224.0)</f>
        <v>45224</v>
      </c>
      <c r="B1071" s="2" t="str">
        <f>IFERROR(__xludf.DUMMYFUNCTION("""COMPUTED_VALUE"""),"GROUPS ")</f>
        <v>GROUPS </v>
      </c>
      <c r="C1071" s="2">
        <f>IFERROR(__xludf.DUMMYFUNCTION("""COMPUTED_VALUE"""),2985.0)</f>
        <v>2985</v>
      </c>
    </row>
    <row r="1072" ht="15.75" customHeight="1">
      <c r="A1072" s="2">
        <f>IFERROR(__xludf.DUMMYFUNCTION("""COMPUTED_VALUE"""),45224.0)</f>
        <v>45224</v>
      </c>
      <c r="B1072" s="2" t="str">
        <f>IFERROR(__xludf.DUMMYFUNCTION("""COMPUTED_VALUE"""),"TOTAL")</f>
        <v>TOTAL</v>
      </c>
      <c r="C1072" s="2"/>
    </row>
    <row r="1073" ht="15.75" customHeight="1">
      <c r="A1073" s="2">
        <f>IFERROR(__xludf.DUMMYFUNCTION("""COMPUTED_VALUE"""),45224.0)</f>
        <v>45224</v>
      </c>
      <c r="B1073" s="2" t="str">
        <f>IFERROR(__xludf.DUMMYFUNCTION("""COMPUTED_VALUE"""),"Collective Learning")</f>
        <v>Collective Learning</v>
      </c>
      <c r="C1073" s="2"/>
    </row>
    <row r="1074" ht="15.75" customHeight="1">
      <c r="A1074" s="2">
        <f>IFERROR(__xludf.DUMMYFUNCTION("""COMPUTED_VALUE"""),45224.0)</f>
        <v>45224</v>
      </c>
      <c r="B1074" s="2" t="str">
        <f>IFERROR(__xludf.DUMMYFUNCTION("""COMPUTED_VALUE"""),"NOTES")</f>
        <v>NOTES</v>
      </c>
      <c r="C1074" s="2"/>
    </row>
    <row r="1075" ht="15.75" customHeight="1">
      <c r="A1075" s="2">
        <f>IFERROR(__xludf.DUMMYFUNCTION("""COMPUTED_VALUE"""),45231.0)</f>
        <v>45231</v>
      </c>
      <c r="B1075" s="2" t="str">
        <f>IFERROR(__xludf.DUMMYFUNCTION("""COMPUTED_VALUE"""),"# of Sandwiches")</f>
        <v># of Sandwiches</v>
      </c>
      <c r="C1075" s="2">
        <f>IFERROR(__xludf.DUMMYFUNCTION("""COMPUTED_VALUE"""),6368.0)</f>
        <v>6368</v>
      </c>
    </row>
    <row r="1076" ht="15.75" customHeight="1">
      <c r="A1076" s="2">
        <f>IFERROR(__xludf.DUMMYFUNCTION("""COMPUTED_VALUE"""),45231.0)</f>
        <v>45231</v>
      </c>
      <c r="B1076" s="2" t="str">
        <f>IFERROR(__xludf.DUMMYFUNCTION("""COMPUTED_VALUE"""),"ALPHARETTA")</f>
        <v>ALPHARETTA</v>
      </c>
      <c r="C1076" s="2">
        <f>IFERROR(__xludf.DUMMYFUNCTION("""COMPUTED_VALUE"""),781.0)</f>
        <v>781</v>
      </c>
    </row>
    <row r="1077" ht="15.75" customHeight="1">
      <c r="A1077" s="2">
        <f>IFERROR(__xludf.DUMMYFUNCTION("""COMPUTED_VALUE"""),45231.0)</f>
        <v>45231</v>
      </c>
      <c r="B1077" s="2" t="str">
        <f>IFERROR(__xludf.DUMMYFUNCTION("""COMPUTED_VALUE"""),"PREVIOUS BUCKHEAD")</f>
        <v>PREVIOUS BUCKHEAD</v>
      </c>
      <c r="C1077" s="2"/>
    </row>
    <row r="1078" ht="15.75" customHeight="1">
      <c r="A1078" s="2">
        <f>IFERROR(__xludf.DUMMYFUNCTION("""COMPUTED_VALUE"""),45231.0)</f>
        <v>45231</v>
      </c>
      <c r="B1078" s="2" t="str">
        <f>IFERROR(__xludf.DUMMYFUNCTION("""COMPUTED_VALUE"""),"PREVIOUS OAK GROVE")</f>
        <v>PREVIOUS OAK GROVE</v>
      </c>
      <c r="C1078" s="2"/>
    </row>
    <row r="1079" ht="15.75" customHeight="1">
      <c r="A1079" s="2">
        <f>IFERROR(__xludf.DUMMYFUNCTION("""COMPUTED_VALUE"""),45231.0)</f>
        <v>45231</v>
      </c>
      <c r="B1079" s="2" t="str">
        <f>IFERROR(__xludf.DUMMYFUNCTION("""COMPUTED_VALUE"""),"DUNWOODY/PTC ")</f>
        <v>DUNWOODY/PTC </v>
      </c>
      <c r="C1079" s="2">
        <f>IFERROR(__xludf.DUMMYFUNCTION("""COMPUTED_VALUE"""),2451.0)</f>
        <v>2451</v>
      </c>
    </row>
    <row r="1080" ht="15.75" customHeight="1">
      <c r="A1080" s="2">
        <f>IFERROR(__xludf.DUMMYFUNCTION("""COMPUTED_VALUE"""),45231.0)</f>
        <v>45231</v>
      </c>
      <c r="B1080" s="2" t="str">
        <f>IFERROR(__xludf.DUMMYFUNCTION("""COMPUTED_VALUE"""),"E COBB/ROSWELL")</f>
        <v>E COBB/ROSWELL</v>
      </c>
      <c r="C1080" s="2">
        <f>IFERROR(__xludf.DUMMYFUNCTION("""COMPUTED_VALUE"""),937.0)</f>
        <v>937</v>
      </c>
    </row>
    <row r="1081" ht="15.75" customHeight="1">
      <c r="A1081" s="2">
        <f>IFERROR(__xludf.DUMMYFUNCTION("""COMPUTED_VALUE"""),45231.0)</f>
        <v>45231</v>
      </c>
      <c r="B1081" s="2" t="str">
        <f>IFERROR(__xludf.DUMMYFUNCTION("""COMPUTED_VALUE"""),"DECATUR")</f>
        <v>DECATUR</v>
      </c>
      <c r="C1081" s="2">
        <f>IFERROR(__xludf.DUMMYFUNCTION("""COMPUTED_VALUE"""),135.0)</f>
        <v>135</v>
      </c>
    </row>
    <row r="1082" ht="15.75" customHeight="1">
      <c r="A1082" s="2">
        <f>IFERROR(__xludf.DUMMYFUNCTION("""COMPUTED_VALUE"""),45231.0)</f>
        <v>45231</v>
      </c>
      <c r="B1082" s="2" t="str">
        <f>IFERROR(__xludf.DUMMYFUNCTION("""COMPUTED_VALUE"""),"P'TREE CORNERS ")</f>
        <v>P'TREE CORNERS </v>
      </c>
      <c r="C1082" s="2"/>
    </row>
    <row r="1083" ht="15.75" customHeight="1">
      <c r="A1083" s="2">
        <f>IFERROR(__xludf.DUMMYFUNCTION("""COMPUTED_VALUE"""),45231.0)</f>
        <v>45231</v>
      </c>
      <c r="B1083" s="2" t="str">
        <f>IFERROR(__xludf.DUMMYFUNCTION("""COMPUTED_VALUE"""),"UGA/Athens")</f>
        <v>UGA/Athens</v>
      </c>
      <c r="C1083" s="2"/>
    </row>
    <row r="1084" ht="15.75" customHeight="1">
      <c r="A1084" s="2">
        <f>IFERROR(__xludf.DUMMYFUNCTION("""COMPUTED_VALUE"""),45231.0)</f>
        <v>45231</v>
      </c>
      <c r="B1084" s="2" t="str">
        <f>IFERROR(__xludf.DUMMYFUNCTION("""COMPUTED_VALUE"""),"SANDY SPRINGS ")</f>
        <v>SANDY SPRINGS </v>
      </c>
      <c r="C1084" s="2">
        <f>IFERROR(__xludf.DUMMYFUNCTION("""COMPUTED_VALUE"""),296.0)</f>
        <v>296</v>
      </c>
    </row>
    <row r="1085" ht="15.75" customHeight="1">
      <c r="A1085" s="2">
        <f>IFERROR(__xludf.DUMMYFUNCTION("""COMPUTED_VALUE"""),45231.0)</f>
        <v>45231</v>
      </c>
      <c r="B1085" s="2" t="str">
        <f>IFERROR(__xludf.DUMMYFUNCTION("""COMPUTED_VALUE"""),"INTOWN/DRUID HILLS ")</f>
        <v>INTOWN/DRUID HILLS </v>
      </c>
      <c r="C1085" s="2">
        <f>IFERROR(__xludf.DUMMYFUNCTION("""COMPUTED_VALUE"""),365.0)</f>
        <v>365</v>
      </c>
    </row>
    <row r="1086" ht="15.75" customHeight="1">
      <c r="A1086" s="2">
        <f>IFERROR(__xludf.DUMMYFUNCTION("""COMPUTED_VALUE"""),45231.0)</f>
        <v>45231</v>
      </c>
      <c r="B1086" s="2" t="str">
        <f>IFERROR(__xludf.DUMMYFUNCTION("""COMPUTED_VALUE"""),"SNELLVILLE")</f>
        <v>SNELLVILLE</v>
      </c>
      <c r="C1086" s="2">
        <f>IFERROR(__xludf.DUMMYFUNCTION("""COMPUTED_VALUE"""),129.0)</f>
        <v>129</v>
      </c>
    </row>
    <row r="1087" ht="15.75" customHeight="1">
      <c r="A1087" s="2">
        <f>IFERROR(__xludf.DUMMYFUNCTION("""COMPUTED_VALUE"""),45231.0)</f>
        <v>45231</v>
      </c>
      <c r="B1087" s="2" t="str">
        <f>IFERROR(__xludf.DUMMYFUNCTION("""COMPUTED_VALUE"""),"GROUPS")</f>
        <v>GROUPS</v>
      </c>
      <c r="C1087" s="2"/>
    </row>
    <row r="1088" ht="15.75" customHeight="1">
      <c r="A1088" s="2">
        <f>IFERROR(__xludf.DUMMYFUNCTION("""COMPUTED_VALUE"""),45231.0)</f>
        <v>45231</v>
      </c>
      <c r="B1088" s="2" t="str">
        <f>IFERROR(__xludf.DUMMYFUNCTION("""COMPUTED_VALUE"""),"Previous Woodstock")</f>
        <v>Previous Woodstock</v>
      </c>
      <c r="C1088" s="2"/>
    </row>
    <row r="1089" ht="15.75" customHeight="1">
      <c r="A1089" s="2">
        <f>IFERROR(__xludf.DUMMYFUNCTION("""COMPUTED_VALUE"""),45231.0)</f>
        <v>45231</v>
      </c>
      <c r="B1089" s="2" t="str">
        <f>IFERROR(__xludf.DUMMYFUNCTION("""COMPUTED_VALUE"""),"Previous Lenox/Brookhaven")</f>
        <v>Previous Lenox/Brookhaven</v>
      </c>
      <c r="C1089" s="2"/>
    </row>
    <row r="1090" ht="15.75" customHeight="1">
      <c r="A1090" s="2">
        <f>IFERROR(__xludf.DUMMYFUNCTION("""COMPUTED_VALUE"""),45231.0)</f>
        <v>45231</v>
      </c>
      <c r="B1090" s="2" t="str">
        <f>IFERROR(__xludf.DUMMYFUNCTION("""COMPUTED_VALUE"""),"Previous New Chastain")</f>
        <v>Previous New Chastain</v>
      </c>
      <c r="C1090" s="2"/>
    </row>
    <row r="1091" ht="15.75" customHeight="1">
      <c r="A1091" s="2">
        <f>IFERROR(__xludf.DUMMYFUNCTION("""COMPUTED_VALUE"""),45231.0)</f>
        <v>45231</v>
      </c>
      <c r="B1091" s="2" t="str">
        <f>IFERROR(__xludf.DUMMYFUNCTION("""COMPUTED_VALUE"""),"Previous Glenwood Park")</f>
        <v>Previous Glenwood Park</v>
      </c>
      <c r="C1091" s="2"/>
    </row>
    <row r="1092" ht="15.75" customHeight="1">
      <c r="A1092" s="2">
        <f>IFERROR(__xludf.DUMMYFUNCTION("""COMPUTED_VALUE"""),45231.0)</f>
        <v>45231</v>
      </c>
      <c r="B1092" s="2" t="str">
        <f>IFERROR(__xludf.DUMMYFUNCTION("""COMPUTED_VALUE"""),"FLOWERY BRANCH")</f>
        <v>FLOWERY BRANCH</v>
      </c>
      <c r="C1092" s="2">
        <f>IFERROR(__xludf.DUMMYFUNCTION("""COMPUTED_VALUE"""),219.0)</f>
        <v>219</v>
      </c>
    </row>
    <row r="1093" ht="15.75" customHeight="1">
      <c r="A1093" s="2">
        <f>IFERROR(__xludf.DUMMYFUNCTION("""COMPUTED_VALUE"""),45231.0)</f>
        <v>45231</v>
      </c>
      <c r="B1093" s="2" t="str">
        <f>IFERROR(__xludf.DUMMYFUNCTION("""COMPUTED_VALUE"""),"GROUPS ")</f>
        <v>GROUPS </v>
      </c>
      <c r="C1093" s="2">
        <f>IFERROR(__xludf.DUMMYFUNCTION("""COMPUTED_VALUE"""),1055.0)</f>
        <v>1055</v>
      </c>
    </row>
    <row r="1094" ht="15.75" customHeight="1">
      <c r="A1094" s="2">
        <f>IFERROR(__xludf.DUMMYFUNCTION("""COMPUTED_VALUE"""),45231.0)</f>
        <v>45231</v>
      </c>
      <c r="B1094" s="2" t="str">
        <f>IFERROR(__xludf.DUMMYFUNCTION("""COMPUTED_VALUE"""),"TOTAL")</f>
        <v>TOTAL</v>
      </c>
      <c r="C1094" s="2"/>
    </row>
    <row r="1095" ht="15.75" customHeight="1">
      <c r="A1095" s="2">
        <f>IFERROR(__xludf.DUMMYFUNCTION("""COMPUTED_VALUE"""),45231.0)</f>
        <v>45231</v>
      </c>
      <c r="B1095" s="2" t="str">
        <f>IFERROR(__xludf.DUMMYFUNCTION("""COMPUTED_VALUE"""),"Collective Learning")</f>
        <v>Collective Learning</v>
      </c>
      <c r="C1095" s="2"/>
    </row>
    <row r="1096" ht="15.75" customHeight="1">
      <c r="A1096" s="2">
        <f>IFERROR(__xludf.DUMMYFUNCTION("""COMPUTED_VALUE"""),45231.0)</f>
        <v>45231</v>
      </c>
      <c r="B1096" s="2" t="str">
        <f>IFERROR(__xludf.DUMMYFUNCTION("""COMPUTED_VALUE"""),"NOTES")</f>
        <v>NOTES</v>
      </c>
      <c r="C1096" s="2"/>
    </row>
    <row r="1097" ht="15.75" customHeight="1">
      <c r="A1097" s="2">
        <f>IFERROR(__xludf.DUMMYFUNCTION("""COMPUTED_VALUE"""),45238.0)</f>
        <v>45238</v>
      </c>
      <c r="B1097" s="2" t="str">
        <f>IFERROR(__xludf.DUMMYFUNCTION("""COMPUTED_VALUE"""),"# of Sandwiches")</f>
        <v># of Sandwiches</v>
      </c>
      <c r="C1097" s="2">
        <f>IFERROR(__xludf.DUMMYFUNCTION("""COMPUTED_VALUE"""),9364.0)</f>
        <v>9364</v>
      </c>
    </row>
    <row r="1098" ht="15.75" customHeight="1">
      <c r="A1098" s="2">
        <f>IFERROR(__xludf.DUMMYFUNCTION("""COMPUTED_VALUE"""),45238.0)</f>
        <v>45238</v>
      </c>
      <c r="B1098" s="2" t="str">
        <f>IFERROR(__xludf.DUMMYFUNCTION("""COMPUTED_VALUE"""),"ALPHARETTA")</f>
        <v>ALPHARETTA</v>
      </c>
      <c r="C1098" s="2">
        <f>IFERROR(__xludf.DUMMYFUNCTION("""COMPUTED_VALUE"""),2028.0)</f>
        <v>2028</v>
      </c>
    </row>
    <row r="1099" ht="15.75" customHeight="1">
      <c r="A1099" s="2">
        <f>IFERROR(__xludf.DUMMYFUNCTION("""COMPUTED_VALUE"""),45238.0)</f>
        <v>45238</v>
      </c>
      <c r="B1099" s="2" t="str">
        <f>IFERROR(__xludf.DUMMYFUNCTION("""COMPUTED_VALUE"""),"PREVIOUS BUCKHEAD")</f>
        <v>PREVIOUS BUCKHEAD</v>
      </c>
      <c r="C1099" s="2"/>
    </row>
    <row r="1100" ht="15.75" customHeight="1">
      <c r="A1100" s="2">
        <f>IFERROR(__xludf.DUMMYFUNCTION("""COMPUTED_VALUE"""),45238.0)</f>
        <v>45238</v>
      </c>
      <c r="B1100" s="2" t="str">
        <f>IFERROR(__xludf.DUMMYFUNCTION("""COMPUTED_VALUE"""),"PREVIOUS OAK GROVE")</f>
        <v>PREVIOUS OAK GROVE</v>
      </c>
      <c r="C1100" s="2"/>
    </row>
    <row r="1101" ht="15.75" customHeight="1">
      <c r="A1101" s="2">
        <f>IFERROR(__xludf.DUMMYFUNCTION("""COMPUTED_VALUE"""),45238.0)</f>
        <v>45238</v>
      </c>
      <c r="B1101" s="2" t="str">
        <f>IFERROR(__xludf.DUMMYFUNCTION("""COMPUTED_VALUE"""),"DUNWOODY/PTC ")</f>
        <v>DUNWOODY/PTC </v>
      </c>
      <c r="C1101" s="2">
        <f>IFERROR(__xludf.DUMMYFUNCTION("""COMPUTED_VALUE"""),1805.0)</f>
        <v>1805</v>
      </c>
    </row>
    <row r="1102" ht="15.75" customHeight="1">
      <c r="A1102" s="2">
        <f>IFERROR(__xludf.DUMMYFUNCTION("""COMPUTED_VALUE"""),45238.0)</f>
        <v>45238</v>
      </c>
      <c r="B1102" s="2" t="str">
        <f>IFERROR(__xludf.DUMMYFUNCTION("""COMPUTED_VALUE"""),"E COBB/ROSWELL")</f>
        <v>E COBB/ROSWELL</v>
      </c>
      <c r="C1102" s="2">
        <f>IFERROR(__xludf.DUMMYFUNCTION("""COMPUTED_VALUE"""),1552.0)</f>
        <v>1552</v>
      </c>
    </row>
    <row r="1103" ht="15.75" customHeight="1">
      <c r="A1103" s="2">
        <f>IFERROR(__xludf.DUMMYFUNCTION("""COMPUTED_VALUE"""),45238.0)</f>
        <v>45238</v>
      </c>
      <c r="B1103" s="2" t="str">
        <f>IFERROR(__xludf.DUMMYFUNCTION("""COMPUTED_VALUE"""),"DECATUR")</f>
        <v>DECATUR</v>
      </c>
      <c r="C1103" s="2">
        <f>IFERROR(__xludf.DUMMYFUNCTION("""COMPUTED_VALUE"""),0.0)</f>
        <v>0</v>
      </c>
    </row>
    <row r="1104" ht="15.75" customHeight="1">
      <c r="A1104" s="2">
        <f>IFERROR(__xludf.DUMMYFUNCTION("""COMPUTED_VALUE"""),45238.0)</f>
        <v>45238</v>
      </c>
      <c r="B1104" s="2" t="str">
        <f>IFERROR(__xludf.DUMMYFUNCTION("""COMPUTED_VALUE"""),"P'TREE CORNERS ")</f>
        <v>P'TREE CORNERS </v>
      </c>
      <c r="C1104" s="2"/>
    </row>
    <row r="1105" ht="15.75" customHeight="1">
      <c r="A1105" s="2">
        <f>IFERROR(__xludf.DUMMYFUNCTION("""COMPUTED_VALUE"""),45238.0)</f>
        <v>45238</v>
      </c>
      <c r="B1105" s="2" t="str">
        <f>IFERROR(__xludf.DUMMYFUNCTION("""COMPUTED_VALUE"""),"UGA/Athens")</f>
        <v>UGA/Athens</v>
      </c>
      <c r="C1105" s="2"/>
    </row>
    <row r="1106" ht="15.75" customHeight="1">
      <c r="A1106" s="2">
        <f>IFERROR(__xludf.DUMMYFUNCTION("""COMPUTED_VALUE"""),45238.0)</f>
        <v>45238</v>
      </c>
      <c r="B1106" s="2" t="str">
        <f>IFERROR(__xludf.DUMMYFUNCTION("""COMPUTED_VALUE"""),"SANDY SPRINGS ")</f>
        <v>SANDY SPRINGS </v>
      </c>
      <c r="C1106" s="2">
        <f>IFERROR(__xludf.DUMMYFUNCTION("""COMPUTED_VALUE"""),928.0)</f>
        <v>928</v>
      </c>
    </row>
    <row r="1107" ht="15.75" customHeight="1">
      <c r="A1107" s="2">
        <f>IFERROR(__xludf.DUMMYFUNCTION("""COMPUTED_VALUE"""),45238.0)</f>
        <v>45238</v>
      </c>
      <c r="B1107" s="2" t="str">
        <f>IFERROR(__xludf.DUMMYFUNCTION("""COMPUTED_VALUE"""),"INTOWN/DRUID HILLS ")</f>
        <v>INTOWN/DRUID HILLS </v>
      </c>
      <c r="C1107" s="2">
        <f>IFERROR(__xludf.DUMMYFUNCTION("""COMPUTED_VALUE"""),935.0)</f>
        <v>935</v>
      </c>
    </row>
    <row r="1108" ht="15.75" customHeight="1">
      <c r="A1108" s="2">
        <f>IFERROR(__xludf.DUMMYFUNCTION("""COMPUTED_VALUE"""),45238.0)</f>
        <v>45238</v>
      </c>
      <c r="B1108" s="2" t="str">
        <f>IFERROR(__xludf.DUMMYFUNCTION("""COMPUTED_VALUE"""),"SNELLVILLE")</f>
        <v>SNELLVILLE</v>
      </c>
      <c r="C1108" s="2">
        <f>IFERROR(__xludf.DUMMYFUNCTION("""COMPUTED_VALUE"""),88.0)</f>
        <v>88</v>
      </c>
    </row>
    <row r="1109" ht="15.75" customHeight="1">
      <c r="A1109" s="2">
        <f>IFERROR(__xludf.DUMMYFUNCTION("""COMPUTED_VALUE"""),45238.0)</f>
        <v>45238</v>
      </c>
      <c r="B1109" s="2" t="str">
        <f>IFERROR(__xludf.DUMMYFUNCTION("""COMPUTED_VALUE"""),"GROUPS")</f>
        <v>GROUPS</v>
      </c>
      <c r="C1109" s="2"/>
    </row>
    <row r="1110" ht="15.75" customHeight="1">
      <c r="A1110" s="2">
        <f>IFERROR(__xludf.DUMMYFUNCTION("""COMPUTED_VALUE"""),45238.0)</f>
        <v>45238</v>
      </c>
      <c r="B1110" s="2" t="str">
        <f>IFERROR(__xludf.DUMMYFUNCTION("""COMPUTED_VALUE"""),"Previous Woodstock")</f>
        <v>Previous Woodstock</v>
      </c>
      <c r="C1110" s="2"/>
    </row>
    <row r="1111" ht="15.75" customHeight="1">
      <c r="A1111" s="2">
        <f>IFERROR(__xludf.DUMMYFUNCTION("""COMPUTED_VALUE"""),45238.0)</f>
        <v>45238</v>
      </c>
      <c r="B1111" s="2" t="str">
        <f>IFERROR(__xludf.DUMMYFUNCTION("""COMPUTED_VALUE"""),"Previous Lenox/Brookhaven")</f>
        <v>Previous Lenox/Brookhaven</v>
      </c>
      <c r="C1111" s="2"/>
    </row>
    <row r="1112" ht="15.75" customHeight="1">
      <c r="A1112" s="2">
        <f>IFERROR(__xludf.DUMMYFUNCTION("""COMPUTED_VALUE"""),45238.0)</f>
        <v>45238</v>
      </c>
      <c r="B1112" s="2" t="str">
        <f>IFERROR(__xludf.DUMMYFUNCTION("""COMPUTED_VALUE"""),"Previous New Chastain")</f>
        <v>Previous New Chastain</v>
      </c>
      <c r="C1112" s="2"/>
    </row>
    <row r="1113" ht="15.75" customHeight="1">
      <c r="A1113" s="2">
        <f>IFERROR(__xludf.DUMMYFUNCTION("""COMPUTED_VALUE"""),45238.0)</f>
        <v>45238</v>
      </c>
      <c r="B1113" s="2" t="str">
        <f>IFERROR(__xludf.DUMMYFUNCTION("""COMPUTED_VALUE"""),"Previous Glenwood Park")</f>
        <v>Previous Glenwood Park</v>
      </c>
      <c r="C1113" s="2"/>
    </row>
    <row r="1114" ht="15.75" customHeight="1">
      <c r="A1114" s="2">
        <f>IFERROR(__xludf.DUMMYFUNCTION("""COMPUTED_VALUE"""),45238.0)</f>
        <v>45238</v>
      </c>
      <c r="B1114" s="2" t="str">
        <f>IFERROR(__xludf.DUMMYFUNCTION("""COMPUTED_VALUE"""),"FLOWERY BRANCH")</f>
        <v>FLOWERY BRANCH</v>
      </c>
      <c r="C1114" s="2">
        <f>IFERROR(__xludf.DUMMYFUNCTION("""COMPUTED_VALUE"""),267.0)</f>
        <v>267</v>
      </c>
    </row>
    <row r="1115" ht="15.75" customHeight="1">
      <c r="A1115" s="2">
        <f>IFERROR(__xludf.DUMMYFUNCTION("""COMPUTED_VALUE"""),45238.0)</f>
        <v>45238</v>
      </c>
      <c r="B1115" s="2" t="str">
        <f>IFERROR(__xludf.DUMMYFUNCTION("""COMPUTED_VALUE"""),"GROUPS ")</f>
        <v>GROUPS </v>
      </c>
      <c r="C1115" s="2">
        <f>IFERROR(__xludf.DUMMYFUNCTION("""COMPUTED_VALUE"""),1761.0)</f>
        <v>1761</v>
      </c>
    </row>
    <row r="1116" ht="15.75" customHeight="1">
      <c r="A1116" s="2">
        <f>IFERROR(__xludf.DUMMYFUNCTION("""COMPUTED_VALUE"""),45238.0)</f>
        <v>45238</v>
      </c>
      <c r="B1116" s="2" t="str">
        <f>IFERROR(__xludf.DUMMYFUNCTION("""COMPUTED_VALUE"""),"TOTAL")</f>
        <v>TOTAL</v>
      </c>
      <c r="C1116" s="2"/>
    </row>
    <row r="1117" ht="15.75" customHeight="1">
      <c r="A1117" s="2">
        <f>IFERROR(__xludf.DUMMYFUNCTION("""COMPUTED_VALUE"""),45238.0)</f>
        <v>45238</v>
      </c>
      <c r="B1117" s="2" t="str">
        <f>IFERROR(__xludf.DUMMYFUNCTION("""COMPUTED_VALUE"""),"Collective Learning")</f>
        <v>Collective Learning</v>
      </c>
      <c r="C1117" s="2"/>
    </row>
    <row r="1118" ht="15.75" customHeight="1">
      <c r="A1118" s="2">
        <f>IFERROR(__xludf.DUMMYFUNCTION("""COMPUTED_VALUE"""),45238.0)</f>
        <v>45238</v>
      </c>
      <c r="B1118" s="2" t="str">
        <f>IFERROR(__xludf.DUMMYFUNCTION("""COMPUTED_VALUE"""),"NOTES")</f>
        <v>NOTES</v>
      </c>
      <c r="C1118" s="2"/>
    </row>
    <row r="1119" ht="15.75" customHeight="1">
      <c r="A1119" s="2">
        <f>IFERROR(__xludf.DUMMYFUNCTION("""COMPUTED_VALUE"""),45245.0)</f>
        <v>45245</v>
      </c>
      <c r="B1119" s="2" t="str">
        <f>IFERROR(__xludf.DUMMYFUNCTION("""COMPUTED_VALUE"""),"# of Sandwiches")</f>
        <v># of Sandwiches</v>
      </c>
      <c r="C1119" s="2">
        <f>IFERROR(__xludf.DUMMYFUNCTION("""COMPUTED_VALUE"""),19414.0)</f>
        <v>19414</v>
      </c>
    </row>
    <row r="1120" ht="15.75" customHeight="1">
      <c r="A1120" s="2">
        <f>IFERROR(__xludf.DUMMYFUNCTION("""COMPUTED_VALUE"""),45245.0)</f>
        <v>45245</v>
      </c>
      <c r="B1120" s="2" t="str">
        <f>IFERROR(__xludf.DUMMYFUNCTION("""COMPUTED_VALUE"""),"ALPHARETTA")</f>
        <v>ALPHARETTA</v>
      </c>
      <c r="C1120" s="2">
        <f>IFERROR(__xludf.DUMMYFUNCTION("""COMPUTED_VALUE"""),1722.0)</f>
        <v>1722</v>
      </c>
    </row>
    <row r="1121" ht="15.75" customHeight="1">
      <c r="A1121" s="2">
        <f>IFERROR(__xludf.DUMMYFUNCTION("""COMPUTED_VALUE"""),45245.0)</f>
        <v>45245</v>
      </c>
      <c r="B1121" s="2" t="str">
        <f>IFERROR(__xludf.DUMMYFUNCTION("""COMPUTED_VALUE"""),"PREVIOUS BUCKHEAD")</f>
        <v>PREVIOUS BUCKHEAD</v>
      </c>
      <c r="C1121" s="2"/>
    </row>
    <row r="1122" ht="15.75" customHeight="1">
      <c r="A1122" s="2">
        <f>IFERROR(__xludf.DUMMYFUNCTION("""COMPUTED_VALUE"""),45245.0)</f>
        <v>45245</v>
      </c>
      <c r="B1122" s="2" t="str">
        <f>IFERROR(__xludf.DUMMYFUNCTION("""COMPUTED_VALUE"""),"PREVIOUS OAK GROVE")</f>
        <v>PREVIOUS OAK GROVE</v>
      </c>
      <c r="C1122" s="2"/>
    </row>
    <row r="1123" ht="15.75" customHeight="1">
      <c r="A1123" s="2">
        <f>IFERROR(__xludf.DUMMYFUNCTION("""COMPUTED_VALUE"""),45245.0)</f>
        <v>45245</v>
      </c>
      <c r="B1123" s="2" t="str">
        <f>IFERROR(__xludf.DUMMYFUNCTION("""COMPUTED_VALUE"""),"DUNWOODY/PTC ")</f>
        <v>DUNWOODY/PTC </v>
      </c>
      <c r="C1123" s="2">
        <f>IFERROR(__xludf.DUMMYFUNCTION("""COMPUTED_VALUE"""),2611.0)</f>
        <v>2611</v>
      </c>
    </row>
    <row r="1124" ht="15.75" customHeight="1">
      <c r="A1124" s="2">
        <f>IFERROR(__xludf.DUMMYFUNCTION("""COMPUTED_VALUE"""),45245.0)</f>
        <v>45245</v>
      </c>
      <c r="B1124" s="2" t="str">
        <f>IFERROR(__xludf.DUMMYFUNCTION("""COMPUTED_VALUE"""),"E COBB/ROSWELL")</f>
        <v>E COBB/ROSWELL</v>
      </c>
      <c r="C1124" s="2">
        <f>IFERROR(__xludf.DUMMYFUNCTION("""COMPUTED_VALUE"""),1501.0)</f>
        <v>1501</v>
      </c>
    </row>
    <row r="1125" ht="15.75" customHeight="1">
      <c r="A1125" s="2">
        <f>IFERROR(__xludf.DUMMYFUNCTION("""COMPUTED_VALUE"""),45245.0)</f>
        <v>45245</v>
      </c>
      <c r="B1125" s="2" t="str">
        <f>IFERROR(__xludf.DUMMYFUNCTION("""COMPUTED_VALUE"""),"DECATUR")</f>
        <v>DECATUR</v>
      </c>
      <c r="C1125" s="2">
        <f>IFERROR(__xludf.DUMMYFUNCTION("""COMPUTED_VALUE"""),91.0)</f>
        <v>91</v>
      </c>
    </row>
    <row r="1126" ht="15.75" customHeight="1">
      <c r="A1126" s="2">
        <f>IFERROR(__xludf.DUMMYFUNCTION("""COMPUTED_VALUE"""),45245.0)</f>
        <v>45245</v>
      </c>
      <c r="B1126" s="2" t="str">
        <f>IFERROR(__xludf.DUMMYFUNCTION("""COMPUTED_VALUE"""),"P'TREE CORNERS ")</f>
        <v>P'TREE CORNERS </v>
      </c>
      <c r="C1126" s="2"/>
    </row>
    <row r="1127" ht="15.75" customHeight="1">
      <c r="A1127" s="2">
        <f>IFERROR(__xludf.DUMMYFUNCTION("""COMPUTED_VALUE"""),45245.0)</f>
        <v>45245</v>
      </c>
      <c r="B1127" s="2" t="str">
        <f>IFERROR(__xludf.DUMMYFUNCTION("""COMPUTED_VALUE"""),"UGA/Athens")</f>
        <v>UGA/Athens</v>
      </c>
      <c r="C1127" s="2"/>
    </row>
    <row r="1128" ht="15.75" customHeight="1">
      <c r="A1128" s="2">
        <f>IFERROR(__xludf.DUMMYFUNCTION("""COMPUTED_VALUE"""),45245.0)</f>
        <v>45245</v>
      </c>
      <c r="B1128" s="2" t="str">
        <f>IFERROR(__xludf.DUMMYFUNCTION("""COMPUTED_VALUE"""),"SANDY SPRINGS ")</f>
        <v>SANDY SPRINGS </v>
      </c>
      <c r="C1128" s="2">
        <f>IFERROR(__xludf.DUMMYFUNCTION("""COMPUTED_VALUE"""),996.0)</f>
        <v>996</v>
      </c>
    </row>
    <row r="1129" ht="15.75" customHeight="1">
      <c r="A1129" s="2">
        <f>IFERROR(__xludf.DUMMYFUNCTION("""COMPUTED_VALUE"""),45245.0)</f>
        <v>45245</v>
      </c>
      <c r="B1129" s="2" t="str">
        <f>IFERROR(__xludf.DUMMYFUNCTION("""COMPUTED_VALUE"""),"INTOWN/DRUID HILLS ")</f>
        <v>INTOWN/DRUID HILLS </v>
      </c>
      <c r="C1129" s="2">
        <f>IFERROR(__xludf.DUMMYFUNCTION("""COMPUTED_VALUE"""),626.0)</f>
        <v>626</v>
      </c>
    </row>
    <row r="1130" ht="15.75" customHeight="1">
      <c r="A1130" s="2">
        <f>IFERROR(__xludf.DUMMYFUNCTION("""COMPUTED_VALUE"""),45245.0)</f>
        <v>45245</v>
      </c>
      <c r="B1130" s="2" t="str">
        <f>IFERROR(__xludf.DUMMYFUNCTION("""COMPUTED_VALUE"""),"SNELLVILLE")</f>
        <v>SNELLVILLE</v>
      </c>
      <c r="C1130" s="2">
        <f>IFERROR(__xludf.DUMMYFUNCTION("""COMPUTED_VALUE"""),90.0)</f>
        <v>90</v>
      </c>
    </row>
    <row r="1131" ht="15.75" customHeight="1">
      <c r="A1131" s="2">
        <f>IFERROR(__xludf.DUMMYFUNCTION("""COMPUTED_VALUE"""),45245.0)</f>
        <v>45245</v>
      </c>
      <c r="B1131" s="2" t="str">
        <f>IFERROR(__xludf.DUMMYFUNCTION("""COMPUTED_VALUE"""),"GROUPS")</f>
        <v>GROUPS</v>
      </c>
      <c r="C1131" s="2"/>
    </row>
    <row r="1132" ht="15.75" customHeight="1">
      <c r="A1132" s="2">
        <f>IFERROR(__xludf.DUMMYFUNCTION("""COMPUTED_VALUE"""),45245.0)</f>
        <v>45245</v>
      </c>
      <c r="B1132" s="2" t="str">
        <f>IFERROR(__xludf.DUMMYFUNCTION("""COMPUTED_VALUE"""),"Previous Woodstock")</f>
        <v>Previous Woodstock</v>
      </c>
      <c r="C1132" s="2"/>
    </row>
    <row r="1133" ht="15.75" customHeight="1">
      <c r="A1133" s="2">
        <f>IFERROR(__xludf.DUMMYFUNCTION("""COMPUTED_VALUE"""),45245.0)</f>
        <v>45245</v>
      </c>
      <c r="B1133" s="2" t="str">
        <f>IFERROR(__xludf.DUMMYFUNCTION("""COMPUTED_VALUE"""),"Previous Lenox/Brookhaven")</f>
        <v>Previous Lenox/Brookhaven</v>
      </c>
      <c r="C1133" s="2"/>
    </row>
    <row r="1134" ht="15.75" customHeight="1">
      <c r="A1134" s="2">
        <f>IFERROR(__xludf.DUMMYFUNCTION("""COMPUTED_VALUE"""),45245.0)</f>
        <v>45245</v>
      </c>
      <c r="B1134" s="2" t="str">
        <f>IFERROR(__xludf.DUMMYFUNCTION("""COMPUTED_VALUE"""),"Previous New Chastain")</f>
        <v>Previous New Chastain</v>
      </c>
      <c r="C1134" s="2"/>
    </row>
    <row r="1135" ht="15.75" customHeight="1">
      <c r="A1135" s="2">
        <f>IFERROR(__xludf.DUMMYFUNCTION("""COMPUTED_VALUE"""),45245.0)</f>
        <v>45245</v>
      </c>
      <c r="B1135" s="2" t="str">
        <f>IFERROR(__xludf.DUMMYFUNCTION("""COMPUTED_VALUE"""),"Previous Glenwood Park")</f>
        <v>Previous Glenwood Park</v>
      </c>
      <c r="C1135" s="2"/>
    </row>
    <row r="1136" ht="15.75" customHeight="1">
      <c r="A1136" s="2">
        <f>IFERROR(__xludf.DUMMYFUNCTION("""COMPUTED_VALUE"""),45245.0)</f>
        <v>45245</v>
      </c>
      <c r="B1136" s="2" t="str">
        <f>IFERROR(__xludf.DUMMYFUNCTION("""COMPUTED_VALUE"""),"FLOWERY BRANCH")</f>
        <v>FLOWERY BRANCH</v>
      </c>
      <c r="C1136" s="2">
        <f>IFERROR(__xludf.DUMMYFUNCTION("""COMPUTED_VALUE"""),499.0)</f>
        <v>499</v>
      </c>
    </row>
    <row r="1137" ht="15.75" customHeight="1">
      <c r="A1137" s="2">
        <f>IFERROR(__xludf.DUMMYFUNCTION("""COMPUTED_VALUE"""),45245.0)</f>
        <v>45245</v>
      </c>
      <c r="B1137" s="2" t="str">
        <f>IFERROR(__xludf.DUMMYFUNCTION("""COMPUTED_VALUE"""),"GROUPS ")</f>
        <v>GROUPS </v>
      </c>
      <c r="C1137" s="2">
        <f>IFERROR(__xludf.DUMMYFUNCTION("""COMPUTED_VALUE"""),11278.0)</f>
        <v>11278</v>
      </c>
    </row>
    <row r="1138" ht="15.75" customHeight="1">
      <c r="A1138" s="2">
        <f>IFERROR(__xludf.DUMMYFUNCTION("""COMPUTED_VALUE"""),45245.0)</f>
        <v>45245</v>
      </c>
      <c r="B1138" s="2" t="str">
        <f>IFERROR(__xludf.DUMMYFUNCTION("""COMPUTED_VALUE"""),"TOTAL")</f>
        <v>TOTAL</v>
      </c>
      <c r="C1138" s="2"/>
    </row>
    <row r="1139" ht="15.75" customHeight="1">
      <c r="A1139" s="2">
        <f>IFERROR(__xludf.DUMMYFUNCTION("""COMPUTED_VALUE"""),45245.0)</f>
        <v>45245</v>
      </c>
      <c r="B1139" s="2" t="str">
        <f>IFERROR(__xludf.DUMMYFUNCTION("""COMPUTED_VALUE"""),"Collective Learning")</f>
        <v>Collective Learning</v>
      </c>
      <c r="C1139" s="2"/>
    </row>
    <row r="1140" ht="15.75" customHeight="1">
      <c r="A1140" s="2">
        <f>IFERROR(__xludf.DUMMYFUNCTION("""COMPUTED_VALUE"""),45245.0)</f>
        <v>45245</v>
      </c>
      <c r="B1140" s="2" t="str">
        <f>IFERROR(__xludf.DUMMYFUNCTION("""COMPUTED_VALUE"""),"NOTES")</f>
        <v>NOTES</v>
      </c>
      <c r="C1140" s="2"/>
    </row>
    <row r="1141" ht="15.75" customHeight="1">
      <c r="A1141" s="2">
        <f>IFERROR(__xludf.DUMMYFUNCTION("""COMPUTED_VALUE"""),45259.0)</f>
        <v>45259</v>
      </c>
      <c r="B1141" s="2" t="str">
        <f>IFERROR(__xludf.DUMMYFUNCTION("""COMPUTED_VALUE"""),"# of Sandwiches")</f>
        <v># of Sandwiches</v>
      </c>
      <c r="C1141" s="2">
        <f>IFERROR(__xludf.DUMMYFUNCTION("""COMPUTED_VALUE"""),10987.0)</f>
        <v>10987</v>
      </c>
    </row>
    <row r="1142" ht="15.75" customHeight="1">
      <c r="A1142" s="2">
        <f>IFERROR(__xludf.DUMMYFUNCTION("""COMPUTED_VALUE"""),45259.0)</f>
        <v>45259</v>
      </c>
      <c r="B1142" s="2" t="str">
        <f>IFERROR(__xludf.DUMMYFUNCTION("""COMPUTED_VALUE"""),"ALPHARETTA")</f>
        <v>ALPHARETTA</v>
      </c>
      <c r="C1142" s="2">
        <f>IFERROR(__xludf.DUMMYFUNCTION("""COMPUTED_VALUE"""),4232.0)</f>
        <v>4232</v>
      </c>
    </row>
    <row r="1143" ht="15.75" customHeight="1">
      <c r="A1143" s="2">
        <f>IFERROR(__xludf.DUMMYFUNCTION("""COMPUTED_VALUE"""),45259.0)</f>
        <v>45259</v>
      </c>
      <c r="B1143" s="2" t="str">
        <f>IFERROR(__xludf.DUMMYFUNCTION("""COMPUTED_VALUE"""),"PREVIOUS BUCKHEAD")</f>
        <v>PREVIOUS BUCKHEAD</v>
      </c>
      <c r="C1143" s="2"/>
    </row>
    <row r="1144" ht="15.75" customHeight="1">
      <c r="A1144" s="2">
        <f>IFERROR(__xludf.DUMMYFUNCTION("""COMPUTED_VALUE"""),45259.0)</f>
        <v>45259</v>
      </c>
      <c r="B1144" s="2" t="str">
        <f>IFERROR(__xludf.DUMMYFUNCTION("""COMPUTED_VALUE"""),"PREVIOUS OAK GROVE")</f>
        <v>PREVIOUS OAK GROVE</v>
      </c>
      <c r="C1144" s="2"/>
    </row>
    <row r="1145" ht="15.75" customHeight="1">
      <c r="A1145" s="2">
        <f>IFERROR(__xludf.DUMMYFUNCTION("""COMPUTED_VALUE"""),45259.0)</f>
        <v>45259</v>
      </c>
      <c r="B1145" s="2" t="str">
        <f>IFERROR(__xludf.DUMMYFUNCTION("""COMPUTED_VALUE"""),"DUNWOODY/PTC ")</f>
        <v>DUNWOODY/PTC </v>
      </c>
      <c r="C1145" s="2">
        <f>IFERROR(__xludf.DUMMYFUNCTION("""COMPUTED_VALUE"""),2404.0)</f>
        <v>2404</v>
      </c>
    </row>
    <row r="1146" ht="15.75" customHeight="1">
      <c r="A1146" s="2">
        <f>IFERROR(__xludf.DUMMYFUNCTION("""COMPUTED_VALUE"""),45259.0)</f>
        <v>45259</v>
      </c>
      <c r="B1146" s="2" t="str">
        <f>IFERROR(__xludf.DUMMYFUNCTION("""COMPUTED_VALUE"""),"E COBB/ROSWELL")</f>
        <v>E COBB/ROSWELL</v>
      </c>
      <c r="C1146" s="2">
        <f>IFERROR(__xludf.DUMMYFUNCTION("""COMPUTED_VALUE"""),1537.0)</f>
        <v>1537</v>
      </c>
    </row>
    <row r="1147" ht="15.75" customHeight="1">
      <c r="A1147" s="2">
        <f>IFERROR(__xludf.DUMMYFUNCTION("""COMPUTED_VALUE"""),45259.0)</f>
        <v>45259</v>
      </c>
      <c r="B1147" s="2" t="str">
        <f>IFERROR(__xludf.DUMMYFUNCTION("""COMPUTED_VALUE"""),"DECATUR")</f>
        <v>DECATUR</v>
      </c>
      <c r="C1147" s="2">
        <f>IFERROR(__xludf.DUMMYFUNCTION("""COMPUTED_VALUE"""),82.0)</f>
        <v>82</v>
      </c>
    </row>
    <row r="1148" ht="15.75" customHeight="1">
      <c r="A1148" s="2">
        <f>IFERROR(__xludf.DUMMYFUNCTION("""COMPUTED_VALUE"""),45259.0)</f>
        <v>45259</v>
      </c>
      <c r="B1148" s="2" t="str">
        <f>IFERROR(__xludf.DUMMYFUNCTION("""COMPUTED_VALUE"""),"P'TREE CORNERS ")</f>
        <v>P'TREE CORNERS </v>
      </c>
      <c r="C1148" s="2"/>
    </row>
    <row r="1149" ht="15.75" customHeight="1">
      <c r="A1149" s="2">
        <f>IFERROR(__xludf.DUMMYFUNCTION("""COMPUTED_VALUE"""),45259.0)</f>
        <v>45259</v>
      </c>
      <c r="B1149" s="2" t="str">
        <f>IFERROR(__xludf.DUMMYFUNCTION("""COMPUTED_VALUE"""),"UGA/Athens")</f>
        <v>UGA/Athens</v>
      </c>
      <c r="C1149" s="2"/>
    </row>
    <row r="1150" ht="15.75" customHeight="1">
      <c r="A1150" s="2">
        <f>IFERROR(__xludf.DUMMYFUNCTION("""COMPUTED_VALUE"""),45259.0)</f>
        <v>45259</v>
      </c>
      <c r="B1150" s="2" t="str">
        <f>IFERROR(__xludf.DUMMYFUNCTION("""COMPUTED_VALUE"""),"SANDY SPRINGS ")</f>
        <v>SANDY SPRINGS </v>
      </c>
      <c r="C1150" s="2">
        <f>IFERROR(__xludf.DUMMYFUNCTION("""COMPUTED_VALUE"""),718.0)</f>
        <v>718</v>
      </c>
    </row>
    <row r="1151" ht="15.75" customHeight="1">
      <c r="A1151" s="2">
        <f>IFERROR(__xludf.DUMMYFUNCTION("""COMPUTED_VALUE"""),45259.0)</f>
        <v>45259</v>
      </c>
      <c r="B1151" s="2" t="str">
        <f>IFERROR(__xludf.DUMMYFUNCTION("""COMPUTED_VALUE"""),"INTOWN/DRUID HILLS ")</f>
        <v>INTOWN/DRUID HILLS </v>
      </c>
      <c r="C1151" s="2">
        <f>IFERROR(__xludf.DUMMYFUNCTION("""COMPUTED_VALUE"""),1203.0)</f>
        <v>1203</v>
      </c>
    </row>
    <row r="1152" ht="15.75" customHeight="1">
      <c r="A1152" s="2">
        <f>IFERROR(__xludf.DUMMYFUNCTION("""COMPUTED_VALUE"""),45259.0)</f>
        <v>45259</v>
      </c>
      <c r="B1152" s="2" t="str">
        <f>IFERROR(__xludf.DUMMYFUNCTION("""COMPUTED_VALUE"""),"SNELLVILLE")</f>
        <v>SNELLVILLE</v>
      </c>
      <c r="C1152" s="2">
        <f>IFERROR(__xludf.DUMMYFUNCTION("""COMPUTED_VALUE"""),91.0)</f>
        <v>91</v>
      </c>
    </row>
    <row r="1153" ht="15.75" customHeight="1">
      <c r="A1153" s="2">
        <f>IFERROR(__xludf.DUMMYFUNCTION("""COMPUTED_VALUE"""),45259.0)</f>
        <v>45259</v>
      </c>
      <c r="B1153" s="2" t="str">
        <f>IFERROR(__xludf.DUMMYFUNCTION("""COMPUTED_VALUE"""),"GROUPS")</f>
        <v>GROUPS</v>
      </c>
      <c r="C1153" s="2"/>
    </row>
    <row r="1154" ht="15.75" customHeight="1">
      <c r="A1154" s="2">
        <f>IFERROR(__xludf.DUMMYFUNCTION("""COMPUTED_VALUE"""),45259.0)</f>
        <v>45259</v>
      </c>
      <c r="B1154" s="2" t="str">
        <f>IFERROR(__xludf.DUMMYFUNCTION("""COMPUTED_VALUE"""),"Previous Woodstock")</f>
        <v>Previous Woodstock</v>
      </c>
      <c r="C1154" s="2"/>
    </row>
    <row r="1155" ht="15.75" customHeight="1">
      <c r="A1155" s="2">
        <f>IFERROR(__xludf.DUMMYFUNCTION("""COMPUTED_VALUE"""),45259.0)</f>
        <v>45259</v>
      </c>
      <c r="B1155" s="2" t="str">
        <f>IFERROR(__xludf.DUMMYFUNCTION("""COMPUTED_VALUE"""),"Previous Lenox/Brookhaven")</f>
        <v>Previous Lenox/Brookhaven</v>
      </c>
      <c r="C1155" s="2"/>
    </row>
    <row r="1156" ht="15.75" customHeight="1">
      <c r="A1156" s="2">
        <f>IFERROR(__xludf.DUMMYFUNCTION("""COMPUTED_VALUE"""),45259.0)</f>
        <v>45259</v>
      </c>
      <c r="B1156" s="2" t="str">
        <f>IFERROR(__xludf.DUMMYFUNCTION("""COMPUTED_VALUE"""),"Previous New Chastain")</f>
        <v>Previous New Chastain</v>
      </c>
      <c r="C1156" s="2"/>
    </row>
    <row r="1157" ht="15.75" customHeight="1">
      <c r="A1157" s="2">
        <f>IFERROR(__xludf.DUMMYFUNCTION("""COMPUTED_VALUE"""),45259.0)</f>
        <v>45259</v>
      </c>
      <c r="B1157" s="2" t="str">
        <f>IFERROR(__xludf.DUMMYFUNCTION("""COMPUTED_VALUE"""),"Previous Glenwood Park")</f>
        <v>Previous Glenwood Park</v>
      </c>
      <c r="C1157" s="2"/>
    </row>
    <row r="1158" ht="15.75" customHeight="1">
      <c r="A1158" s="2">
        <f>IFERROR(__xludf.DUMMYFUNCTION("""COMPUTED_VALUE"""),45259.0)</f>
        <v>45259</v>
      </c>
      <c r="B1158" s="2" t="str">
        <f>IFERROR(__xludf.DUMMYFUNCTION("""COMPUTED_VALUE"""),"FLOWERY BRANCH")</f>
        <v>FLOWERY BRANCH</v>
      </c>
      <c r="C1158" s="2">
        <f>IFERROR(__xludf.DUMMYFUNCTION("""COMPUTED_VALUE"""),388.0)</f>
        <v>388</v>
      </c>
    </row>
    <row r="1159" ht="15.75" customHeight="1">
      <c r="A1159" s="2">
        <f>IFERROR(__xludf.DUMMYFUNCTION("""COMPUTED_VALUE"""),45259.0)</f>
        <v>45259</v>
      </c>
      <c r="B1159" s="2" t="str">
        <f>IFERROR(__xludf.DUMMYFUNCTION("""COMPUTED_VALUE"""),"GROUPS ")</f>
        <v>GROUPS </v>
      </c>
      <c r="C1159" s="2">
        <f>IFERROR(__xludf.DUMMYFUNCTION("""COMPUTED_VALUE"""),332.0)</f>
        <v>332</v>
      </c>
    </row>
    <row r="1160" ht="15.75" customHeight="1">
      <c r="A1160" s="2">
        <f>IFERROR(__xludf.DUMMYFUNCTION("""COMPUTED_VALUE"""),45259.0)</f>
        <v>45259</v>
      </c>
      <c r="B1160" s="2" t="str">
        <f>IFERROR(__xludf.DUMMYFUNCTION("""COMPUTED_VALUE"""),"TOTAL")</f>
        <v>TOTAL</v>
      </c>
      <c r="C1160" s="2"/>
    </row>
    <row r="1161" ht="15.75" customHeight="1">
      <c r="A1161" s="2">
        <f>IFERROR(__xludf.DUMMYFUNCTION("""COMPUTED_VALUE"""),45259.0)</f>
        <v>45259</v>
      </c>
      <c r="B1161" s="2" t="str">
        <f>IFERROR(__xludf.DUMMYFUNCTION("""COMPUTED_VALUE"""),"Collective Learning")</f>
        <v>Collective Learning</v>
      </c>
      <c r="C1161" s="2"/>
    </row>
    <row r="1162" ht="15.75" customHeight="1">
      <c r="A1162" s="2">
        <f>IFERROR(__xludf.DUMMYFUNCTION("""COMPUTED_VALUE"""),45259.0)</f>
        <v>45259</v>
      </c>
      <c r="B1162" s="2" t="str">
        <f>IFERROR(__xludf.DUMMYFUNCTION("""COMPUTED_VALUE"""),"NOTES")</f>
        <v>NOTES</v>
      </c>
      <c r="C1162" s="2"/>
    </row>
    <row r="1163" ht="15.75" customHeight="1">
      <c r="A1163" s="2">
        <f>IFERROR(__xludf.DUMMYFUNCTION("""COMPUTED_VALUE"""),45266.0)</f>
        <v>45266</v>
      </c>
      <c r="B1163" s="2" t="str">
        <f>IFERROR(__xludf.DUMMYFUNCTION("""COMPUTED_VALUE"""),"# of Sandwiches")</f>
        <v># of Sandwiches</v>
      </c>
      <c r="C1163" s="2">
        <f>IFERROR(__xludf.DUMMYFUNCTION("""COMPUTED_VALUE"""),12751.0)</f>
        <v>12751</v>
      </c>
    </row>
    <row r="1164" ht="15.75" customHeight="1">
      <c r="A1164" s="2">
        <f>IFERROR(__xludf.DUMMYFUNCTION("""COMPUTED_VALUE"""),45266.0)</f>
        <v>45266</v>
      </c>
      <c r="B1164" s="2" t="str">
        <f>IFERROR(__xludf.DUMMYFUNCTION("""COMPUTED_VALUE"""),"ALPHARETTA")</f>
        <v>ALPHARETTA</v>
      </c>
      <c r="C1164" s="2">
        <f>IFERROR(__xludf.DUMMYFUNCTION("""COMPUTED_VALUE"""),961.0)</f>
        <v>961</v>
      </c>
    </row>
    <row r="1165" ht="15.75" customHeight="1">
      <c r="A1165" s="2">
        <f>IFERROR(__xludf.DUMMYFUNCTION("""COMPUTED_VALUE"""),45266.0)</f>
        <v>45266</v>
      </c>
      <c r="B1165" s="2" t="str">
        <f>IFERROR(__xludf.DUMMYFUNCTION("""COMPUTED_VALUE"""),"PREVIOUS BUCKHEAD")</f>
        <v>PREVIOUS BUCKHEAD</v>
      </c>
      <c r="C1165" s="2"/>
    </row>
    <row r="1166" ht="15.75" customHeight="1">
      <c r="A1166" s="2">
        <f>IFERROR(__xludf.DUMMYFUNCTION("""COMPUTED_VALUE"""),45266.0)</f>
        <v>45266</v>
      </c>
      <c r="B1166" s="2" t="str">
        <f>IFERROR(__xludf.DUMMYFUNCTION("""COMPUTED_VALUE"""),"PREVIOUS OAK GROVE")</f>
        <v>PREVIOUS OAK GROVE</v>
      </c>
      <c r="C1166" s="2"/>
    </row>
    <row r="1167" ht="15.75" customHeight="1">
      <c r="A1167" s="2">
        <f>IFERROR(__xludf.DUMMYFUNCTION("""COMPUTED_VALUE"""),45266.0)</f>
        <v>45266</v>
      </c>
      <c r="B1167" s="2" t="str">
        <f>IFERROR(__xludf.DUMMYFUNCTION("""COMPUTED_VALUE"""),"DUNWOODY/PTC ")</f>
        <v>DUNWOODY/PTC </v>
      </c>
      <c r="C1167" s="2">
        <f>IFERROR(__xludf.DUMMYFUNCTION("""COMPUTED_VALUE"""),1714.0)</f>
        <v>1714</v>
      </c>
    </row>
    <row r="1168" ht="15.75" customHeight="1">
      <c r="A1168" s="2">
        <f>IFERROR(__xludf.DUMMYFUNCTION("""COMPUTED_VALUE"""),45266.0)</f>
        <v>45266</v>
      </c>
      <c r="B1168" s="2" t="str">
        <f>IFERROR(__xludf.DUMMYFUNCTION("""COMPUTED_VALUE"""),"E COBB/ROSWELL")</f>
        <v>E COBB/ROSWELL</v>
      </c>
      <c r="C1168" s="2">
        <f>IFERROR(__xludf.DUMMYFUNCTION("""COMPUTED_VALUE"""),2233.0)</f>
        <v>2233</v>
      </c>
    </row>
    <row r="1169" ht="15.75" customHeight="1">
      <c r="A1169" s="2">
        <f>IFERROR(__xludf.DUMMYFUNCTION("""COMPUTED_VALUE"""),45266.0)</f>
        <v>45266</v>
      </c>
      <c r="B1169" s="2" t="str">
        <f>IFERROR(__xludf.DUMMYFUNCTION("""COMPUTED_VALUE"""),"DECATUR")</f>
        <v>DECATUR</v>
      </c>
      <c r="C1169" s="2">
        <f>IFERROR(__xludf.DUMMYFUNCTION("""COMPUTED_VALUE"""),111.0)</f>
        <v>111</v>
      </c>
    </row>
    <row r="1170" ht="15.75" customHeight="1">
      <c r="A1170" s="2">
        <f>IFERROR(__xludf.DUMMYFUNCTION("""COMPUTED_VALUE"""),45266.0)</f>
        <v>45266</v>
      </c>
      <c r="B1170" s="2" t="str">
        <f>IFERROR(__xludf.DUMMYFUNCTION("""COMPUTED_VALUE"""),"P'TREE CORNERS ")</f>
        <v>P'TREE CORNERS </v>
      </c>
      <c r="C1170" s="2"/>
    </row>
    <row r="1171" ht="15.75" customHeight="1">
      <c r="A1171" s="2">
        <f>IFERROR(__xludf.DUMMYFUNCTION("""COMPUTED_VALUE"""),45266.0)</f>
        <v>45266</v>
      </c>
      <c r="B1171" s="2" t="str">
        <f>IFERROR(__xludf.DUMMYFUNCTION("""COMPUTED_VALUE"""),"UGA/Athens")</f>
        <v>UGA/Athens</v>
      </c>
      <c r="C1171" s="2"/>
    </row>
    <row r="1172" ht="15.75" customHeight="1">
      <c r="A1172" s="2">
        <f>IFERROR(__xludf.DUMMYFUNCTION("""COMPUTED_VALUE"""),45266.0)</f>
        <v>45266</v>
      </c>
      <c r="B1172" s="2" t="str">
        <f>IFERROR(__xludf.DUMMYFUNCTION("""COMPUTED_VALUE"""),"SANDY SPRINGS ")</f>
        <v>SANDY SPRINGS </v>
      </c>
      <c r="C1172" s="2">
        <f>IFERROR(__xludf.DUMMYFUNCTION("""COMPUTED_VALUE"""),944.0)</f>
        <v>944</v>
      </c>
    </row>
    <row r="1173" ht="15.75" customHeight="1">
      <c r="A1173" s="2">
        <f>IFERROR(__xludf.DUMMYFUNCTION("""COMPUTED_VALUE"""),45266.0)</f>
        <v>45266</v>
      </c>
      <c r="B1173" s="2" t="str">
        <f>IFERROR(__xludf.DUMMYFUNCTION("""COMPUTED_VALUE"""),"INTOWN/DRUID HILLS ")</f>
        <v>INTOWN/DRUID HILLS </v>
      </c>
      <c r="C1173" s="2">
        <f>IFERROR(__xludf.DUMMYFUNCTION("""COMPUTED_VALUE"""),1387.0)</f>
        <v>1387</v>
      </c>
    </row>
    <row r="1174" ht="15.75" customHeight="1">
      <c r="A1174" s="2">
        <f>IFERROR(__xludf.DUMMYFUNCTION("""COMPUTED_VALUE"""),45266.0)</f>
        <v>45266</v>
      </c>
      <c r="B1174" s="2" t="str">
        <f>IFERROR(__xludf.DUMMYFUNCTION("""COMPUTED_VALUE"""),"SNELLVILLE")</f>
        <v>SNELLVILLE</v>
      </c>
      <c r="C1174" s="2">
        <f>IFERROR(__xludf.DUMMYFUNCTION("""COMPUTED_VALUE"""),128.0)</f>
        <v>128</v>
      </c>
    </row>
    <row r="1175" ht="15.75" customHeight="1">
      <c r="A1175" s="2">
        <f>IFERROR(__xludf.DUMMYFUNCTION("""COMPUTED_VALUE"""),45266.0)</f>
        <v>45266</v>
      </c>
      <c r="B1175" s="2" t="str">
        <f>IFERROR(__xludf.DUMMYFUNCTION("""COMPUTED_VALUE"""),"GROUPS")</f>
        <v>GROUPS</v>
      </c>
      <c r="C1175" s="2"/>
    </row>
    <row r="1176" ht="15.75" customHeight="1">
      <c r="A1176" s="2">
        <f>IFERROR(__xludf.DUMMYFUNCTION("""COMPUTED_VALUE"""),45266.0)</f>
        <v>45266</v>
      </c>
      <c r="B1176" s="2" t="str">
        <f>IFERROR(__xludf.DUMMYFUNCTION("""COMPUTED_VALUE"""),"Previous Woodstock")</f>
        <v>Previous Woodstock</v>
      </c>
      <c r="C1176" s="2"/>
    </row>
    <row r="1177" ht="15.75" customHeight="1">
      <c r="A1177" s="2">
        <f>IFERROR(__xludf.DUMMYFUNCTION("""COMPUTED_VALUE"""),45266.0)</f>
        <v>45266</v>
      </c>
      <c r="B1177" s="2" t="str">
        <f>IFERROR(__xludf.DUMMYFUNCTION("""COMPUTED_VALUE"""),"Previous Lenox/Brookhaven")</f>
        <v>Previous Lenox/Brookhaven</v>
      </c>
      <c r="C1177" s="2"/>
    </row>
    <row r="1178" ht="15.75" customHeight="1">
      <c r="A1178" s="2">
        <f>IFERROR(__xludf.DUMMYFUNCTION("""COMPUTED_VALUE"""),45266.0)</f>
        <v>45266</v>
      </c>
      <c r="B1178" s="2" t="str">
        <f>IFERROR(__xludf.DUMMYFUNCTION("""COMPUTED_VALUE"""),"Previous New Chastain")</f>
        <v>Previous New Chastain</v>
      </c>
      <c r="C1178" s="2"/>
    </row>
    <row r="1179" ht="15.75" customHeight="1">
      <c r="A1179" s="2">
        <f>IFERROR(__xludf.DUMMYFUNCTION("""COMPUTED_VALUE"""),45266.0)</f>
        <v>45266</v>
      </c>
      <c r="B1179" s="2" t="str">
        <f>IFERROR(__xludf.DUMMYFUNCTION("""COMPUTED_VALUE"""),"Previous Glenwood Park")</f>
        <v>Previous Glenwood Park</v>
      </c>
      <c r="C1179" s="2"/>
    </row>
    <row r="1180" ht="15.75" customHeight="1">
      <c r="A1180" s="2">
        <f>IFERROR(__xludf.DUMMYFUNCTION("""COMPUTED_VALUE"""),45266.0)</f>
        <v>45266</v>
      </c>
      <c r="B1180" s="2" t="str">
        <f>IFERROR(__xludf.DUMMYFUNCTION("""COMPUTED_VALUE"""),"FLOWERY BRANCH")</f>
        <v>FLOWERY BRANCH</v>
      </c>
      <c r="C1180" s="2">
        <f>IFERROR(__xludf.DUMMYFUNCTION("""COMPUTED_VALUE"""),292.0)</f>
        <v>292</v>
      </c>
    </row>
    <row r="1181" ht="15.75" customHeight="1">
      <c r="A1181" s="2">
        <f>IFERROR(__xludf.DUMMYFUNCTION("""COMPUTED_VALUE"""),45266.0)</f>
        <v>45266</v>
      </c>
      <c r="B1181" s="2" t="str">
        <f>IFERROR(__xludf.DUMMYFUNCTION("""COMPUTED_VALUE"""),"GROUPS ")</f>
        <v>GROUPS </v>
      </c>
      <c r="C1181" s="2">
        <f>IFERROR(__xludf.DUMMYFUNCTION("""COMPUTED_VALUE"""),4981.0)</f>
        <v>4981</v>
      </c>
    </row>
    <row r="1182" ht="15.75" customHeight="1">
      <c r="A1182" s="2">
        <f>IFERROR(__xludf.DUMMYFUNCTION("""COMPUTED_VALUE"""),45266.0)</f>
        <v>45266</v>
      </c>
      <c r="B1182" s="2" t="str">
        <f>IFERROR(__xludf.DUMMYFUNCTION("""COMPUTED_VALUE"""),"TOTAL")</f>
        <v>TOTAL</v>
      </c>
      <c r="C1182" s="2"/>
    </row>
    <row r="1183" ht="15.75" customHeight="1">
      <c r="A1183" s="2">
        <f>IFERROR(__xludf.DUMMYFUNCTION("""COMPUTED_VALUE"""),45266.0)</f>
        <v>45266</v>
      </c>
      <c r="B1183" s="2" t="str">
        <f>IFERROR(__xludf.DUMMYFUNCTION("""COMPUTED_VALUE"""),"Collective Learning")</f>
        <v>Collective Learning</v>
      </c>
      <c r="C1183" s="2"/>
    </row>
    <row r="1184" ht="15.75" customHeight="1">
      <c r="A1184" s="2">
        <f>IFERROR(__xludf.DUMMYFUNCTION("""COMPUTED_VALUE"""),45266.0)</f>
        <v>45266</v>
      </c>
      <c r="B1184" s="2" t="str">
        <f>IFERROR(__xludf.DUMMYFUNCTION("""COMPUTED_VALUE"""),"NOTES")</f>
        <v>NOTES</v>
      </c>
      <c r="C1184" s="2"/>
    </row>
    <row r="1185" ht="15.75" customHeight="1">
      <c r="A1185" s="2">
        <f>IFERROR(__xludf.DUMMYFUNCTION("""COMPUTED_VALUE"""),45273.0)</f>
        <v>45273</v>
      </c>
      <c r="B1185" s="2" t="str">
        <f>IFERROR(__xludf.DUMMYFUNCTION("""COMPUTED_VALUE"""),"# of Sandwiches")</f>
        <v># of Sandwiches</v>
      </c>
      <c r="C1185" s="2">
        <f>IFERROR(__xludf.DUMMYFUNCTION("""COMPUTED_VALUE"""),8749.0)</f>
        <v>8749</v>
      </c>
    </row>
    <row r="1186" ht="15.75" customHeight="1">
      <c r="A1186" s="2">
        <f>IFERROR(__xludf.DUMMYFUNCTION("""COMPUTED_VALUE"""),45273.0)</f>
        <v>45273</v>
      </c>
      <c r="B1186" s="2" t="str">
        <f>IFERROR(__xludf.DUMMYFUNCTION("""COMPUTED_VALUE"""),"ALPHARETTA")</f>
        <v>ALPHARETTA</v>
      </c>
      <c r="C1186" s="2">
        <f>IFERROR(__xludf.DUMMYFUNCTION("""COMPUTED_VALUE"""),1343.0)</f>
        <v>1343</v>
      </c>
    </row>
    <row r="1187" ht="15.75" customHeight="1">
      <c r="A1187" s="2">
        <f>IFERROR(__xludf.DUMMYFUNCTION("""COMPUTED_VALUE"""),45273.0)</f>
        <v>45273</v>
      </c>
      <c r="B1187" s="2" t="str">
        <f>IFERROR(__xludf.DUMMYFUNCTION("""COMPUTED_VALUE"""),"PREVIOUS BUCKHEAD")</f>
        <v>PREVIOUS BUCKHEAD</v>
      </c>
      <c r="C1187" s="2"/>
    </row>
    <row r="1188" ht="15.75" customHeight="1">
      <c r="A1188" s="2">
        <f>IFERROR(__xludf.DUMMYFUNCTION("""COMPUTED_VALUE"""),45273.0)</f>
        <v>45273</v>
      </c>
      <c r="B1188" s="2" t="str">
        <f>IFERROR(__xludf.DUMMYFUNCTION("""COMPUTED_VALUE"""),"PREVIOUS OAK GROVE")</f>
        <v>PREVIOUS OAK GROVE</v>
      </c>
      <c r="C1188" s="2"/>
    </row>
    <row r="1189" ht="15.75" customHeight="1">
      <c r="A1189" s="2">
        <f>IFERROR(__xludf.DUMMYFUNCTION("""COMPUTED_VALUE"""),45273.0)</f>
        <v>45273</v>
      </c>
      <c r="B1189" s="2" t="str">
        <f>IFERROR(__xludf.DUMMYFUNCTION("""COMPUTED_VALUE"""),"DUNWOODY/PTC ")</f>
        <v>DUNWOODY/PTC </v>
      </c>
      <c r="C1189" s="2">
        <f>IFERROR(__xludf.DUMMYFUNCTION("""COMPUTED_VALUE"""),1381.0)</f>
        <v>1381</v>
      </c>
    </row>
    <row r="1190" ht="15.75" customHeight="1">
      <c r="A1190" s="2">
        <f>IFERROR(__xludf.DUMMYFUNCTION("""COMPUTED_VALUE"""),45273.0)</f>
        <v>45273</v>
      </c>
      <c r="B1190" s="2" t="str">
        <f>IFERROR(__xludf.DUMMYFUNCTION("""COMPUTED_VALUE"""),"E COBB/ROSWELL")</f>
        <v>E COBB/ROSWELL</v>
      </c>
      <c r="C1190" s="2">
        <f>IFERROR(__xludf.DUMMYFUNCTION("""COMPUTED_VALUE"""),1806.0)</f>
        <v>1806</v>
      </c>
    </row>
    <row r="1191" ht="15.75" customHeight="1">
      <c r="A1191" s="2">
        <f>IFERROR(__xludf.DUMMYFUNCTION("""COMPUTED_VALUE"""),45273.0)</f>
        <v>45273</v>
      </c>
      <c r="B1191" s="2" t="str">
        <f>IFERROR(__xludf.DUMMYFUNCTION("""COMPUTED_VALUE"""),"DECATUR")</f>
        <v>DECATUR</v>
      </c>
      <c r="C1191" s="2">
        <f>IFERROR(__xludf.DUMMYFUNCTION("""COMPUTED_VALUE"""),113.0)</f>
        <v>113</v>
      </c>
    </row>
    <row r="1192" ht="15.75" customHeight="1">
      <c r="A1192" s="2">
        <f>IFERROR(__xludf.DUMMYFUNCTION("""COMPUTED_VALUE"""),45273.0)</f>
        <v>45273</v>
      </c>
      <c r="B1192" s="2" t="str">
        <f>IFERROR(__xludf.DUMMYFUNCTION("""COMPUTED_VALUE"""),"P'TREE CORNERS ")</f>
        <v>P'TREE CORNERS </v>
      </c>
      <c r="C1192" s="2"/>
    </row>
    <row r="1193" ht="15.75" customHeight="1">
      <c r="A1193" s="2">
        <f>IFERROR(__xludf.DUMMYFUNCTION("""COMPUTED_VALUE"""),45273.0)</f>
        <v>45273</v>
      </c>
      <c r="B1193" s="2" t="str">
        <f>IFERROR(__xludf.DUMMYFUNCTION("""COMPUTED_VALUE"""),"UGA/Athens")</f>
        <v>UGA/Athens</v>
      </c>
      <c r="C1193" s="2"/>
    </row>
    <row r="1194" ht="15.75" customHeight="1">
      <c r="A1194" s="2">
        <f>IFERROR(__xludf.DUMMYFUNCTION("""COMPUTED_VALUE"""),45273.0)</f>
        <v>45273</v>
      </c>
      <c r="B1194" s="2" t="str">
        <f>IFERROR(__xludf.DUMMYFUNCTION("""COMPUTED_VALUE"""),"SANDY SPRINGS ")</f>
        <v>SANDY SPRINGS </v>
      </c>
      <c r="C1194" s="2">
        <f>IFERROR(__xludf.DUMMYFUNCTION("""COMPUTED_VALUE"""),630.0)</f>
        <v>630</v>
      </c>
    </row>
    <row r="1195" ht="15.75" customHeight="1">
      <c r="A1195" s="2">
        <f>IFERROR(__xludf.DUMMYFUNCTION("""COMPUTED_VALUE"""),45273.0)</f>
        <v>45273</v>
      </c>
      <c r="B1195" s="2" t="str">
        <f>IFERROR(__xludf.DUMMYFUNCTION("""COMPUTED_VALUE"""),"INTOWN/DRUID HILLS ")</f>
        <v>INTOWN/DRUID HILLS </v>
      </c>
      <c r="C1195" s="2">
        <f>IFERROR(__xludf.DUMMYFUNCTION("""COMPUTED_VALUE"""),1161.0)</f>
        <v>1161</v>
      </c>
    </row>
    <row r="1196" ht="15.75" customHeight="1">
      <c r="A1196" s="2">
        <f>IFERROR(__xludf.DUMMYFUNCTION("""COMPUTED_VALUE"""),45273.0)</f>
        <v>45273</v>
      </c>
      <c r="B1196" s="2" t="str">
        <f>IFERROR(__xludf.DUMMYFUNCTION("""COMPUTED_VALUE"""),"SNELLVILLE")</f>
        <v>SNELLVILLE</v>
      </c>
      <c r="C1196" s="2">
        <f>IFERROR(__xludf.DUMMYFUNCTION("""COMPUTED_VALUE"""),109.0)</f>
        <v>109</v>
      </c>
    </row>
    <row r="1197" ht="15.75" customHeight="1">
      <c r="A1197" s="2">
        <f>IFERROR(__xludf.DUMMYFUNCTION("""COMPUTED_VALUE"""),45273.0)</f>
        <v>45273</v>
      </c>
      <c r="B1197" s="2" t="str">
        <f>IFERROR(__xludf.DUMMYFUNCTION("""COMPUTED_VALUE"""),"GROUPS")</f>
        <v>GROUPS</v>
      </c>
      <c r="C1197" s="2"/>
    </row>
    <row r="1198" ht="15.75" customHeight="1">
      <c r="A1198" s="2">
        <f>IFERROR(__xludf.DUMMYFUNCTION("""COMPUTED_VALUE"""),45273.0)</f>
        <v>45273</v>
      </c>
      <c r="B1198" s="2" t="str">
        <f>IFERROR(__xludf.DUMMYFUNCTION("""COMPUTED_VALUE"""),"Previous Woodstock")</f>
        <v>Previous Woodstock</v>
      </c>
      <c r="C1198" s="2"/>
    </row>
    <row r="1199" ht="15.75" customHeight="1">
      <c r="A1199" s="2">
        <f>IFERROR(__xludf.DUMMYFUNCTION("""COMPUTED_VALUE"""),45273.0)</f>
        <v>45273</v>
      </c>
      <c r="B1199" s="2" t="str">
        <f>IFERROR(__xludf.DUMMYFUNCTION("""COMPUTED_VALUE"""),"Previous Lenox/Brookhaven")</f>
        <v>Previous Lenox/Brookhaven</v>
      </c>
      <c r="C1199" s="2"/>
    </row>
    <row r="1200" ht="15.75" customHeight="1">
      <c r="A1200" s="2">
        <f>IFERROR(__xludf.DUMMYFUNCTION("""COMPUTED_VALUE"""),45273.0)</f>
        <v>45273</v>
      </c>
      <c r="B1200" s="2" t="str">
        <f>IFERROR(__xludf.DUMMYFUNCTION("""COMPUTED_VALUE"""),"Previous New Chastain")</f>
        <v>Previous New Chastain</v>
      </c>
      <c r="C1200" s="2"/>
    </row>
    <row r="1201" ht="15.75" customHeight="1">
      <c r="A1201" s="2">
        <f>IFERROR(__xludf.DUMMYFUNCTION("""COMPUTED_VALUE"""),45273.0)</f>
        <v>45273</v>
      </c>
      <c r="B1201" s="2" t="str">
        <f>IFERROR(__xludf.DUMMYFUNCTION("""COMPUTED_VALUE"""),"Previous Glenwood Park")</f>
        <v>Previous Glenwood Park</v>
      </c>
      <c r="C1201" s="2"/>
    </row>
    <row r="1202" ht="15.75" customHeight="1">
      <c r="A1202" s="2">
        <f>IFERROR(__xludf.DUMMYFUNCTION("""COMPUTED_VALUE"""),45273.0)</f>
        <v>45273</v>
      </c>
      <c r="B1202" s="2" t="str">
        <f>IFERROR(__xludf.DUMMYFUNCTION("""COMPUTED_VALUE"""),"FLOWERY BRANCH")</f>
        <v>FLOWERY BRANCH</v>
      </c>
      <c r="C1202" s="2">
        <f>IFERROR(__xludf.DUMMYFUNCTION("""COMPUTED_VALUE"""),362.0)</f>
        <v>362</v>
      </c>
    </row>
    <row r="1203" ht="15.75" customHeight="1">
      <c r="A1203" s="2">
        <f>IFERROR(__xludf.DUMMYFUNCTION("""COMPUTED_VALUE"""),45273.0)</f>
        <v>45273</v>
      </c>
      <c r="B1203" s="2" t="str">
        <f>IFERROR(__xludf.DUMMYFUNCTION("""COMPUTED_VALUE"""),"GROUPS ")</f>
        <v>GROUPS </v>
      </c>
      <c r="C1203" s="2">
        <f>IFERROR(__xludf.DUMMYFUNCTION("""COMPUTED_VALUE"""),1844.0)</f>
        <v>1844</v>
      </c>
    </row>
    <row r="1204" ht="15.75" customHeight="1">
      <c r="A1204" s="2">
        <f>IFERROR(__xludf.DUMMYFUNCTION("""COMPUTED_VALUE"""),45273.0)</f>
        <v>45273</v>
      </c>
      <c r="B1204" s="2" t="str">
        <f>IFERROR(__xludf.DUMMYFUNCTION("""COMPUTED_VALUE"""),"TOTAL")</f>
        <v>TOTAL</v>
      </c>
      <c r="C1204" s="2"/>
    </row>
    <row r="1205" ht="15.75" customHeight="1">
      <c r="A1205" s="2">
        <f>IFERROR(__xludf.DUMMYFUNCTION("""COMPUTED_VALUE"""),45273.0)</f>
        <v>45273</v>
      </c>
      <c r="B1205" s="2" t="str">
        <f>IFERROR(__xludf.DUMMYFUNCTION("""COMPUTED_VALUE"""),"Collective Learning")</f>
        <v>Collective Learning</v>
      </c>
      <c r="C1205" s="2"/>
    </row>
    <row r="1206" ht="15.75" customHeight="1">
      <c r="A1206" s="2">
        <f>IFERROR(__xludf.DUMMYFUNCTION("""COMPUTED_VALUE"""),45273.0)</f>
        <v>45273</v>
      </c>
      <c r="B1206" s="2" t="str">
        <f>IFERROR(__xludf.DUMMYFUNCTION("""COMPUTED_VALUE"""),"NOTES")</f>
        <v>NOTES</v>
      </c>
      <c r="C1206" s="2"/>
    </row>
    <row r="1207" ht="15.75" customHeight="1">
      <c r="A1207" s="2">
        <f>IFERROR(__xludf.DUMMYFUNCTION("""COMPUTED_VALUE"""),45280.0)</f>
        <v>45280</v>
      </c>
      <c r="B1207" s="2" t="str">
        <f>IFERROR(__xludf.DUMMYFUNCTION("""COMPUTED_VALUE"""),"# of Sandwiches")</f>
        <v># of Sandwiches</v>
      </c>
      <c r="C1207" s="2">
        <f>IFERROR(__xludf.DUMMYFUNCTION("""COMPUTED_VALUE"""),16444.0)</f>
        <v>16444</v>
      </c>
    </row>
    <row r="1208" ht="15.75" customHeight="1">
      <c r="A1208" s="2">
        <f>IFERROR(__xludf.DUMMYFUNCTION("""COMPUTED_VALUE"""),45280.0)</f>
        <v>45280</v>
      </c>
      <c r="B1208" s="2" t="str">
        <f>IFERROR(__xludf.DUMMYFUNCTION("""COMPUTED_VALUE"""),"ALPHARETTA")</f>
        <v>ALPHARETTA</v>
      </c>
      <c r="C1208" s="2">
        <f>IFERROR(__xludf.DUMMYFUNCTION("""COMPUTED_VALUE"""),2367.0)</f>
        <v>2367</v>
      </c>
    </row>
    <row r="1209" ht="15.75" customHeight="1">
      <c r="A1209" s="2">
        <f>IFERROR(__xludf.DUMMYFUNCTION("""COMPUTED_VALUE"""),45280.0)</f>
        <v>45280</v>
      </c>
      <c r="B1209" s="2" t="str">
        <f>IFERROR(__xludf.DUMMYFUNCTION("""COMPUTED_VALUE"""),"PREVIOUS BUCKHEAD")</f>
        <v>PREVIOUS BUCKHEAD</v>
      </c>
      <c r="C1209" s="2"/>
    </row>
    <row r="1210" ht="15.75" customHeight="1">
      <c r="A1210" s="2">
        <f>IFERROR(__xludf.DUMMYFUNCTION("""COMPUTED_VALUE"""),45280.0)</f>
        <v>45280</v>
      </c>
      <c r="B1210" s="2" t="str">
        <f>IFERROR(__xludf.DUMMYFUNCTION("""COMPUTED_VALUE"""),"PREVIOUS OAK GROVE")</f>
        <v>PREVIOUS OAK GROVE</v>
      </c>
      <c r="C1210" s="2"/>
    </row>
    <row r="1211" ht="15.75" customHeight="1">
      <c r="A1211" s="2">
        <f>IFERROR(__xludf.DUMMYFUNCTION("""COMPUTED_VALUE"""),45280.0)</f>
        <v>45280</v>
      </c>
      <c r="B1211" s="2" t="str">
        <f>IFERROR(__xludf.DUMMYFUNCTION("""COMPUTED_VALUE"""),"DUNWOODY/PTC ")</f>
        <v>DUNWOODY/PTC </v>
      </c>
      <c r="C1211" s="2">
        <f>IFERROR(__xludf.DUMMYFUNCTION("""COMPUTED_VALUE"""),1792.0)</f>
        <v>1792</v>
      </c>
    </row>
    <row r="1212" ht="15.75" customHeight="1">
      <c r="A1212" s="2">
        <f>IFERROR(__xludf.DUMMYFUNCTION("""COMPUTED_VALUE"""),45280.0)</f>
        <v>45280</v>
      </c>
      <c r="B1212" s="2" t="str">
        <f>IFERROR(__xludf.DUMMYFUNCTION("""COMPUTED_VALUE"""),"E COBB/ROSWELL")</f>
        <v>E COBB/ROSWELL</v>
      </c>
      <c r="C1212" s="2">
        <f>IFERROR(__xludf.DUMMYFUNCTION("""COMPUTED_VALUE"""),1787.0)</f>
        <v>1787</v>
      </c>
    </row>
    <row r="1213" ht="15.75" customHeight="1">
      <c r="A1213" s="2">
        <f>IFERROR(__xludf.DUMMYFUNCTION("""COMPUTED_VALUE"""),45280.0)</f>
        <v>45280</v>
      </c>
      <c r="B1213" s="2" t="str">
        <f>IFERROR(__xludf.DUMMYFUNCTION("""COMPUTED_VALUE"""),"DECATUR")</f>
        <v>DECATUR</v>
      </c>
      <c r="C1213" s="2">
        <f>IFERROR(__xludf.DUMMYFUNCTION("""COMPUTED_VALUE"""),184.0)</f>
        <v>184</v>
      </c>
    </row>
    <row r="1214" ht="15.75" customHeight="1">
      <c r="A1214" s="2">
        <f>IFERROR(__xludf.DUMMYFUNCTION("""COMPUTED_VALUE"""),45280.0)</f>
        <v>45280</v>
      </c>
      <c r="B1214" s="2" t="str">
        <f>IFERROR(__xludf.DUMMYFUNCTION("""COMPUTED_VALUE"""),"P'TREE CORNERS ")</f>
        <v>P'TREE CORNERS </v>
      </c>
      <c r="C1214" s="2"/>
    </row>
    <row r="1215" ht="15.75" customHeight="1">
      <c r="A1215" s="2">
        <f>IFERROR(__xludf.DUMMYFUNCTION("""COMPUTED_VALUE"""),45280.0)</f>
        <v>45280</v>
      </c>
      <c r="B1215" s="2" t="str">
        <f>IFERROR(__xludf.DUMMYFUNCTION("""COMPUTED_VALUE"""),"UGA/Athens")</f>
        <v>UGA/Athens</v>
      </c>
      <c r="C1215" s="2"/>
    </row>
    <row r="1216" ht="15.75" customHeight="1">
      <c r="A1216" s="2">
        <f>IFERROR(__xludf.DUMMYFUNCTION("""COMPUTED_VALUE"""),45280.0)</f>
        <v>45280</v>
      </c>
      <c r="B1216" s="2" t="str">
        <f>IFERROR(__xludf.DUMMYFUNCTION("""COMPUTED_VALUE"""),"SANDY SPRINGS ")</f>
        <v>SANDY SPRINGS </v>
      </c>
      <c r="C1216" s="2">
        <f>IFERROR(__xludf.DUMMYFUNCTION("""COMPUTED_VALUE"""),1052.0)</f>
        <v>1052</v>
      </c>
    </row>
    <row r="1217" ht="15.75" customHeight="1">
      <c r="A1217" s="2">
        <f>IFERROR(__xludf.DUMMYFUNCTION("""COMPUTED_VALUE"""),45280.0)</f>
        <v>45280</v>
      </c>
      <c r="B1217" s="2" t="str">
        <f>IFERROR(__xludf.DUMMYFUNCTION("""COMPUTED_VALUE"""),"INTOWN/DRUID HILLS ")</f>
        <v>INTOWN/DRUID HILLS </v>
      </c>
      <c r="C1217" s="2">
        <f>IFERROR(__xludf.DUMMYFUNCTION("""COMPUTED_VALUE"""),460.0)</f>
        <v>460</v>
      </c>
    </row>
    <row r="1218" ht="15.75" customHeight="1">
      <c r="A1218" s="2">
        <f>IFERROR(__xludf.DUMMYFUNCTION("""COMPUTED_VALUE"""),45280.0)</f>
        <v>45280</v>
      </c>
      <c r="B1218" s="2" t="str">
        <f>IFERROR(__xludf.DUMMYFUNCTION("""COMPUTED_VALUE"""),"SNELLVILLE")</f>
        <v>SNELLVILLE</v>
      </c>
      <c r="C1218" s="2">
        <f>IFERROR(__xludf.DUMMYFUNCTION("""COMPUTED_VALUE"""),106.0)</f>
        <v>106</v>
      </c>
    </row>
    <row r="1219" ht="15.75" customHeight="1">
      <c r="A1219" s="2">
        <f>IFERROR(__xludf.DUMMYFUNCTION("""COMPUTED_VALUE"""),45280.0)</f>
        <v>45280</v>
      </c>
      <c r="B1219" s="2" t="str">
        <f>IFERROR(__xludf.DUMMYFUNCTION("""COMPUTED_VALUE"""),"GROUPS")</f>
        <v>GROUPS</v>
      </c>
      <c r="C1219" s="2"/>
    </row>
    <row r="1220" ht="15.75" customHeight="1">
      <c r="A1220" s="2">
        <f>IFERROR(__xludf.DUMMYFUNCTION("""COMPUTED_VALUE"""),45280.0)</f>
        <v>45280</v>
      </c>
      <c r="B1220" s="2" t="str">
        <f>IFERROR(__xludf.DUMMYFUNCTION("""COMPUTED_VALUE"""),"Previous Woodstock")</f>
        <v>Previous Woodstock</v>
      </c>
      <c r="C1220" s="2"/>
    </row>
    <row r="1221" ht="15.75" customHeight="1">
      <c r="A1221" s="2">
        <f>IFERROR(__xludf.DUMMYFUNCTION("""COMPUTED_VALUE"""),45280.0)</f>
        <v>45280</v>
      </c>
      <c r="B1221" s="2" t="str">
        <f>IFERROR(__xludf.DUMMYFUNCTION("""COMPUTED_VALUE"""),"Previous Lenox/Brookhaven")</f>
        <v>Previous Lenox/Brookhaven</v>
      </c>
      <c r="C1221" s="2"/>
    </row>
    <row r="1222" ht="15.75" customHeight="1">
      <c r="A1222" s="2">
        <f>IFERROR(__xludf.DUMMYFUNCTION("""COMPUTED_VALUE"""),45280.0)</f>
        <v>45280</v>
      </c>
      <c r="B1222" s="2" t="str">
        <f>IFERROR(__xludf.DUMMYFUNCTION("""COMPUTED_VALUE"""),"Previous New Chastain")</f>
        <v>Previous New Chastain</v>
      </c>
      <c r="C1222" s="2"/>
    </row>
    <row r="1223" ht="15.75" customHeight="1">
      <c r="A1223" s="2">
        <f>IFERROR(__xludf.DUMMYFUNCTION("""COMPUTED_VALUE"""),45280.0)</f>
        <v>45280</v>
      </c>
      <c r="B1223" s="2" t="str">
        <f>IFERROR(__xludf.DUMMYFUNCTION("""COMPUTED_VALUE"""),"Previous Glenwood Park")</f>
        <v>Previous Glenwood Park</v>
      </c>
      <c r="C1223" s="2"/>
    </row>
    <row r="1224" ht="15.75" customHeight="1">
      <c r="A1224" s="2">
        <f>IFERROR(__xludf.DUMMYFUNCTION("""COMPUTED_VALUE"""),45280.0)</f>
        <v>45280</v>
      </c>
      <c r="B1224" s="2" t="str">
        <f>IFERROR(__xludf.DUMMYFUNCTION("""COMPUTED_VALUE"""),"FLOWERY BRANCH")</f>
        <v>FLOWERY BRANCH</v>
      </c>
      <c r="C1224" s="2">
        <f>IFERROR(__xludf.DUMMYFUNCTION("""COMPUTED_VALUE"""),0.0)</f>
        <v>0</v>
      </c>
    </row>
    <row r="1225" ht="15.75" customHeight="1">
      <c r="A1225" s="2">
        <f>IFERROR(__xludf.DUMMYFUNCTION("""COMPUTED_VALUE"""),45280.0)</f>
        <v>45280</v>
      </c>
      <c r="B1225" s="2" t="str">
        <f>IFERROR(__xludf.DUMMYFUNCTION("""COMPUTED_VALUE"""),"GROUPS ")</f>
        <v>GROUPS </v>
      </c>
      <c r="C1225" s="2">
        <f>IFERROR(__xludf.DUMMYFUNCTION("""COMPUTED_VALUE"""),8696.0)</f>
        <v>8696</v>
      </c>
    </row>
    <row r="1226" ht="15.75" customHeight="1">
      <c r="A1226" s="2">
        <f>IFERROR(__xludf.DUMMYFUNCTION("""COMPUTED_VALUE"""),45280.0)</f>
        <v>45280</v>
      </c>
      <c r="B1226" s="2" t="str">
        <f>IFERROR(__xludf.DUMMYFUNCTION("""COMPUTED_VALUE"""),"TOTAL")</f>
        <v>TOTAL</v>
      </c>
      <c r="C1226" s="2"/>
    </row>
    <row r="1227" ht="15.75" customHeight="1">
      <c r="A1227" s="2">
        <f>IFERROR(__xludf.DUMMYFUNCTION("""COMPUTED_VALUE"""),45280.0)</f>
        <v>45280</v>
      </c>
      <c r="B1227" s="2" t="str">
        <f>IFERROR(__xludf.DUMMYFUNCTION("""COMPUTED_VALUE"""),"Collective Learning")</f>
        <v>Collective Learning</v>
      </c>
      <c r="C1227" s="2"/>
    </row>
    <row r="1228" ht="15.75" customHeight="1">
      <c r="A1228" s="2">
        <f>IFERROR(__xludf.DUMMYFUNCTION("""COMPUTED_VALUE"""),45280.0)</f>
        <v>45280</v>
      </c>
      <c r="B1228" s="2" t="str">
        <f>IFERROR(__xludf.DUMMYFUNCTION("""COMPUTED_VALUE"""),"NOTES")</f>
        <v>NOTES</v>
      </c>
      <c r="C1228" s="2"/>
    </row>
    <row r="1229" ht="15.75" customHeight="1">
      <c r="A1229" s="2">
        <f>IFERROR(__xludf.DUMMYFUNCTION("""COMPUTED_VALUE"""),45294.0)</f>
        <v>45294</v>
      </c>
      <c r="B1229" s="2" t="str">
        <f>IFERROR(__xludf.DUMMYFUNCTION("""COMPUTED_VALUE"""),"# of Sandwiches")</f>
        <v># of Sandwiches</v>
      </c>
      <c r="C1229" s="2">
        <f>IFERROR(__xludf.DUMMYFUNCTION("""COMPUTED_VALUE"""),5042.0)</f>
        <v>5042</v>
      </c>
    </row>
    <row r="1230" ht="15.75" customHeight="1">
      <c r="A1230" s="2">
        <f>IFERROR(__xludf.DUMMYFUNCTION("""COMPUTED_VALUE"""),45294.0)</f>
        <v>45294</v>
      </c>
      <c r="B1230" s="2" t="str">
        <f>IFERROR(__xludf.DUMMYFUNCTION("""COMPUTED_VALUE"""),"ALPHARETTA")</f>
        <v>ALPHARETTA</v>
      </c>
      <c r="C1230" s="2">
        <f>IFERROR(__xludf.DUMMYFUNCTION("""COMPUTED_VALUE"""),609.0)</f>
        <v>609</v>
      </c>
    </row>
    <row r="1231" ht="15.75" customHeight="1">
      <c r="A1231" s="2">
        <f>IFERROR(__xludf.DUMMYFUNCTION("""COMPUTED_VALUE"""),45294.0)</f>
        <v>45294</v>
      </c>
      <c r="B1231" s="2" t="str">
        <f>IFERROR(__xludf.DUMMYFUNCTION("""COMPUTED_VALUE"""),"PREVIOUS BUCKHEAD")</f>
        <v>PREVIOUS BUCKHEAD</v>
      </c>
      <c r="C1231" s="2"/>
    </row>
    <row r="1232" ht="15.75" customHeight="1">
      <c r="A1232" s="2">
        <f>IFERROR(__xludf.DUMMYFUNCTION("""COMPUTED_VALUE"""),45294.0)</f>
        <v>45294</v>
      </c>
      <c r="B1232" s="2" t="str">
        <f>IFERROR(__xludf.DUMMYFUNCTION("""COMPUTED_VALUE"""),"PREVIOUS OAK GROVE")</f>
        <v>PREVIOUS OAK GROVE</v>
      </c>
      <c r="C1232" s="2"/>
    </row>
    <row r="1233" ht="15.75" customHeight="1">
      <c r="A1233" s="2">
        <f>IFERROR(__xludf.DUMMYFUNCTION("""COMPUTED_VALUE"""),45294.0)</f>
        <v>45294</v>
      </c>
      <c r="B1233" s="2" t="str">
        <f>IFERROR(__xludf.DUMMYFUNCTION("""COMPUTED_VALUE"""),"DUNWOODY/PTC ")</f>
        <v>DUNWOODY/PTC </v>
      </c>
      <c r="C1233" s="2">
        <f>IFERROR(__xludf.DUMMYFUNCTION("""COMPUTED_VALUE"""),1480.0)</f>
        <v>1480</v>
      </c>
    </row>
    <row r="1234" ht="15.75" customHeight="1">
      <c r="A1234" s="2">
        <f>IFERROR(__xludf.DUMMYFUNCTION("""COMPUTED_VALUE"""),45294.0)</f>
        <v>45294</v>
      </c>
      <c r="B1234" s="2" t="str">
        <f>IFERROR(__xludf.DUMMYFUNCTION("""COMPUTED_VALUE"""),"E COBB/ROSWELL")</f>
        <v>E COBB/ROSWELL</v>
      </c>
      <c r="C1234" s="2">
        <f>IFERROR(__xludf.DUMMYFUNCTION("""COMPUTED_VALUE"""),1631.0)</f>
        <v>1631</v>
      </c>
    </row>
    <row r="1235" ht="15.75" customHeight="1">
      <c r="A1235" s="2">
        <f>IFERROR(__xludf.DUMMYFUNCTION("""COMPUTED_VALUE"""),45294.0)</f>
        <v>45294</v>
      </c>
      <c r="B1235" s="2" t="str">
        <f>IFERROR(__xludf.DUMMYFUNCTION("""COMPUTED_VALUE"""),"DECATUR")</f>
        <v>DECATUR</v>
      </c>
      <c r="C1235" s="2">
        <f>IFERROR(__xludf.DUMMYFUNCTION("""COMPUTED_VALUE"""),0.0)</f>
        <v>0</v>
      </c>
    </row>
    <row r="1236" ht="15.75" customHeight="1">
      <c r="A1236" s="2">
        <f>IFERROR(__xludf.DUMMYFUNCTION("""COMPUTED_VALUE"""),45294.0)</f>
        <v>45294</v>
      </c>
      <c r="B1236" s="2" t="str">
        <f>IFERROR(__xludf.DUMMYFUNCTION("""COMPUTED_VALUE"""),"P'TREE CORNERS ")</f>
        <v>P'TREE CORNERS </v>
      </c>
      <c r="C1236" s="2"/>
    </row>
    <row r="1237" ht="15.75" customHeight="1">
      <c r="A1237" s="2">
        <f>IFERROR(__xludf.DUMMYFUNCTION("""COMPUTED_VALUE"""),45294.0)</f>
        <v>45294</v>
      </c>
      <c r="B1237" s="2" t="str">
        <f>IFERROR(__xludf.DUMMYFUNCTION("""COMPUTED_VALUE"""),"UGA/Athens")</f>
        <v>UGA/Athens</v>
      </c>
      <c r="C1237" s="2"/>
    </row>
    <row r="1238" ht="15.75" customHeight="1">
      <c r="A1238" s="2">
        <f>IFERROR(__xludf.DUMMYFUNCTION("""COMPUTED_VALUE"""),45294.0)</f>
        <v>45294</v>
      </c>
      <c r="B1238" s="2" t="str">
        <f>IFERROR(__xludf.DUMMYFUNCTION("""COMPUTED_VALUE"""),"SANDY SPRINGS ")</f>
        <v>SANDY SPRINGS </v>
      </c>
      <c r="C1238" s="2">
        <f>IFERROR(__xludf.DUMMYFUNCTION("""COMPUTED_VALUE"""),283.0)</f>
        <v>283</v>
      </c>
    </row>
    <row r="1239" ht="15.75" customHeight="1">
      <c r="A1239" s="2">
        <f>IFERROR(__xludf.DUMMYFUNCTION("""COMPUTED_VALUE"""),45294.0)</f>
        <v>45294</v>
      </c>
      <c r="B1239" s="2" t="str">
        <f>IFERROR(__xludf.DUMMYFUNCTION("""COMPUTED_VALUE"""),"INTOWN/DRUID HILLS ")</f>
        <v>INTOWN/DRUID HILLS </v>
      </c>
      <c r="C1239" s="2">
        <f>IFERROR(__xludf.DUMMYFUNCTION("""COMPUTED_VALUE"""),625.0)</f>
        <v>625</v>
      </c>
    </row>
    <row r="1240" ht="15.75" customHeight="1">
      <c r="A1240" s="2">
        <f>IFERROR(__xludf.DUMMYFUNCTION("""COMPUTED_VALUE"""),45294.0)</f>
        <v>45294</v>
      </c>
      <c r="B1240" s="2" t="str">
        <f>IFERROR(__xludf.DUMMYFUNCTION("""COMPUTED_VALUE"""),"SNELLVILLE")</f>
        <v>SNELLVILLE</v>
      </c>
      <c r="C1240" s="2">
        <f>IFERROR(__xludf.DUMMYFUNCTION("""COMPUTED_VALUE"""),152.0)</f>
        <v>152</v>
      </c>
    </row>
    <row r="1241" ht="15.75" customHeight="1">
      <c r="A1241" s="2">
        <f>IFERROR(__xludf.DUMMYFUNCTION("""COMPUTED_VALUE"""),45294.0)</f>
        <v>45294</v>
      </c>
      <c r="B1241" s="2" t="str">
        <f>IFERROR(__xludf.DUMMYFUNCTION("""COMPUTED_VALUE"""),"GROUPS")</f>
        <v>GROUPS</v>
      </c>
      <c r="C1241" s="2"/>
    </row>
    <row r="1242" ht="15.75" customHeight="1">
      <c r="A1242" s="2">
        <f>IFERROR(__xludf.DUMMYFUNCTION("""COMPUTED_VALUE"""),45294.0)</f>
        <v>45294</v>
      </c>
      <c r="B1242" s="2" t="str">
        <f>IFERROR(__xludf.DUMMYFUNCTION("""COMPUTED_VALUE"""),"Previous Woodstock")</f>
        <v>Previous Woodstock</v>
      </c>
      <c r="C1242" s="2"/>
    </row>
    <row r="1243" ht="15.75" customHeight="1">
      <c r="A1243" s="2">
        <f>IFERROR(__xludf.DUMMYFUNCTION("""COMPUTED_VALUE"""),45294.0)</f>
        <v>45294</v>
      </c>
      <c r="B1243" s="2" t="str">
        <f>IFERROR(__xludf.DUMMYFUNCTION("""COMPUTED_VALUE"""),"Previous Lenox/Brookhaven")</f>
        <v>Previous Lenox/Brookhaven</v>
      </c>
      <c r="C1243" s="2"/>
    </row>
    <row r="1244" ht="15.75" customHeight="1">
      <c r="A1244" s="2">
        <f>IFERROR(__xludf.DUMMYFUNCTION("""COMPUTED_VALUE"""),45294.0)</f>
        <v>45294</v>
      </c>
      <c r="B1244" s="2" t="str">
        <f>IFERROR(__xludf.DUMMYFUNCTION("""COMPUTED_VALUE"""),"Previous New Chastain")</f>
        <v>Previous New Chastain</v>
      </c>
      <c r="C1244" s="2"/>
    </row>
    <row r="1245" ht="15.75" customHeight="1">
      <c r="A1245" s="2">
        <f>IFERROR(__xludf.DUMMYFUNCTION("""COMPUTED_VALUE"""),45294.0)</f>
        <v>45294</v>
      </c>
      <c r="B1245" s="2" t="str">
        <f>IFERROR(__xludf.DUMMYFUNCTION("""COMPUTED_VALUE"""),"Previous Glenwood Park")</f>
        <v>Previous Glenwood Park</v>
      </c>
      <c r="C1245" s="2"/>
    </row>
    <row r="1246" ht="15.75" customHeight="1">
      <c r="A1246" s="2">
        <f>IFERROR(__xludf.DUMMYFUNCTION("""COMPUTED_VALUE"""),45294.0)</f>
        <v>45294</v>
      </c>
      <c r="B1246" s="2" t="str">
        <f>IFERROR(__xludf.DUMMYFUNCTION("""COMPUTED_VALUE"""),"FLOWERY BRANCH")</f>
        <v>FLOWERY BRANCH</v>
      </c>
      <c r="C1246" s="2">
        <f>IFERROR(__xludf.DUMMYFUNCTION("""COMPUTED_VALUE"""),262.0)</f>
        <v>262</v>
      </c>
    </row>
    <row r="1247" ht="15.75" customHeight="1">
      <c r="A1247" s="2">
        <f>IFERROR(__xludf.DUMMYFUNCTION("""COMPUTED_VALUE"""),45294.0)</f>
        <v>45294</v>
      </c>
      <c r="B1247" s="2" t="str">
        <f>IFERROR(__xludf.DUMMYFUNCTION("""COMPUTED_VALUE"""),"GROUPS ")</f>
        <v>GROUPS </v>
      </c>
      <c r="C1247" s="2">
        <f>IFERROR(__xludf.DUMMYFUNCTION("""COMPUTED_VALUE"""),0.0)</f>
        <v>0</v>
      </c>
    </row>
    <row r="1248" ht="15.75" customHeight="1">
      <c r="A1248" s="2">
        <f>IFERROR(__xludf.DUMMYFUNCTION("""COMPUTED_VALUE"""),45294.0)</f>
        <v>45294</v>
      </c>
      <c r="B1248" s="2" t="str">
        <f>IFERROR(__xludf.DUMMYFUNCTION("""COMPUTED_VALUE"""),"TOTAL")</f>
        <v>TOTAL</v>
      </c>
      <c r="C1248" s="2"/>
    </row>
    <row r="1249" ht="15.75" customHeight="1">
      <c r="A1249" s="2">
        <f>IFERROR(__xludf.DUMMYFUNCTION("""COMPUTED_VALUE"""),45294.0)</f>
        <v>45294</v>
      </c>
      <c r="B1249" s="2" t="str">
        <f>IFERROR(__xludf.DUMMYFUNCTION("""COMPUTED_VALUE"""),"Collective Learning")</f>
        <v>Collective Learning</v>
      </c>
      <c r="C1249" s="2"/>
    </row>
    <row r="1250" ht="15.75" customHeight="1">
      <c r="A1250" s="2">
        <f>IFERROR(__xludf.DUMMYFUNCTION("""COMPUTED_VALUE"""),45294.0)</f>
        <v>45294</v>
      </c>
      <c r="B1250" s="2" t="str">
        <f>IFERROR(__xludf.DUMMYFUNCTION("""COMPUTED_VALUE"""),"NOTES")</f>
        <v>NOTES</v>
      </c>
      <c r="C1250" s="2"/>
    </row>
    <row r="1251" ht="15.75" customHeight="1">
      <c r="A1251" s="2">
        <f>IFERROR(__xludf.DUMMYFUNCTION("""COMPUTED_VALUE"""),45301.0)</f>
        <v>45301</v>
      </c>
      <c r="B1251" s="2" t="str">
        <f>IFERROR(__xludf.DUMMYFUNCTION("""COMPUTED_VALUE"""),"# of Sandwiches")</f>
        <v># of Sandwiches</v>
      </c>
      <c r="C1251" s="2">
        <f>IFERROR(__xludf.DUMMYFUNCTION("""COMPUTED_VALUE"""),7090.0)</f>
        <v>7090</v>
      </c>
    </row>
    <row r="1252" ht="15.75" customHeight="1">
      <c r="A1252" s="2">
        <f>IFERROR(__xludf.DUMMYFUNCTION("""COMPUTED_VALUE"""),45301.0)</f>
        <v>45301</v>
      </c>
      <c r="B1252" s="2" t="str">
        <f>IFERROR(__xludf.DUMMYFUNCTION("""COMPUTED_VALUE"""),"ALPHARETTA")</f>
        <v>ALPHARETTA</v>
      </c>
      <c r="C1252" s="2">
        <f>IFERROR(__xludf.DUMMYFUNCTION("""COMPUTED_VALUE"""),2000.0)</f>
        <v>2000</v>
      </c>
    </row>
    <row r="1253" ht="15.75" customHeight="1">
      <c r="A1253" s="2">
        <f>IFERROR(__xludf.DUMMYFUNCTION("""COMPUTED_VALUE"""),45301.0)</f>
        <v>45301</v>
      </c>
      <c r="B1253" s="2" t="str">
        <f>IFERROR(__xludf.DUMMYFUNCTION("""COMPUTED_VALUE"""),"PREVIOUS BUCKHEAD")</f>
        <v>PREVIOUS BUCKHEAD</v>
      </c>
      <c r="C1253" s="2"/>
    </row>
    <row r="1254" ht="15.75" customHeight="1">
      <c r="A1254" s="2">
        <f>IFERROR(__xludf.DUMMYFUNCTION("""COMPUTED_VALUE"""),45301.0)</f>
        <v>45301</v>
      </c>
      <c r="B1254" s="2" t="str">
        <f>IFERROR(__xludf.DUMMYFUNCTION("""COMPUTED_VALUE"""),"PREVIOUS OAK GROVE")</f>
        <v>PREVIOUS OAK GROVE</v>
      </c>
      <c r="C1254" s="2"/>
    </row>
    <row r="1255" ht="15.75" customHeight="1">
      <c r="A1255" s="2">
        <f>IFERROR(__xludf.DUMMYFUNCTION("""COMPUTED_VALUE"""),45301.0)</f>
        <v>45301</v>
      </c>
      <c r="B1255" s="2" t="str">
        <f>IFERROR(__xludf.DUMMYFUNCTION("""COMPUTED_VALUE"""),"DUNWOODY/PTC ")</f>
        <v>DUNWOODY/PTC </v>
      </c>
      <c r="C1255" s="2">
        <f>IFERROR(__xludf.DUMMYFUNCTION("""COMPUTED_VALUE"""),2160.0)</f>
        <v>2160</v>
      </c>
    </row>
    <row r="1256" ht="15.75" customHeight="1">
      <c r="A1256" s="2">
        <f>IFERROR(__xludf.DUMMYFUNCTION("""COMPUTED_VALUE"""),45301.0)</f>
        <v>45301</v>
      </c>
      <c r="B1256" s="2" t="str">
        <f>IFERROR(__xludf.DUMMYFUNCTION("""COMPUTED_VALUE"""),"E COBB/ROSWELL")</f>
        <v>E COBB/ROSWELL</v>
      </c>
      <c r="C1256" s="2">
        <f>IFERROR(__xludf.DUMMYFUNCTION("""COMPUTED_VALUE"""),1162.0)</f>
        <v>1162</v>
      </c>
    </row>
    <row r="1257" ht="15.75" customHeight="1">
      <c r="A1257" s="2">
        <f>IFERROR(__xludf.DUMMYFUNCTION("""COMPUTED_VALUE"""),45301.0)</f>
        <v>45301</v>
      </c>
      <c r="B1257" s="2" t="str">
        <f>IFERROR(__xludf.DUMMYFUNCTION("""COMPUTED_VALUE"""),"DECATUR")</f>
        <v>DECATUR</v>
      </c>
      <c r="C1257" s="2">
        <f>IFERROR(__xludf.DUMMYFUNCTION("""COMPUTED_VALUE"""),102.0)</f>
        <v>102</v>
      </c>
    </row>
    <row r="1258" ht="15.75" customHeight="1">
      <c r="A1258" s="2">
        <f>IFERROR(__xludf.DUMMYFUNCTION("""COMPUTED_VALUE"""),45301.0)</f>
        <v>45301</v>
      </c>
      <c r="B1258" s="2" t="str">
        <f>IFERROR(__xludf.DUMMYFUNCTION("""COMPUTED_VALUE"""),"P'TREE CORNERS ")</f>
        <v>P'TREE CORNERS </v>
      </c>
      <c r="C1258" s="2"/>
    </row>
    <row r="1259" ht="15.75" customHeight="1">
      <c r="A1259" s="2">
        <f>IFERROR(__xludf.DUMMYFUNCTION("""COMPUTED_VALUE"""),45301.0)</f>
        <v>45301</v>
      </c>
      <c r="B1259" s="2" t="str">
        <f>IFERROR(__xludf.DUMMYFUNCTION("""COMPUTED_VALUE"""),"UGA/Athens")</f>
        <v>UGA/Athens</v>
      </c>
      <c r="C1259" s="2"/>
    </row>
    <row r="1260" ht="15.75" customHeight="1">
      <c r="A1260" s="2">
        <f>IFERROR(__xludf.DUMMYFUNCTION("""COMPUTED_VALUE"""),45301.0)</f>
        <v>45301</v>
      </c>
      <c r="B1260" s="2" t="str">
        <f>IFERROR(__xludf.DUMMYFUNCTION("""COMPUTED_VALUE"""),"SANDY SPRINGS ")</f>
        <v>SANDY SPRINGS </v>
      </c>
      <c r="C1260" s="2">
        <f>IFERROR(__xludf.DUMMYFUNCTION("""COMPUTED_VALUE"""),771.0)</f>
        <v>771</v>
      </c>
    </row>
    <row r="1261" ht="15.75" customHeight="1">
      <c r="A1261" s="2">
        <f>IFERROR(__xludf.DUMMYFUNCTION("""COMPUTED_VALUE"""),45301.0)</f>
        <v>45301</v>
      </c>
      <c r="B1261" s="2" t="str">
        <f>IFERROR(__xludf.DUMMYFUNCTION("""COMPUTED_VALUE"""),"INTOWN/DRUID HILLS ")</f>
        <v>INTOWN/DRUID HILLS </v>
      </c>
      <c r="C1261" s="2">
        <f>IFERROR(__xludf.DUMMYFUNCTION("""COMPUTED_VALUE"""),225.0)</f>
        <v>225</v>
      </c>
    </row>
    <row r="1262" ht="15.75" customHeight="1">
      <c r="A1262" s="2">
        <f>IFERROR(__xludf.DUMMYFUNCTION("""COMPUTED_VALUE"""),45301.0)</f>
        <v>45301</v>
      </c>
      <c r="B1262" s="2" t="str">
        <f>IFERROR(__xludf.DUMMYFUNCTION("""COMPUTED_VALUE"""),"SNELLVILLE")</f>
        <v>SNELLVILLE</v>
      </c>
      <c r="C1262" s="2">
        <f>IFERROR(__xludf.DUMMYFUNCTION("""COMPUTED_VALUE"""),185.0)</f>
        <v>185</v>
      </c>
    </row>
    <row r="1263" ht="15.75" customHeight="1">
      <c r="A1263" s="2">
        <f>IFERROR(__xludf.DUMMYFUNCTION("""COMPUTED_VALUE"""),45301.0)</f>
        <v>45301</v>
      </c>
      <c r="B1263" s="2" t="str">
        <f>IFERROR(__xludf.DUMMYFUNCTION("""COMPUTED_VALUE"""),"GROUPS")</f>
        <v>GROUPS</v>
      </c>
      <c r="C1263" s="2"/>
    </row>
    <row r="1264" ht="15.75" customHeight="1">
      <c r="A1264" s="2">
        <f>IFERROR(__xludf.DUMMYFUNCTION("""COMPUTED_VALUE"""),45301.0)</f>
        <v>45301</v>
      </c>
      <c r="B1264" s="2" t="str">
        <f>IFERROR(__xludf.DUMMYFUNCTION("""COMPUTED_VALUE"""),"Previous Woodstock")</f>
        <v>Previous Woodstock</v>
      </c>
      <c r="C1264" s="2"/>
    </row>
    <row r="1265" ht="15.75" customHeight="1">
      <c r="A1265" s="2">
        <f>IFERROR(__xludf.DUMMYFUNCTION("""COMPUTED_VALUE"""),45301.0)</f>
        <v>45301</v>
      </c>
      <c r="B1265" s="2" t="str">
        <f>IFERROR(__xludf.DUMMYFUNCTION("""COMPUTED_VALUE"""),"Previous Lenox/Brookhaven")</f>
        <v>Previous Lenox/Brookhaven</v>
      </c>
      <c r="C1265" s="2"/>
    </row>
    <row r="1266" ht="15.75" customHeight="1">
      <c r="A1266" s="2">
        <f>IFERROR(__xludf.DUMMYFUNCTION("""COMPUTED_VALUE"""),45301.0)</f>
        <v>45301</v>
      </c>
      <c r="B1266" s="2" t="str">
        <f>IFERROR(__xludf.DUMMYFUNCTION("""COMPUTED_VALUE"""),"Previous New Chastain")</f>
        <v>Previous New Chastain</v>
      </c>
      <c r="C1266" s="2"/>
    </row>
    <row r="1267" ht="15.75" customHeight="1">
      <c r="A1267" s="2">
        <f>IFERROR(__xludf.DUMMYFUNCTION("""COMPUTED_VALUE"""),45301.0)</f>
        <v>45301</v>
      </c>
      <c r="B1267" s="2" t="str">
        <f>IFERROR(__xludf.DUMMYFUNCTION("""COMPUTED_VALUE"""),"Previous Glenwood Park")</f>
        <v>Previous Glenwood Park</v>
      </c>
      <c r="C1267" s="2"/>
    </row>
    <row r="1268" ht="15.75" customHeight="1">
      <c r="A1268" s="2">
        <f>IFERROR(__xludf.DUMMYFUNCTION("""COMPUTED_VALUE"""),45301.0)</f>
        <v>45301</v>
      </c>
      <c r="B1268" s="2" t="str">
        <f>IFERROR(__xludf.DUMMYFUNCTION("""COMPUTED_VALUE"""),"FLOWERY BRANCH")</f>
        <v>FLOWERY BRANCH</v>
      </c>
      <c r="C1268" s="2">
        <f>IFERROR(__xludf.DUMMYFUNCTION("""COMPUTED_VALUE"""),0.0)</f>
        <v>0</v>
      </c>
    </row>
    <row r="1269" ht="15.75" customHeight="1">
      <c r="A1269" s="2">
        <f>IFERROR(__xludf.DUMMYFUNCTION("""COMPUTED_VALUE"""),45301.0)</f>
        <v>45301</v>
      </c>
      <c r="B1269" s="2" t="str">
        <f>IFERROR(__xludf.DUMMYFUNCTION("""COMPUTED_VALUE"""),"GROUPS ")</f>
        <v>GROUPS </v>
      </c>
      <c r="C1269" s="2">
        <f>IFERROR(__xludf.DUMMYFUNCTION("""COMPUTED_VALUE"""),485.0)</f>
        <v>485</v>
      </c>
    </row>
    <row r="1270" ht="15.75" customHeight="1">
      <c r="A1270" s="2">
        <f>IFERROR(__xludf.DUMMYFUNCTION("""COMPUTED_VALUE"""),45301.0)</f>
        <v>45301</v>
      </c>
      <c r="B1270" s="2" t="str">
        <f>IFERROR(__xludf.DUMMYFUNCTION("""COMPUTED_VALUE"""),"TOTAL")</f>
        <v>TOTAL</v>
      </c>
      <c r="C1270" s="2"/>
    </row>
    <row r="1271" ht="15.75" customHeight="1">
      <c r="A1271" s="2">
        <f>IFERROR(__xludf.DUMMYFUNCTION("""COMPUTED_VALUE"""),45301.0)</f>
        <v>45301</v>
      </c>
      <c r="B1271" s="2" t="str">
        <f>IFERROR(__xludf.DUMMYFUNCTION("""COMPUTED_VALUE"""),"Collective Learning")</f>
        <v>Collective Learning</v>
      </c>
      <c r="C1271" s="2"/>
    </row>
    <row r="1272" ht="15.75" customHeight="1">
      <c r="A1272" s="2">
        <f>IFERROR(__xludf.DUMMYFUNCTION("""COMPUTED_VALUE"""),45301.0)</f>
        <v>45301</v>
      </c>
      <c r="B1272" s="2" t="str">
        <f>IFERROR(__xludf.DUMMYFUNCTION("""COMPUTED_VALUE"""),"NOTES")</f>
        <v>NOTES</v>
      </c>
      <c r="C1272" s="2"/>
    </row>
    <row r="1273" ht="15.75" customHeight="1">
      <c r="A1273" s="2">
        <f>IFERROR(__xludf.DUMMYFUNCTION("""COMPUTED_VALUE"""),45308.0)</f>
        <v>45308</v>
      </c>
      <c r="B1273" s="2" t="str">
        <f>IFERROR(__xludf.DUMMYFUNCTION("""COMPUTED_VALUE"""),"# of Sandwiches")</f>
        <v># of Sandwiches</v>
      </c>
      <c r="C1273" s="2">
        <f>IFERROR(__xludf.DUMMYFUNCTION("""COMPUTED_VALUE"""),19130.0)</f>
        <v>19130</v>
      </c>
    </row>
    <row r="1274" ht="15.75" customHeight="1">
      <c r="A1274" s="2">
        <f>IFERROR(__xludf.DUMMYFUNCTION("""COMPUTED_VALUE"""),45308.0)</f>
        <v>45308</v>
      </c>
      <c r="B1274" s="2" t="str">
        <f>IFERROR(__xludf.DUMMYFUNCTION("""COMPUTED_VALUE"""),"ALPHARETTA")</f>
        <v>ALPHARETTA</v>
      </c>
      <c r="C1274" s="2">
        <f>IFERROR(__xludf.DUMMYFUNCTION("""COMPUTED_VALUE"""),905.0)</f>
        <v>905</v>
      </c>
    </row>
    <row r="1275" ht="15.75" customHeight="1">
      <c r="A1275" s="2">
        <f>IFERROR(__xludf.DUMMYFUNCTION("""COMPUTED_VALUE"""),45308.0)</f>
        <v>45308</v>
      </c>
      <c r="B1275" s="2" t="str">
        <f>IFERROR(__xludf.DUMMYFUNCTION("""COMPUTED_VALUE"""),"PREVIOUS BUCKHEAD")</f>
        <v>PREVIOUS BUCKHEAD</v>
      </c>
      <c r="C1275" s="2"/>
    </row>
    <row r="1276" ht="15.75" customHeight="1">
      <c r="A1276" s="2">
        <f>IFERROR(__xludf.DUMMYFUNCTION("""COMPUTED_VALUE"""),45308.0)</f>
        <v>45308</v>
      </c>
      <c r="B1276" s="2" t="str">
        <f>IFERROR(__xludf.DUMMYFUNCTION("""COMPUTED_VALUE"""),"PREVIOUS OAK GROVE")</f>
        <v>PREVIOUS OAK GROVE</v>
      </c>
      <c r="C1276" s="2"/>
    </row>
    <row r="1277" ht="15.75" customHeight="1">
      <c r="A1277" s="2">
        <f>IFERROR(__xludf.DUMMYFUNCTION("""COMPUTED_VALUE"""),45308.0)</f>
        <v>45308</v>
      </c>
      <c r="B1277" s="2" t="str">
        <f>IFERROR(__xludf.DUMMYFUNCTION("""COMPUTED_VALUE"""),"DUNWOODY/PTC ")</f>
        <v>DUNWOODY/PTC </v>
      </c>
      <c r="C1277" s="2">
        <f>IFERROR(__xludf.DUMMYFUNCTION("""COMPUTED_VALUE"""),1570.0)</f>
        <v>1570</v>
      </c>
    </row>
    <row r="1278" ht="15.75" customHeight="1">
      <c r="A1278" s="2">
        <f>IFERROR(__xludf.DUMMYFUNCTION("""COMPUTED_VALUE"""),45308.0)</f>
        <v>45308</v>
      </c>
      <c r="B1278" s="2" t="str">
        <f>IFERROR(__xludf.DUMMYFUNCTION("""COMPUTED_VALUE"""),"E COBB/ROSWELL")</f>
        <v>E COBB/ROSWELL</v>
      </c>
      <c r="C1278" s="2">
        <f>IFERROR(__xludf.DUMMYFUNCTION("""COMPUTED_VALUE"""),1297.0)</f>
        <v>1297</v>
      </c>
    </row>
    <row r="1279" ht="15.75" customHeight="1">
      <c r="A1279" s="2">
        <f>IFERROR(__xludf.DUMMYFUNCTION("""COMPUTED_VALUE"""),45308.0)</f>
        <v>45308</v>
      </c>
      <c r="B1279" s="2" t="str">
        <f>IFERROR(__xludf.DUMMYFUNCTION("""COMPUTED_VALUE"""),"DECATUR")</f>
        <v>DECATUR</v>
      </c>
      <c r="C1279" s="2">
        <f>IFERROR(__xludf.DUMMYFUNCTION("""COMPUTED_VALUE"""),320.0)</f>
        <v>320</v>
      </c>
    </row>
    <row r="1280" ht="15.75" customHeight="1">
      <c r="A1280" s="2">
        <f>IFERROR(__xludf.DUMMYFUNCTION("""COMPUTED_VALUE"""),45308.0)</f>
        <v>45308</v>
      </c>
      <c r="B1280" s="2" t="str">
        <f>IFERROR(__xludf.DUMMYFUNCTION("""COMPUTED_VALUE"""),"P'TREE CORNERS ")</f>
        <v>P'TREE CORNERS </v>
      </c>
      <c r="C1280" s="2"/>
    </row>
    <row r="1281" ht="15.75" customHeight="1">
      <c r="A1281" s="2">
        <f>IFERROR(__xludf.DUMMYFUNCTION("""COMPUTED_VALUE"""),45308.0)</f>
        <v>45308</v>
      </c>
      <c r="B1281" s="2" t="str">
        <f>IFERROR(__xludf.DUMMYFUNCTION("""COMPUTED_VALUE"""),"UGA/Athens")</f>
        <v>UGA/Athens</v>
      </c>
      <c r="C1281" s="2"/>
    </row>
    <row r="1282" ht="15.75" customHeight="1">
      <c r="A1282" s="2">
        <f>IFERROR(__xludf.DUMMYFUNCTION("""COMPUTED_VALUE"""),45308.0)</f>
        <v>45308</v>
      </c>
      <c r="B1282" s="2" t="str">
        <f>IFERROR(__xludf.DUMMYFUNCTION("""COMPUTED_VALUE"""),"SANDY SPRINGS ")</f>
        <v>SANDY SPRINGS </v>
      </c>
      <c r="C1282" s="2">
        <f>IFERROR(__xludf.DUMMYFUNCTION("""COMPUTED_VALUE"""),1013.0)</f>
        <v>1013</v>
      </c>
    </row>
    <row r="1283" ht="15.75" customHeight="1">
      <c r="A1283" s="2">
        <f>IFERROR(__xludf.DUMMYFUNCTION("""COMPUTED_VALUE"""),45308.0)</f>
        <v>45308</v>
      </c>
      <c r="B1283" s="2" t="str">
        <f>IFERROR(__xludf.DUMMYFUNCTION("""COMPUTED_VALUE"""),"INTOWN/DRUID HILLS ")</f>
        <v>INTOWN/DRUID HILLS </v>
      </c>
      <c r="C1283" s="2">
        <f>IFERROR(__xludf.DUMMYFUNCTION("""COMPUTED_VALUE"""),1208.0)</f>
        <v>1208</v>
      </c>
    </row>
    <row r="1284" ht="15.75" customHeight="1">
      <c r="A1284" s="2">
        <f>IFERROR(__xludf.DUMMYFUNCTION("""COMPUTED_VALUE"""),45308.0)</f>
        <v>45308</v>
      </c>
      <c r="B1284" s="2" t="str">
        <f>IFERROR(__xludf.DUMMYFUNCTION("""COMPUTED_VALUE"""),"SNELLVILLE")</f>
        <v>SNELLVILLE</v>
      </c>
      <c r="C1284" s="2">
        <f>IFERROR(__xludf.DUMMYFUNCTION("""COMPUTED_VALUE"""),85.0)</f>
        <v>85</v>
      </c>
    </row>
    <row r="1285" ht="15.75" customHeight="1">
      <c r="A1285" s="2">
        <f>IFERROR(__xludf.DUMMYFUNCTION("""COMPUTED_VALUE"""),45308.0)</f>
        <v>45308</v>
      </c>
      <c r="B1285" s="2" t="str">
        <f>IFERROR(__xludf.DUMMYFUNCTION("""COMPUTED_VALUE"""),"GROUPS")</f>
        <v>GROUPS</v>
      </c>
      <c r="C1285" s="2"/>
    </row>
    <row r="1286" ht="15.75" customHeight="1">
      <c r="A1286" s="2">
        <f>IFERROR(__xludf.DUMMYFUNCTION("""COMPUTED_VALUE"""),45308.0)</f>
        <v>45308</v>
      </c>
      <c r="B1286" s="2" t="str">
        <f>IFERROR(__xludf.DUMMYFUNCTION("""COMPUTED_VALUE"""),"Previous Woodstock")</f>
        <v>Previous Woodstock</v>
      </c>
      <c r="C1286" s="2"/>
    </row>
    <row r="1287" ht="15.75" customHeight="1">
      <c r="A1287" s="2">
        <f>IFERROR(__xludf.DUMMYFUNCTION("""COMPUTED_VALUE"""),45308.0)</f>
        <v>45308</v>
      </c>
      <c r="B1287" s="2" t="str">
        <f>IFERROR(__xludf.DUMMYFUNCTION("""COMPUTED_VALUE"""),"Previous Lenox/Brookhaven")</f>
        <v>Previous Lenox/Brookhaven</v>
      </c>
      <c r="C1287" s="2"/>
    </row>
    <row r="1288" ht="15.75" customHeight="1">
      <c r="A1288" s="2">
        <f>IFERROR(__xludf.DUMMYFUNCTION("""COMPUTED_VALUE"""),45308.0)</f>
        <v>45308</v>
      </c>
      <c r="B1288" s="2" t="str">
        <f>IFERROR(__xludf.DUMMYFUNCTION("""COMPUTED_VALUE"""),"Previous New Chastain")</f>
        <v>Previous New Chastain</v>
      </c>
      <c r="C1288" s="2"/>
    </row>
    <row r="1289" ht="15.75" customHeight="1">
      <c r="A1289" s="2">
        <f>IFERROR(__xludf.DUMMYFUNCTION("""COMPUTED_VALUE"""),45308.0)</f>
        <v>45308</v>
      </c>
      <c r="B1289" s="2" t="str">
        <f>IFERROR(__xludf.DUMMYFUNCTION("""COMPUTED_VALUE"""),"Previous Glenwood Park")</f>
        <v>Previous Glenwood Park</v>
      </c>
      <c r="C1289" s="2"/>
    </row>
    <row r="1290" ht="15.75" customHeight="1">
      <c r="A1290" s="2">
        <f>IFERROR(__xludf.DUMMYFUNCTION("""COMPUTED_VALUE"""),45308.0)</f>
        <v>45308</v>
      </c>
      <c r="B1290" s="2" t="str">
        <f>IFERROR(__xludf.DUMMYFUNCTION("""COMPUTED_VALUE"""),"FLOWERY BRANCH")</f>
        <v>FLOWERY BRANCH</v>
      </c>
      <c r="C1290" s="2">
        <f>IFERROR(__xludf.DUMMYFUNCTION("""COMPUTED_VALUE"""),480.0)</f>
        <v>480</v>
      </c>
    </row>
    <row r="1291" ht="15.75" customHeight="1">
      <c r="A1291" s="2">
        <f>IFERROR(__xludf.DUMMYFUNCTION("""COMPUTED_VALUE"""),45308.0)</f>
        <v>45308</v>
      </c>
      <c r="B1291" s="2" t="str">
        <f>IFERROR(__xludf.DUMMYFUNCTION("""COMPUTED_VALUE"""),"GROUPS ")</f>
        <v>GROUPS </v>
      </c>
      <c r="C1291" s="2">
        <f>IFERROR(__xludf.DUMMYFUNCTION("""COMPUTED_VALUE"""),12252.0)</f>
        <v>12252</v>
      </c>
    </row>
    <row r="1292" ht="15.75" customHeight="1">
      <c r="A1292" s="2">
        <f>IFERROR(__xludf.DUMMYFUNCTION("""COMPUTED_VALUE"""),45308.0)</f>
        <v>45308</v>
      </c>
      <c r="B1292" s="2" t="str">
        <f>IFERROR(__xludf.DUMMYFUNCTION("""COMPUTED_VALUE"""),"TOTAL")</f>
        <v>TOTAL</v>
      </c>
      <c r="C1292" s="2"/>
    </row>
    <row r="1293" ht="15.75" customHeight="1">
      <c r="A1293" s="2">
        <f>IFERROR(__xludf.DUMMYFUNCTION("""COMPUTED_VALUE"""),45308.0)</f>
        <v>45308</v>
      </c>
      <c r="B1293" s="2" t="str">
        <f>IFERROR(__xludf.DUMMYFUNCTION("""COMPUTED_VALUE"""),"Collective Learning")</f>
        <v>Collective Learning</v>
      </c>
      <c r="C1293" s="2"/>
    </row>
    <row r="1294" ht="15.75" customHeight="1">
      <c r="A1294" s="2">
        <f>IFERROR(__xludf.DUMMYFUNCTION("""COMPUTED_VALUE"""),45308.0)</f>
        <v>45308</v>
      </c>
      <c r="B1294" s="2" t="str">
        <f>IFERROR(__xludf.DUMMYFUNCTION("""COMPUTED_VALUE"""),"NOTES")</f>
        <v>NOTES</v>
      </c>
      <c r="C1294" s="2"/>
    </row>
    <row r="1295" ht="15.75" customHeight="1">
      <c r="A1295" s="2">
        <f>IFERROR(__xludf.DUMMYFUNCTION("""COMPUTED_VALUE"""),45315.0)</f>
        <v>45315</v>
      </c>
      <c r="B1295" s="2" t="str">
        <f>IFERROR(__xludf.DUMMYFUNCTION("""COMPUTED_VALUE"""),"# of Sandwiches")</f>
        <v># of Sandwiches</v>
      </c>
      <c r="C1295" s="2">
        <f>IFERROR(__xludf.DUMMYFUNCTION("""COMPUTED_VALUE"""),8454.0)</f>
        <v>8454</v>
      </c>
    </row>
    <row r="1296" ht="15.75" customHeight="1">
      <c r="A1296" s="2">
        <f>IFERROR(__xludf.DUMMYFUNCTION("""COMPUTED_VALUE"""),45315.0)</f>
        <v>45315</v>
      </c>
      <c r="B1296" s="2" t="str">
        <f>IFERROR(__xludf.DUMMYFUNCTION("""COMPUTED_VALUE"""),"ALPHARETTA")</f>
        <v>ALPHARETTA</v>
      </c>
      <c r="C1296" s="2">
        <f>IFERROR(__xludf.DUMMYFUNCTION("""COMPUTED_VALUE"""),1788.0)</f>
        <v>1788</v>
      </c>
    </row>
    <row r="1297" ht="15.75" customHeight="1">
      <c r="A1297" s="2">
        <f>IFERROR(__xludf.DUMMYFUNCTION("""COMPUTED_VALUE"""),45315.0)</f>
        <v>45315</v>
      </c>
      <c r="B1297" s="2" t="str">
        <f>IFERROR(__xludf.DUMMYFUNCTION("""COMPUTED_VALUE"""),"PREVIOUS BUCKHEAD")</f>
        <v>PREVIOUS BUCKHEAD</v>
      </c>
      <c r="C1297" s="2"/>
    </row>
    <row r="1298" ht="15.75" customHeight="1">
      <c r="A1298" s="2">
        <f>IFERROR(__xludf.DUMMYFUNCTION("""COMPUTED_VALUE"""),45315.0)</f>
        <v>45315</v>
      </c>
      <c r="B1298" s="2" t="str">
        <f>IFERROR(__xludf.DUMMYFUNCTION("""COMPUTED_VALUE"""),"PREVIOUS OAK GROVE")</f>
        <v>PREVIOUS OAK GROVE</v>
      </c>
      <c r="C1298" s="2"/>
    </row>
    <row r="1299" ht="15.75" customHeight="1">
      <c r="A1299" s="2">
        <f>IFERROR(__xludf.DUMMYFUNCTION("""COMPUTED_VALUE"""),45315.0)</f>
        <v>45315</v>
      </c>
      <c r="B1299" s="2" t="str">
        <f>IFERROR(__xludf.DUMMYFUNCTION("""COMPUTED_VALUE"""),"DUNWOODY/PTC ")</f>
        <v>DUNWOODY/PTC </v>
      </c>
      <c r="C1299" s="2">
        <f>IFERROR(__xludf.DUMMYFUNCTION("""COMPUTED_VALUE"""),1885.0)</f>
        <v>1885</v>
      </c>
    </row>
    <row r="1300" ht="15.75" customHeight="1">
      <c r="A1300" s="2">
        <f>IFERROR(__xludf.DUMMYFUNCTION("""COMPUTED_VALUE"""),45315.0)</f>
        <v>45315</v>
      </c>
      <c r="B1300" s="2" t="str">
        <f>IFERROR(__xludf.DUMMYFUNCTION("""COMPUTED_VALUE"""),"E COBB/ROSWELL")</f>
        <v>E COBB/ROSWELL</v>
      </c>
      <c r="C1300" s="2">
        <f>IFERROR(__xludf.DUMMYFUNCTION("""COMPUTED_VALUE"""),1278.0)</f>
        <v>1278</v>
      </c>
    </row>
    <row r="1301" ht="15.75" customHeight="1">
      <c r="A1301" s="2">
        <f>IFERROR(__xludf.DUMMYFUNCTION("""COMPUTED_VALUE"""),45315.0)</f>
        <v>45315</v>
      </c>
      <c r="B1301" s="2" t="str">
        <f>IFERROR(__xludf.DUMMYFUNCTION("""COMPUTED_VALUE"""),"DECATUR")</f>
        <v>DECATUR</v>
      </c>
      <c r="C1301" s="2">
        <f>IFERROR(__xludf.DUMMYFUNCTION("""COMPUTED_VALUE"""),82.0)</f>
        <v>82</v>
      </c>
    </row>
    <row r="1302" ht="15.75" customHeight="1">
      <c r="A1302" s="2">
        <f>IFERROR(__xludf.DUMMYFUNCTION("""COMPUTED_VALUE"""),45315.0)</f>
        <v>45315</v>
      </c>
      <c r="B1302" s="2" t="str">
        <f>IFERROR(__xludf.DUMMYFUNCTION("""COMPUTED_VALUE"""),"P'TREE CORNERS ")</f>
        <v>P'TREE CORNERS </v>
      </c>
      <c r="C1302" s="2"/>
    </row>
    <row r="1303" ht="15.75" customHeight="1">
      <c r="A1303" s="2">
        <f>IFERROR(__xludf.DUMMYFUNCTION("""COMPUTED_VALUE"""),45315.0)</f>
        <v>45315</v>
      </c>
      <c r="B1303" s="2" t="str">
        <f>IFERROR(__xludf.DUMMYFUNCTION("""COMPUTED_VALUE"""),"UGA/Athens")</f>
        <v>UGA/Athens</v>
      </c>
      <c r="C1303" s="2"/>
    </row>
    <row r="1304" ht="15.75" customHeight="1">
      <c r="A1304" s="2">
        <f>IFERROR(__xludf.DUMMYFUNCTION("""COMPUTED_VALUE"""),45315.0)</f>
        <v>45315</v>
      </c>
      <c r="B1304" s="2" t="str">
        <f>IFERROR(__xludf.DUMMYFUNCTION("""COMPUTED_VALUE"""),"SANDY SPRINGS ")</f>
        <v>SANDY SPRINGS </v>
      </c>
      <c r="C1304" s="2">
        <f>IFERROR(__xludf.DUMMYFUNCTION("""COMPUTED_VALUE"""),700.0)</f>
        <v>700</v>
      </c>
    </row>
    <row r="1305" ht="15.75" customHeight="1">
      <c r="A1305" s="2">
        <f>IFERROR(__xludf.DUMMYFUNCTION("""COMPUTED_VALUE"""),45315.0)</f>
        <v>45315</v>
      </c>
      <c r="B1305" s="2" t="str">
        <f>IFERROR(__xludf.DUMMYFUNCTION("""COMPUTED_VALUE"""),"INTOWN/DRUID HILLS ")</f>
        <v>INTOWN/DRUID HILLS </v>
      </c>
      <c r="C1305" s="2">
        <f>IFERROR(__xludf.DUMMYFUNCTION("""COMPUTED_VALUE"""),823.0)</f>
        <v>823</v>
      </c>
    </row>
    <row r="1306" ht="15.75" customHeight="1">
      <c r="A1306" s="2">
        <f>IFERROR(__xludf.DUMMYFUNCTION("""COMPUTED_VALUE"""),45315.0)</f>
        <v>45315</v>
      </c>
      <c r="B1306" s="2" t="str">
        <f>IFERROR(__xludf.DUMMYFUNCTION("""COMPUTED_VALUE"""),"SNELLVILLE")</f>
        <v>SNELLVILLE</v>
      </c>
      <c r="C1306" s="2">
        <f>IFERROR(__xludf.DUMMYFUNCTION("""COMPUTED_VALUE"""),180.0)</f>
        <v>180</v>
      </c>
    </row>
    <row r="1307" ht="15.75" customHeight="1">
      <c r="A1307" s="2">
        <f>IFERROR(__xludf.DUMMYFUNCTION("""COMPUTED_VALUE"""),45315.0)</f>
        <v>45315</v>
      </c>
      <c r="B1307" s="2" t="str">
        <f>IFERROR(__xludf.DUMMYFUNCTION("""COMPUTED_VALUE"""),"GROUPS")</f>
        <v>GROUPS</v>
      </c>
      <c r="C1307" s="2"/>
    </row>
    <row r="1308" ht="15.75" customHeight="1">
      <c r="A1308" s="2">
        <f>IFERROR(__xludf.DUMMYFUNCTION("""COMPUTED_VALUE"""),45315.0)</f>
        <v>45315</v>
      </c>
      <c r="B1308" s="2" t="str">
        <f>IFERROR(__xludf.DUMMYFUNCTION("""COMPUTED_VALUE"""),"Previous Woodstock")</f>
        <v>Previous Woodstock</v>
      </c>
      <c r="C1308" s="2"/>
    </row>
    <row r="1309" ht="15.75" customHeight="1">
      <c r="A1309" s="2">
        <f>IFERROR(__xludf.DUMMYFUNCTION("""COMPUTED_VALUE"""),45315.0)</f>
        <v>45315</v>
      </c>
      <c r="B1309" s="2" t="str">
        <f>IFERROR(__xludf.DUMMYFUNCTION("""COMPUTED_VALUE"""),"Previous Lenox/Brookhaven")</f>
        <v>Previous Lenox/Brookhaven</v>
      </c>
      <c r="C1309" s="2"/>
    </row>
    <row r="1310" ht="15.75" customHeight="1">
      <c r="A1310" s="2">
        <f>IFERROR(__xludf.DUMMYFUNCTION("""COMPUTED_VALUE"""),45315.0)</f>
        <v>45315</v>
      </c>
      <c r="B1310" s="2" t="str">
        <f>IFERROR(__xludf.DUMMYFUNCTION("""COMPUTED_VALUE"""),"Previous New Chastain")</f>
        <v>Previous New Chastain</v>
      </c>
      <c r="C1310" s="2"/>
    </row>
    <row r="1311" ht="15.75" customHeight="1">
      <c r="A1311" s="2">
        <f>IFERROR(__xludf.DUMMYFUNCTION("""COMPUTED_VALUE"""),45315.0)</f>
        <v>45315</v>
      </c>
      <c r="B1311" s="2" t="str">
        <f>IFERROR(__xludf.DUMMYFUNCTION("""COMPUTED_VALUE"""),"Previous Glenwood Park")</f>
        <v>Previous Glenwood Park</v>
      </c>
      <c r="C1311" s="2"/>
    </row>
    <row r="1312" ht="15.75" customHeight="1">
      <c r="A1312" s="2">
        <f>IFERROR(__xludf.DUMMYFUNCTION("""COMPUTED_VALUE"""),45315.0)</f>
        <v>45315</v>
      </c>
      <c r="B1312" s="2" t="str">
        <f>IFERROR(__xludf.DUMMYFUNCTION("""COMPUTED_VALUE"""),"FLOWERY BRANCH")</f>
        <v>FLOWERY BRANCH</v>
      </c>
      <c r="C1312" s="2">
        <f>IFERROR(__xludf.DUMMYFUNCTION("""COMPUTED_VALUE"""),0.0)</f>
        <v>0</v>
      </c>
    </row>
    <row r="1313" ht="15.75" customHeight="1">
      <c r="A1313" s="2">
        <f>IFERROR(__xludf.DUMMYFUNCTION("""COMPUTED_VALUE"""),45315.0)</f>
        <v>45315</v>
      </c>
      <c r="B1313" s="2" t="str">
        <f>IFERROR(__xludf.DUMMYFUNCTION("""COMPUTED_VALUE"""),"GROUPS ")</f>
        <v>GROUPS </v>
      </c>
      <c r="C1313" s="2">
        <f>IFERROR(__xludf.DUMMYFUNCTION("""COMPUTED_VALUE"""),1718.0)</f>
        <v>1718</v>
      </c>
    </row>
    <row r="1314" ht="15.75" customHeight="1">
      <c r="A1314" s="2">
        <f>IFERROR(__xludf.DUMMYFUNCTION("""COMPUTED_VALUE"""),45315.0)</f>
        <v>45315</v>
      </c>
      <c r="B1314" s="2" t="str">
        <f>IFERROR(__xludf.DUMMYFUNCTION("""COMPUTED_VALUE"""),"TOTAL")</f>
        <v>TOTAL</v>
      </c>
      <c r="C1314" s="2"/>
    </row>
    <row r="1315" ht="15.75" customHeight="1">
      <c r="A1315" s="2">
        <f>IFERROR(__xludf.DUMMYFUNCTION("""COMPUTED_VALUE"""),45315.0)</f>
        <v>45315</v>
      </c>
      <c r="B1315" s="2" t="str">
        <f>IFERROR(__xludf.DUMMYFUNCTION("""COMPUTED_VALUE"""),"Collective Learning")</f>
        <v>Collective Learning</v>
      </c>
      <c r="C1315" s="2"/>
    </row>
    <row r="1316" ht="15.75" customHeight="1">
      <c r="A1316" s="2">
        <f>IFERROR(__xludf.DUMMYFUNCTION("""COMPUTED_VALUE"""),45315.0)</f>
        <v>45315</v>
      </c>
      <c r="B1316" s="2" t="str">
        <f>IFERROR(__xludf.DUMMYFUNCTION("""COMPUTED_VALUE"""),"NOTES")</f>
        <v>NOTES</v>
      </c>
      <c r="C1316" s="2"/>
    </row>
    <row r="1317" ht="15.75" customHeight="1">
      <c r="A1317" s="2">
        <f>IFERROR(__xludf.DUMMYFUNCTION("""COMPUTED_VALUE"""),45322.0)</f>
        <v>45322</v>
      </c>
      <c r="B1317" s="2" t="str">
        <f>IFERROR(__xludf.DUMMYFUNCTION("""COMPUTED_VALUE"""),"# of Sandwiches")</f>
        <v># of Sandwiches</v>
      </c>
      <c r="C1317" s="2">
        <f>IFERROR(__xludf.DUMMYFUNCTION("""COMPUTED_VALUE"""),9864.0)</f>
        <v>9864</v>
      </c>
    </row>
    <row r="1318" ht="15.75" customHeight="1">
      <c r="A1318" s="2">
        <f>IFERROR(__xludf.DUMMYFUNCTION("""COMPUTED_VALUE"""),45322.0)</f>
        <v>45322</v>
      </c>
      <c r="B1318" s="2" t="str">
        <f>IFERROR(__xludf.DUMMYFUNCTION("""COMPUTED_VALUE"""),"ALPHARETTA")</f>
        <v>ALPHARETTA</v>
      </c>
      <c r="C1318" s="2">
        <f>IFERROR(__xludf.DUMMYFUNCTION("""COMPUTED_VALUE"""),1859.0)</f>
        <v>1859</v>
      </c>
    </row>
    <row r="1319" ht="15.75" customHeight="1">
      <c r="A1319" s="2">
        <f>IFERROR(__xludf.DUMMYFUNCTION("""COMPUTED_VALUE"""),45322.0)</f>
        <v>45322</v>
      </c>
      <c r="B1319" s="2" t="str">
        <f>IFERROR(__xludf.DUMMYFUNCTION("""COMPUTED_VALUE"""),"PREVIOUS BUCKHEAD")</f>
        <v>PREVIOUS BUCKHEAD</v>
      </c>
      <c r="C1319" s="2"/>
    </row>
    <row r="1320" ht="15.75" customHeight="1">
      <c r="A1320" s="2">
        <f>IFERROR(__xludf.DUMMYFUNCTION("""COMPUTED_VALUE"""),45322.0)</f>
        <v>45322</v>
      </c>
      <c r="B1320" s="2" t="str">
        <f>IFERROR(__xludf.DUMMYFUNCTION("""COMPUTED_VALUE"""),"PREVIOUS OAK GROVE")</f>
        <v>PREVIOUS OAK GROVE</v>
      </c>
      <c r="C1320" s="2"/>
    </row>
    <row r="1321" ht="15.75" customHeight="1">
      <c r="A1321" s="2">
        <f>IFERROR(__xludf.DUMMYFUNCTION("""COMPUTED_VALUE"""),45322.0)</f>
        <v>45322</v>
      </c>
      <c r="B1321" s="2" t="str">
        <f>IFERROR(__xludf.DUMMYFUNCTION("""COMPUTED_VALUE"""),"DUNWOODY/PTC ")</f>
        <v>DUNWOODY/PTC </v>
      </c>
      <c r="C1321" s="2">
        <f>IFERROR(__xludf.DUMMYFUNCTION("""COMPUTED_VALUE"""),1437.0)</f>
        <v>1437</v>
      </c>
    </row>
    <row r="1322" ht="15.75" customHeight="1">
      <c r="A1322" s="2">
        <f>IFERROR(__xludf.DUMMYFUNCTION("""COMPUTED_VALUE"""),45322.0)</f>
        <v>45322</v>
      </c>
      <c r="B1322" s="2" t="str">
        <f>IFERROR(__xludf.DUMMYFUNCTION("""COMPUTED_VALUE"""),"E COBB/ROSWELL")</f>
        <v>E COBB/ROSWELL</v>
      </c>
      <c r="C1322" s="2">
        <f>IFERROR(__xludf.DUMMYFUNCTION("""COMPUTED_VALUE"""),1296.0)</f>
        <v>1296</v>
      </c>
    </row>
    <row r="1323" ht="15.75" customHeight="1">
      <c r="A1323" s="2">
        <f>IFERROR(__xludf.DUMMYFUNCTION("""COMPUTED_VALUE"""),45322.0)</f>
        <v>45322</v>
      </c>
      <c r="B1323" s="2" t="str">
        <f>IFERROR(__xludf.DUMMYFUNCTION("""COMPUTED_VALUE"""),"DECATUR")</f>
        <v>DECATUR</v>
      </c>
      <c r="C1323" s="2">
        <f>IFERROR(__xludf.DUMMYFUNCTION("""COMPUTED_VALUE"""),128.0)</f>
        <v>128</v>
      </c>
    </row>
    <row r="1324" ht="15.75" customHeight="1">
      <c r="A1324" s="2">
        <f>IFERROR(__xludf.DUMMYFUNCTION("""COMPUTED_VALUE"""),45322.0)</f>
        <v>45322</v>
      </c>
      <c r="B1324" s="2" t="str">
        <f>IFERROR(__xludf.DUMMYFUNCTION("""COMPUTED_VALUE"""),"P'TREE CORNERS ")</f>
        <v>P'TREE CORNERS </v>
      </c>
      <c r="C1324" s="2"/>
    </row>
    <row r="1325" ht="15.75" customHeight="1">
      <c r="A1325" s="2">
        <f>IFERROR(__xludf.DUMMYFUNCTION("""COMPUTED_VALUE"""),45322.0)</f>
        <v>45322</v>
      </c>
      <c r="B1325" s="2" t="str">
        <f>IFERROR(__xludf.DUMMYFUNCTION("""COMPUTED_VALUE"""),"UGA/Athens")</f>
        <v>UGA/Athens</v>
      </c>
      <c r="C1325" s="2"/>
    </row>
    <row r="1326" ht="15.75" customHeight="1">
      <c r="A1326" s="2">
        <f>IFERROR(__xludf.DUMMYFUNCTION("""COMPUTED_VALUE"""),45322.0)</f>
        <v>45322</v>
      </c>
      <c r="B1326" s="2" t="str">
        <f>IFERROR(__xludf.DUMMYFUNCTION("""COMPUTED_VALUE"""),"SANDY SPRINGS ")</f>
        <v>SANDY SPRINGS </v>
      </c>
      <c r="C1326" s="2">
        <f>IFERROR(__xludf.DUMMYFUNCTION("""COMPUTED_VALUE"""),935.0)</f>
        <v>935</v>
      </c>
    </row>
    <row r="1327" ht="15.75" customHeight="1">
      <c r="A1327" s="2">
        <f>IFERROR(__xludf.DUMMYFUNCTION("""COMPUTED_VALUE"""),45322.0)</f>
        <v>45322</v>
      </c>
      <c r="B1327" s="2" t="str">
        <f>IFERROR(__xludf.DUMMYFUNCTION("""COMPUTED_VALUE"""),"INTOWN/DRUID HILLS ")</f>
        <v>INTOWN/DRUID HILLS </v>
      </c>
      <c r="C1327" s="2">
        <f>IFERROR(__xludf.DUMMYFUNCTION("""COMPUTED_VALUE"""),723.0)</f>
        <v>723</v>
      </c>
    </row>
    <row r="1328" ht="15.75" customHeight="1">
      <c r="A1328" s="2">
        <f>IFERROR(__xludf.DUMMYFUNCTION("""COMPUTED_VALUE"""),45322.0)</f>
        <v>45322</v>
      </c>
      <c r="B1328" s="2" t="str">
        <f>IFERROR(__xludf.DUMMYFUNCTION("""COMPUTED_VALUE"""),"SNELLVILLE")</f>
        <v>SNELLVILLE</v>
      </c>
      <c r="C1328" s="2">
        <f>IFERROR(__xludf.DUMMYFUNCTION("""COMPUTED_VALUE"""),0.0)</f>
        <v>0</v>
      </c>
    </row>
    <row r="1329" ht="15.75" customHeight="1">
      <c r="A1329" s="2">
        <f>IFERROR(__xludf.DUMMYFUNCTION("""COMPUTED_VALUE"""),45322.0)</f>
        <v>45322</v>
      </c>
      <c r="B1329" s="2" t="str">
        <f>IFERROR(__xludf.DUMMYFUNCTION("""COMPUTED_VALUE"""),"GROUPS")</f>
        <v>GROUPS</v>
      </c>
      <c r="C1329" s="2"/>
    </row>
    <row r="1330" ht="15.75" customHeight="1">
      <c r="A1330" s="2">
        <f>IFERROR(__xludf.DUMMYFUNCTION("""COMPUTED_VALUE"""),45322.0)</f>
        <v>45322</v>
      </c>
      <c r="B1330" s="2" t="str">
        <f>IFERROR(__xludf.DUMMYFUNCTION("""COMPUTED_VALUE"""),"Previous Woodstock")</f>
        <v>Previous Woodstock</v>
      </c>
      <c r="C1330" s="2"/>
    </row>
    <row r="1331" ht="15.75" customHeight="1">
      <c r="A1331" s="2">
        <f>IFERROR(__xludf.DUMMYFUNCTION("""COMPUTED_VALUE"""),45322.0)</f>
        <v>45322</v>
      </c>
      <c r="B1331" s="2" t="str">
        <f>IFERROR(__xludf.DUMMYFUNCTION("""COMPUTED_VALUE"""),"Previous Lenox/Brookhaven")</f>
        <v>Previous Lenox/Brookhaven</v>
      </c>
      <c r="C1331" s="2"/>
    </row>
    <row r="1332" ht="15.75" customHeight="1">
      <c r="A1332" s="2">
        <f>IFERROR(__xludf.DUMMYFUNCTION("""COMPUTED_VALUE"""),45322.0)</f>
        <v>45322</v>
      </c>
      <c r="B1332" s="2" t="str">
        <f>IFERROR(__xludf.DUMMYFUNCTION("""COMPUTED_VALUE"""),"Previous New Chastain")</f>
        <v>Previous New Chastain</v>
      </c>
      <c r="C1332" s="2"/>
    </row>
    <row r="1333" ht="15.75" customHeight="1">
      <c r="A1333" s="2">
        <f>IFERROR(__xludf.DUMMYFUNCTION("""COMPUTED_VALUE"""),45322.0)</f>
        <v>45322</v>
      </c>
      <c r="B1333" s="2" t="str">
        <f>IFERROR(__xludf.DUMMYFUNCTION("""COMPUTED_VALUE"""),"Previous Glenwood Park")</f>
        <v>Previous Glenwood Park</v>
      </c>
      <c r="C1333" s="2"/>
    </row>
    <row r="1334" ht="15.75" customHeight="1">
      <c r="A1334" s="2">
        <f>IFERROR(__xludf.DUMMYFUNCTION("""COMPUTED_VALUE"""),45322.0)</f>
        <v>45322</v>
      </c>
      <c r="B1334" s="2" t="str">
        <f>IFERROR(__xludf.DUMMYFUNCTION("""COMPUTED_VALUE"""),"FLOWERY BRANCH")</f>
        <v>FLOWERY BRANCH</v>
      </c>
      <c r="C1334" s="2">
        <f>IFERROR(__xludf.DUMMYFUNCTION("""COMPUTED_VALUE"""),232.0)</f>
        <v>232</v>
      </c>
    </row>
    <row r="1335" ht="15.75" customHeight="1">
      <c r="A1335" s="2">
        <f>IFERROR(__xludf.DUMMYFUNCTION("""COMPUTED_VALUE"""),45322.0)</f>
        <v>45322</v>
      </c>
      <c r="B1335" s="2" t="str">
        <f>IFERROR(__xludf.DUMMYFUNCTION("""COMPUTED_VALUE"""),"GROUPS ")</f>
        <v>GROUPS </v>
      </c>
      <c r="C1335" s="2">
        <f>IFERROR(__xludf.DUMMYFUNCTION("""COMPUTED_VALUE"""),3254.0)</f>
        <v>3254</v>
      </c>
    </row>
    <row r="1336" ht="15.75" customHeight="1">
      <c r="A1336" s="2">
        <f>IFERROR(__xludf.DUMMYFUNCTION("""COMPUTED_VALUE"""),45322.0)</f>
        <v>45322</v>
      </c>
      <c r="B1336" s="2" t="str">
        <f>IFERROR(__xludf.DUMMYFUNCTION("""COMPUTED_VALUE"""),"TOTAL")</f>
        <v>TOTAL</v>
      </c>
      <c r="C1336" s="2"/>
    </row>
    <row r="1337" ht="15.75" customHeight="1">
      <c r="A1337" s="2">
        <f>IFERROR(__xludf.DUMMYFUNCTION("""COMPUTED_VALUE"""),45322.0)</f>
        <v>45322</v>
      </c>
      <c r="B1337" s="2" t="str">
        <f>IFERROR(__xludf.DUMMYFUNCTION("""COMPUTED_VALUE"""),"Collective Learning")</f>
        <v>Collective Learning</v>
      </c>
      <c r="C1337" s="2"/>
    </row>
    <row r="1338" ht="15.75" customHeight="1">
      <c r="A1338" s="2">
        <f>IFERROR(__xludf.DUMMYFUNCTION("""COMPUTED_VALUE"""),45322.0)</f>
        <v>45322</v>
      </c>
      <c r="B1338" s="2" t="str">
        <f>IFERROR(__xludf.DUMMYFUNCTION("""COMPUTED_VALUE"""),"NOTES")</f>
        <v>NOTES</v>
      </c>
      <c r="C1338" s="2"/>
    </row>
    <row r="1339" ht="15.75" customHeight="1">
      <c r="A1339" s="2">
        <f>IFERROR(__xludf.DUMMYFUNCTION("""COMPUTED_VALUE"""),45329.0)</f>
        <v>45329</v>
      </c>
      <c r="B1339" s="2" t="str">
        <f>IFERROR(__xludf.DUMMYFUNCTION("""COMPUTED_VALUE"""),"# of Sandwiches")</f>
        <v># of Sandwiches</v>
      </c>
      <c r="C1339" s="2">
        <f>IFERROR(__xludf.DUMMYFUNCTION("""COMPUTED_VALUE"""),7000.0)</f>
        <v>7000</v>
      </c>
    </row>
    <row r="1340" ht="15.75" customHeight="1">
      <c r="A1340" s="2">
        <f>IFERROR(__xludf.DUMMYFUNCTION("""COMPUTED_VALUE"""),45329.0)</f>
        <v>45329</v>
      </c>
      <c r="B1340" s="2" t="str">
        <f>IFERROR(__xludf.DUMMYFUNCTION("""COMPUTED_VALUE"""),"ALPHARETTA")</f>
        <v>ALPHARETTA</v>
      </c>
      <c r="C1340" s="2">
        <f>IFERROR(__xludf.DUMMYFUNCTION("""COMPUTED_VALUE"""),1526.0)</f>
        <v>1526</v>
      </c>
    </row>
    <row r="1341" ht="15.75" customHeight="1">
      <c r="A1341" s="2">
        <f>IFERROR(__xludf.DUMMYFUNCTION("""COMPUTED_VALUE"""),45329.0)</f>
        <v>45329</v>
      </c>
      <c r="B1341" s="2" t="str">
        <f>IFERROR(__xludf.DUMMYFUNCTION("""COMPUTED_VALUE"""),"PREVIOUS BUCKHEAD")</f>
        <v>PREVIOUS BUCKHEAD</v>
      </c>
      <c r="C1341" s="2"/>
    </row>
    <row r="1342" ht="15.75" customHeight="1">
      <c r="A1342" s="2">
        <f>IFERROR(__xludf.DUMMYFUNCTION("""COMPUTED_VALUE"""),45329.0)</f>
        <v>45329</v>
      </c>
      <c r="B1342" s="2" t="str">
        <f>IFERROR(__xludf.DUMMYFUNCTION("""COMPUTED_VALUE"""),"PREVIOUS OAK GROVE")</f>
        <v>PREVIOUS OAK GROVE</v>
      </c>
      <c r="C1342" s="2"/>
    </row>
    <row r="1343" ht="15.75" customHeight="1">
      <c r="A1343" s="2">
        <f>IFERROR(__xludf.DUMMYFUNCTION("""COMPUTED_VALUE"""),45329.0)</f>
        <v>45329</v>
      </c>
      <c r="B1343" s="2" t="str">
        <f>IFERROR(__xludf.DUMMYFUNCTION("""COMPUTED_VALUE"""),"DUNWOODY/PTC ")</f>
        <v>DUNWOODY/PTC </v>
      </c>
      <c r="C1343" s="2">
        <f>IFERROR(__xludf.DUMMYFUNCTION("""COMPUTED_VALUE"""),1465.0)</f>
        <v>1465</v>
      </c>
    </row>
    <row r="1344" ht="15.75" customHeight="1">
      <c r="A1344" s="2">
        <f>IFERROR(__xludf.DUMMYFUNCTION("""COMPUTED_VALUE"""),45329.0)</f>
        <v>45329</v>
      </c>
      <c r="B1344" s="2" t="str">
        <f>IFERROR(__xludf.DUMMYFUNCTION("""COMPUTED_VALUE"""),"E COBB/ROSWELL")</f>
        <v>E COBB/ROSWELL</v>
      </c>
      <c r="C1344" s="2">
        <f>IFERROR(__xludf.DUMMYFUNCTION("""COMPUTED_VALUE"""),1048.0)</f>
        <v>1048</v>
      </c>
    </row>
    <row r="1345" ht="15.75" customHeight="1">
      <c r="A1345" s="2">
        <f>IFERROR(__xludf.DUMMYFUNCTION("""COMPUTED_VALUE"""),45329.0)</f>
        <v>45329</v>
      </c>
      <c r="B1345" s="2" t="str">
        <f>IFERROR(__xludf.DUMMYFUNCTION("""COMPUTED_VALUE"""),"DECATUR")</f>
        <v>DECATUR</v>
      </c>
      <c r="C1345" s="2">
        <f>IFERROR(__xludf.DUMMYFUNCTION("""COMPUTED_VALUE"""),72.0)</f>
        <v>72</v>
      </c>
    </row>
    <row r="1346" ht="15.75" customHeight="1">
      <c r="A1346" s="2">
        <f>IFERROR(__xludf.DUMMYFUNCTION("""COMPUTED_VALUE"""),45329.0)</f>
        <v>45329</v>
      </c>
      <c r="B1346" s="2" t="str">
        <f>IFERROR(__xludf.DUMMYFUNCTION("""COMPUTED_VALUE"""),"P'TREE CORNERS ")</f>
        <v>P'TREE CORNERS </v>
      </c>
      <c r="C1346" s="2"/>
    </row>
    <row r="1347" ht="15.75" customHeight="1">
      <c r="A1347" s="2">
        <f>IFERROR(__xludf.DUMMYFUNCTION("""COMPUTED_VALUE"""),45329.0)</f>
        <v>45329</v>
      </c>
      <c r="B1347" s="2" t="str">
        <f>IFERROR(__xludf.DUMMYFUNCTION("""COMPUTED_VALUE"""),"UGA/Athens")</f>
        <v>UGA/Athens</v>
      </c>
      <c r="C1347" s="2"/>
    </row>
    <row r="1348" ht="15.75" customHeight="1">
      <c r="A1348" s="2">
        <f>IFERROR(__xludf.DUMMYFUNCTION("""COMPUTED_VALUE"""),45329.0)</f>
        <v>45329</v>
      </c>
      <c r="B1348" s="2" t="str">
        <f>IFERROR(__xludf.DUMMYFUNCTION("""COMPUTED_VALUE"""),"SANDY SPRINGS ")</f>
        <v>SANDY SPRINGS </v>
      </c>
      <c r="C1348" s="2">
        <f>IFERROR(__xludf.DUMMYFUNCTION("""COMPUTED_VALUE"""),605.0)</f>
        <v>605</v>
      </c>
    </row>
    <row r="1349" ht="15.75" customHeight="1">
      <c r="A1349" s="2">
        <f>IFERROR(__xludf.DUMMYFUNCTION("""COMPUTED_VALUE"""),45329.0)</f>
        <v>45329</v>
      </c>
      <c r="B1349" s="2" t="str">
        <f>IFERROR(__xludf.DUMMYFUNCTION("""COMPUTED_VALUE"""),"INTOWN/DRUID HILLS ")</f>
        <v>INTOWN/DRUID HILLS </v>
      </c>
      <c r="C1349" s="2">
        <f>IFERROR(__xludf.DUMMYFUNCTION("""COMPUTED_VALUE"""),214.0)</f>
        <v>214</v>
      </c>
    </row>
    <row r="1350" ht="15.75" customHeight="1">
      <c r="A1350" s="2">
        <f>IFERROR(__xludf.DUMMYFUNCTION("""COMPUTED_VALUE"""),45329.0)</f>
        <v>45329</v>
      </c>
      <c r="B1350" s="2" t="str">
        <f>IFERROR(__xludf.DUMMYFUNCTION("""COMPUTED_VALUE"""),"SNELLVILLE")</f>
        <v>SNELLVILLE</v>
      </c>
      <c r="C1350" s="2">
        <f>IFERROR(__xludf.DUMMYFUNCTION("""COMPUTED_VALUE"""),110.0)</f>
        <v>110</v>
      </c>
    </row>
    <row r="1351" ht="15.75" customHeight="1">
      <c r="A1351" s="2">
        <f>IFERROR(__xludf.DUMMYFUNCTION("""COMPUTED_VALUE"""),45329.0)</f>
        <v>45329</v>
      </c>
      <c r="B1351" s="2" t="str">
        <f>IFERROR(__xludf.DUMMYFUNCTION("""COMPUTED_VALUE"""),"GROUPS")</f>
        <v>GROUPS</v>
      </c>
      <c r="C1351" s="2"/>
    </row>
    <row r="1352" ht="15.75" customHeight="1">
      <c r="A1352" s="2">
        <f>IFERROR(__xludf.DUMMYFUNCTION("""COMPUTED_VALUE"""),45329.0)</f>
        <v>45329</v>
      </c>
      <c r="B1352" s="2" t="str">
        <f>IFERROR(__xludf.DUMMYFUNCTION("""COMPUTED_VALUE"""),"Previous Woodstock")</f>
        <v>Previous Woodstock</v>
      </c>
      <c r="C1352" s="2"/>
    </row>
    <row r="1353" ht="15.75" customHeight="1">
      <c r="A1353" s="2">
        <f>IFERROR(__xludf.DUMMYFUNCTION("""COMPUTED_VALUE"""),45329.0)</f>
        <v>45329</v>
      </c>
      <c r="B1353" s="2" t="str">
        <f>IFERROR(__xludf.DUMMYFUNCTION("""COMPUTED_VALUE"""),"Previous Lenox/Brookhaven")</f>
        <v>Previous Lenox/Brookhaven</v>
      </c>
      <c r="C1353" s="2"/>
    </row>
    <row r="1354" ht="15.75" customHeight="1">
      <c r="A1354" s="2">
        <f>IFERROR(__xludf.DUMMYFUNCTION("""COMPUTED_VALUE"""),45329.0)</f>
        <v>45329</v>
      </c>
      <c r="B1354" s="2" t="str">
        <f>IFERROR(__xludf.DUMMYFUNCTION("""COMPUTED_VALUE"""),"Previous New Chastain")</f>
        <v>Previous New Chastain</v>
      </c>
      <c r="C1354" s="2"/>
    </row>
    <row r="1355" ht="15.75" customHeight="1">
      <c r="A1355" s="2">
        <f>IFERROR(__xludf.DUMMYFUNCTION("""COMPUTED_VALUE"""),45329.0)</f>
        <v>45329</v>
      </c>
      <c r="B1355" s="2" t="str">
        <f>IFERROR(__xludf.DUMMYFUNCTION("""COMPUTED_VALUE"""),"Previous Glenwood Park")</f>
        <v>Previous Glenwood Park</v>
      </c>
      <c r="C1355" s="2"/>
    </row>
    <row r="1356" ht="15.75" customHeight="1">
      <c r="A1356" s="2">
        <f>IFERROR(__xludf.DUMMYFUNCTION("""COMPUTED_VALUE"""),45329.0)</f>
        <v>45329</v>
      </c>
      <c r="B1356" s="2" t="str">
        <f>IFERROR(__xludf.DUMMYFUNCTION("""COMPUTED_VALUE"""),"FLOWERY BRANCH")</f>
        <v>FLOWERY BRANCH</v>
      </c>
      <c r="C1356" s="2">
        <f>IFERROR(__xludf.DUMMYFUNCTION("""COMPUTED_VALUE"""),0.0)</f>
        <v>0</v>
      </c>
    </row>
    <row r="1357" ht="15.75" customHeight="1">
      <c r="A1357" s="2">
        <f>IFERROR(__xludf.DUMMYFUNCTION("""COMPUTED_VALUE"""),45329.0)</f>
        <v>45329</v>
      </c>
      <c r="B1357" s="2" t="str">
        <f>IFERROR(__xludf.DUMMYFUNCTION("""COMPUTED_VALUE"""),"GROUPS ")</f>
        <v>GROUPS </v>
      </c>
      <c r="C1357" s="2">
        <f>IFERROR(__xludf.DUMMYFUNCTION("""COMPUTED_VALUE"""),1960.0)</f>
        <v>1960</v>
      </c>
    </row>
    <row r="1358" ht="15.75" customHeight="1">
      <c r="A1358" s="2">
        <f>IFERROR(__xludf.DUMMYFUNCTION("""COMPUTED_VALUE"""),45329.0)</f>
        <v>45329</v>
      </c>
      <c r="B1358" s="2" t="str">
        <f>IFERROR(__xludf.DUMMYFUNCTION("""COMPUTED_VALUE"""),"TOTAL")</f>
        <v>TOTAL</v>
      </c>
      <c r="C1358" s="2"/>
    </row>
    <row r="1359" ht="15.75" customHeight="1">
      <c r="A1359" s="2">
        <f>IFERROR(__xludf.DUMMYFUNCTION("""COMPUTED_VALUE"""),45329.0)</f>
        <v>45329</v>
      </c>
      <c r="B1359" s="2" t="str">
        <f>IFERROR(__xludf.DUMMYFUNCTION("""COMPUTED_VALUE"""),"Collective Learning")</f>
        <v>Collective Learning</v>
      </c>
      <c r="C1359" s="2"/>
    </row>
    <row r="1360" ht="15.75" customHeight="1">
      <c r="A1360" s="2">
        <f>IFERROR(__xludf.DUMMYFUNCTION("""COMPUTED_VALUE"""),45329.0)</f>
        <v>45329</v>
      </c>
      <c r="B1360" s="2" t="str">
        <f>IFERROR(__xludf.DUMMYFUNCTION("""COMPUTED_VALUE"""),"NOTES")</f>
        <v>NOTES</v>
      </c>
      <c r="C1360" s="2"/>
    </row>
    <row r="1361" ht="15.75" customHeight="1">
      <c r="A1361" s="2">
        <f>IFERROR(__xludf.DUMMYFUNCTION("""COMPUTED_VALUE"""),45336.0)</f>
        <v>45336</v>
      </c>
      <c r="B1361" s="2" t="str">
        <f>IFERROR(__xludf.DUMMYFUNCTION("""COMPUTED_VALUE"""),"# of Sandwiches")</f>
        <v># of Sandwiches</v>
      </c>
      <c r="C1361" s="2">
        <f>IFERROR(__xludf.DUMMYFUNCTION("""COMPUTED_VALUE"""),10476.0)</f>
        <v>10476</v>
      </c>
    </row>
    <row r="1362" ht="15.75" customHeight="1">
      <c r="A1362" s="2">
        <f>IFERROR(__xludf.DUMMYFUNCTION("""COMPUTED_VALUE"""),45336.0)</f>
        <v>45336</v>
      </c>
      <c r="B1362" s="2" t="str">
        <f>IFERROR(__xludf.DUMMYFUNCTION("""COMPUTED_VALUE"""),"ALPHARETTA")</f>
        <v>ALPHARETTA</v>
      </c>
      <c r="C1362" s="2">
        <f>IFERROR(__xludf.DUMMYFUNCTION("""COMPUTED_VALUE"""),3087.0)</f>
        <v>3087</v>
      </c>
    </row>
    <row r="1363" ht="15.75" customHeight="1">
      <c r="A1363" s="2">
        <f>IFERROR(__xludf.DUMMYFUNCTION("""COMPUTED_VALUE"""),45336.0)</f>
        <v>45336</v>
      </c>
      <c r="B1363" s="2" t="str">
        <f>IFERROR(__xludf.DUMMYFUNCTION("""COMPUTED_VALUE"""),"PREVIOUS BUCKHEAD")</f>
        <v>PREVIOUS BUCKHEAD</v>
      </c>
      <c r="C1363" s="2"/>
    </row>
    <row r="1364" ht="15.75" customHeight="1">
      <c r="A1364" s="2">
        <f>IFERROR(__xludf.DUMMYFUNCTION("""COMPUTED_VALUE"""),45336.0)</f>
        <v>45336</v>
      </c>
      <c r="B1364" s="2" t="str">
        <f>IFERROR(__xludf.DUMMYFUNCTION("""COMPUTED_VALUE"""),"PREVIOUS OAK GROVE")</f>
        <v>PREVIOUS OAK GROVE</v>
      </c>
      <c r="C1364" s="2"/>
    </row>
    <row r="1365" ht="15.75" customHeight="1">
      <c r="A1365" s="2">
        <f>IFERROR(__xludf.DUMMYFUNCTION("""COMPUTED_VALUE"""),45336.0)</f>
        <v>45336</v>
      </c>
      <c r="B1365" s="2" t="str">
        <f>IFERROR(__xludf.DUMMYFUNCTION("""COMPUTED_VALUE"""),"DUNWOODY/PTC ")</f>
        <v>DUNWOODY/PTC </v>
      </c>
      <c r="C1365" s="2">
        <f>IFERROR(__xludf.DUMMYFUNCTION("""COMPUTED_VALUE"""),1594.0)</f>
        <v>1594</v>
      </c>
    </row>
    <row r="1366" ht="15.75" customHeight="1">
      <c r="A1366" s="2">
        <f>IFERROR(__xludf.DUMMYFUNCTION("""COMPUTED_VALUE"""),45336.0)</f>
        <v>45336</v>
      </c>
      <c r="B1366" s="2" t="str">
        <f>IFERROR(__xludf.DUMMYFUNCTION("""COMPUTED_VALUE"""),"E COBB/ROSWELL")</f>
        <v>E COBB/ROSWELL</v>
      </c>
      <c r="C1366" s="2">
        <f>IFERROR(__xludf.DUMMYFUNCTION("""COMPUTED_VALUE"""),821.0)</f>
        <v>821</v>
      </c>
    </row>
    <row r="1367" ht="15.75" customHeight="1">
      <c r="A1367" s="2">
        <f>IFERROR(__xludf.DUMMYFUNCTION("""COMPUTED_VALUE"""),45336.0)</f>
        <v>45336</v>
      </c>
      <c r="B1367" s="2" t="str">
        <f>IFERROR(__xludf.DUMMYFUNCTION("""COMPUTED_VALUE"""),"DECATUR")</f>
        <v>DECATUR</v>
      </c>
      <c r="C1367" s="2">
        <f>IFERROR(__xludf.DUMMYFUNCTION("""COMPUTED_VALUE"""),0.0)</f>
        <v>0</v>
      </c>
    </row>
    <row r="1368" ht="15.75" customHeight="1">
      <c r="A1368" s="2">
        <f>IFERROR(__xludf.DUMMYFUNCTION("""COMPUTED_VALUE"""),45336.0)</f>
        <v>45336</v>
      </c>
      <c r="B1368" s="2" t="str">
        <f>IFERROR(__xludf.DUMMYFUNCTION("""COMPUTED_VALUE"""),"P'TREE CORNERS ")</f>
        <v>P'TREE CORNERS </v>
      </c>
      <c r="C1368" s="2"/>
    </row>
    <row r="1369" ht="15.75" customHeight="1">
      <c r="A1369" s="2">
        <f>IFERROR(__xludf.DUMMYFUNCTION("""COMPUTED_VALUE"""),45336.0)</f>
        <v>45336</v>
      </c>
      <c r="B1369" s="2" t="str">
        <f>IFERROR(__xludf.DUMMYFUNCTION("""COMPUTED_VALUE"""),"UGA/Athens")</f>
        <v>UGA/Athens</v>
      </c>
      <c r="C1369" s="2"/>
    </row>
    <row r="1370" ht="15.75" customHeight="1">
      <c r="A1370" s="2">
        <f>IFERROR(__xludf.DUMMYFUNCTION("""COMPUTED_VALUE"""),45336.0)</f>
        <v>45336</v>
      </c>
      <c r="B1370" s="2" t="str">
        <f>IFERROR(__xludf.DUMMYFUNCTION("""COMPUTED_VALUE"""),"SANDY SPRINGS ")</f>
        <v>SANDY SPRINGS </v>
      </c>
      <c r="C1370" s="2">
        <f>IFERROR(__xludf.DUMMYFUNCTION("""COMPUTED_VALUE"""),508.0)</f>
        <v>508</v>
      </c>
    </row>
    <row r="1371" ht="15.75" customHeight="1">
      <c r="A1371" s="2">
        <f>IFERROR(__xludf.DUMMYFUNCTION("""COMPUTED_VALUE"""),45336.0)</f>
        <v>45336</v>
      </c>
      <c r="B1371" s="2" t="str">
        <f>IFERROR(__xludf.DUMMYFUNCTION("""COMPUTED_VALUE"""),"INTOWN/DRUID HILLS ")</f>
        <v>INTOWN/DRUID HILLS </v>
      </c>
      <c r="C1371" s="2">
        <f>IFERROR(__xludf.DUMMYFUNCTION("""COMPUTED_VALUE"""),930.0)</f>
        <v>930</v>
      </c>
    </row>
    <row r="1372" ht="15.75" customHeight="1">
      <c r="A1372" s="2">
        <f>IFERROR(__xludf.DUMMYFUNCTION("""COMPUTED_VALUE"""),45336.0)</f>
        <v>45336</v>
      </c>
      <c r="B1372" s="2" t="str">
        <f>IFERROR(__xludf.DUMMYFUNCTION("""COMPUTED_VALUE"""),"SNELLVILLE")</f>
        <v>SNELLVILLE</v>
      </c>
      <c r="C1372" s="2">
        <f>IFERROR(__xludf.DUMMYFUNCTION("""COMPUTED_VALUE"""),108.0)</f>
        <v>108</v>
      </c>
    </row>
    <row r="1373" ht="15.75" customHeight="1">
      <c r="A1373" s="2">
        <f>IFERROR(__xludf.DUMMYFUNCTION("""COMPUTED_VALUE"""),45336.0)</f>
        <v>45336</v>
      </c>
      <c r="B1373" s="2" t="str">
        <f>IFERROR(__xludf.DUMMYFUNCTION("""COMPUTED_VALUE"""),"GROUPS")</f>
        <v>GROUPS</v>
      </c>
      <c r="C1373" s="2"/>
    </row>
    <row r="1374" ht="15.75" customHeight="1">
      <c r="A1374" s="2">
        <f>IFERROR(__xludf.DUMMYFUNCTION("""COMPUTED_VALUE"""),45336.0)</f>
        <v>45336</v>
      </c>
      <c r="B1374" s="2" t="str">
        <f>IFERROR(__xludf.DUMMYFUNCTION("""COMPUTED_VALUE"""),"Previous Woodstock")</f>
        <v>Previous Woodstock</v>
      </c>
      <c r="C1374" s="2"/>
    </row>
    <row r="1375" ht="15.75" customHeight="1">
      <c r="A1375" s="2">
        <f>IFERROR(__xludf.DUMMYFUNCTION("""COMPUTED_VALUE"""),45336.0)</f>
        <v>45336</v>
      </c>
      <c r="B1375" s="2" t="str">
        <f>IFERROR(__xludf.DUMMYFUNCTION("""COMPUTED_VALUE"""),"Previous Lenox/Brookhaven")</f>
        <v>Previous Lenox/Brookhaven</v>
      </c>
      <c r="C1375" s="2"/>
    </row>
    <row r="1376" ht="15.75" customHeight="1">
      <c r="A1376" s="2">
        <f>IFERROR(__xludf.DUMMYFUNCTION("""COMPUTED_VALUE"""),45336.0)</f>
        <v>45336</v>
      </c>
      <c r="B1376" s="2" t="str">
        <f>IFERROR(__xludf.DUMMYFUNCTION("""COMPUTED_VALUE"""),"Previous New Chastain")</f>
        <v>Previous New Chastain</v>
      </c>
      <c r="C1376" s="2"/>
    </row>
    <row r="1377" ht="15.75" customHeight="1">
      <c r="A1377" s="2">
        <f>IFERROR(__xludf.DUMMYFUNCTION("""COMPUTED_VALUE"""),45336.0)</f>
        <v>45336</v>
      </c>
      <c r="B1377" s="2" t="str">
        <f>IFERROR(__xludf.DUMMYFUNCTION("""COMPUTED_VALUE"""),"Previous Glenwood Park")</f>
        <v>Previous Glenwood Park</v>
      </c>
      <c r="C1377" s="2"/>
    </row>
    <row r="1378" ht="15.75" customHeight="1">
      <c r="A1378" s="2">
        <f>IFERROR(__xludf.DUMMYFUNCTION("""COMPUTED_VALUE"""),45336.0)</f>
        <v>45336</v>
      </c>
      <c r="B1378" s="2" t="str">
        <f>IFERROR(__xludf.DUMMYFUNCTION("""COMPUTED_VALUE"""),"FLOWERY BRANCH")</f>
        <v>FLOWERY BRANCH</v>
      </c>
      <c r="C1378" s="2">
        <f>IFERROR(__xludf.DUMMYFUNCTION("""COMPUTED_VALUE"""),287.0)</f>
        <v>287</v>
      </c>
    </row>
    <row r="1379" ht="15.75" customHeight="1">
      <c r="A1379" s="2">
        <f>IFERROR(__xludf.DUMMYFUNCTION("""COMPUTED_VALUE"""),45336.0)</f>
        <v>45336</v>
      </c>
      <c r="B1379" s="2" t="str">
        <f>IFERROR(__xludf.DUMMYFUNCTION("""COMPUTED_VALUE"""),"GROUPS ")</f>
        <v>GROUPS </v>
      </c>
      <c r="C1379" s="2">
        <f>IFERROR(__xludf.DUMMYFUNCTION("""COMPUTED_VALUE"""),3141.0)</f>
        <v>3141</v>
      </c>
    </row>
    <row r="1380" ht="15.75" customHeight="1">
      <c r="A1380" s="2">
        <f>IFERROR(__xludf.DUMMYFUNCTION("""COMPUTED_VALUE"""),45336.0)</f>
        <v>45336</v>
      </c>
      <c r="B1380" s="2" t="str">
        <f>IFERROR(__xludf.DUMMYFUNCTION("""COMPUTED_VALUE"""),"TOTAL")</f>
        <v>TOTAL</v>
      </c>
      <c r="C1380" s="2"/>
    </row>
    <row r="1381" ht="15.75" customHeight="1">
      <c r="A1381" s="2">
        <f>IFERROR(__xludf.DUMMYFUNCTION("""COMPUTED_VALUE"""),45336.0)</f>
        <v>45336</v>
      </c>
      <c r="B1381" s="2" t="str">
        <f>IFERROR(__xludf.DUMMYFUNCTION("""COMPUTED_VALUE"""),"Collective Learning")</f>
        <v>Collective Learning</v>
      </c>
      <c r="C1381" s="2"/>
    </row>
    <row r="1382" ht="15.75" customHeight="1">
      <c r="A1382" s="2">
        <f>IFERROR(__xludf.DUMMYFUNCTION("""COMPUTED_VALUE"""),45336.0)</f>
        <v>45336</v>
      </c>
      <c r="B1382" s="2" t="str">
        <f>IFERROR(__xludf.DUMMYFUNCTION("""COMPUTED_VALUE"""),"NOTES")</f>
        <v>NOTES</v>
      </c>
      <c r="C1382" s="2"/>
    </row>
    <row r="1383" ht="15.75" customHeight="1">
      <c r="A1383" s="2">
        <f>IFERROR(__xludf.DUMMYFUNCTION("""COMPUTED_VALUE"""),45343.0)</f>
        <v>45343</v>
      </c>
      <c r="B1383" s="2" t="str">
        <f>IFERROR(__xludf.DUMMYFUNCTION("""COMPUTED_VALUE"""),"# of Sandwiches")</f>
        <v># of Sandwiches</v>
      </c>
      <c r="C1383" s="2">
        <f>IFERROR(__xludf.DUMMYFUNCTION("""COMPUTED_VALUE"""),16353.0)</f>
        <v>16353</v>
      </c>
    </row>
    <row r="1384" ht="15.75" customHeight="1">
      <c r="A1384" s="2">
        <f>IFERROR(__xludf.DUMMYFUNCTION("""COMPUTED_VALUE"""),45343.0)</f>
        <v>45343</v>
      </c>
      <c r="B1384" s="2" t="str">
        <f>IFERROR(__xludf.DUMMYFUNCTION("""COMPUTED_VALUE"""),"ALPHARETTA")</f>
        <v>ALPHARETTA</v>
      </c>
      <c r="C1384" s="2">
        <f>IFERROR(__xludf.DUMMYFUNCTION("""COMPUTED_VALUE"""),2225.0)</f>
        <v>2225</v>
      </c>
    </row>
    <row r="1385" ht="15.75" customHeight="1">
      <c r="A1385" s="2">
        <f>IFERROR(__xludf.DUMMYFUNCTION("""COMPUTED_VALUE"""),45343.0)</f>
        <v>45343</v>
      </c>
      <c r="B1385" s="2" t="str">
        <f>IFERROR(__xludf.DUMMYFUNCTION("""COMPUTED_VALUE"""),"PREVIOUS BUCKHEAD")</f>
        <v>PREVIOUS BUCKHEAD</v>
      </c>
      <c r="C1385" s="2"/>
    </row>
    <row r="1386" ht="15.75" customHeight="1">
      <c r="A1386" s="2">
        <f>IFERROR(__xludf.DUMMYFUNCTION("""COMPUTED_VALUE"""),45343.0)</f>
        <v>45343</v>
      </c>
      <c r="B1386" s="2" t="str">
        <f>IFERROR(__xludf.DUMMYFUNCTION("""COMPUTED_VALUE"""),"PREVIOUS OAK GROVE")</f>
        <v>PREVIOUS OAK GROVE</v>
      </c>
      <c r="C1386" s="2"/>
    </row>
    <row r="1387" ht="15.75" customHeight="1">
      <c r="A1387" s="2">
        <f>IFERROR(__xludf.DUMMYFUNCTION("""COMPUTED_VALUE"""),45343.0)</f>
        <v>45343</v>
      </c>
      <c r="B1387" s="2" t="str">
        <f>IFERROR(__xludf.DUMMYFUNCTION("""COMPUTED_VALUE"""),"DUNWOODY/PTC ")</f>
        <v>DUNWOODY/PTC </v>
      </c>
      <c r="C1387" s="2">
        <f>IFERROR(__xludf.DUMMYFUNCTION("""COMPUTED_VALUE"""),2628.0)</f>
        <v>2628</v>
      </c>
    </row>
    <row r="1388" ht="15.75" customHeight="1">
      <c r="A1388" s="2">
        <f>IFERROR(__xludf.DUMMYFUNCTION("""COMPUTED_VALUE"""),45343.0)</f>
        <v>45343</v>
      </c>
      <c r="B1388" s="2" t="str">
        <f>IFERROR(__xludf.DUMMYFUNCTION("""COMPUTED_VALUE"""),"E COBB/ROSWELL")</f>
        <v>E COBB/ROSWELL</v>
      </c>
      <c r="C1388" s="2">
        <f>IFERROR(__xludf.DUMMYFUNCTION("""COMPUTED_VALUE"""),1789.0)</f>
        <v>1789</v>
      </c>
    </row>
    <row r="1389" ht="15.75" customHeight="1">
      <c r="A1389" s="2">
        <f>IFERROR(__xludf.DUMMYFUNCTION("""COMPUTED_VALUE"""),45343.0)</f>
        <v>45343</v>
      </c>
      <c r="B1389" s="2" t="str">
        <f>IFERROR(__xludf.DUMMYFUNCTION("""COMPUTED_VALUE"""),"DECATUR")</f>
        <v>DECATUR</v>
      </c>
      <c r="C1389" s="2">
        <f>IFERROR(__xludf.DUMMYFUNCTION("""COMPUTED_VALUE"""),92.0)</f>
        <v>92</v>
      </c>
    </row>
    <row r="1390" ht="15.75" customHeight="1">
      <c r="A1390" s="2">
        <f>IFERROR(__xludf.DUMMYFUNCTION("""COMPUTED_VALUE"""),45343.0)</f>
        <v>45343</v>
      </c>
      <c r="B1390" s="2" t="str">
        <f>IFERROR(__xludf.DUMMYFUNCTION("""COMPUTED_VALUE"""),"P'TREE CORNERS ")</f>
        <v>P'TREE CORNERS </v>
      </c>
      <c r="C1390" s="2"/>
    </row>
    <row r="1391" ht="15.75" customHeight="1">
      <c r="A1391" s="2">
        <f>IFERROR(__xludf.DUMMYFUNCTION("""COMPUTED_VALUE"""),45343.0)</f>
        <v>45343</v>
      </c>
      <c r="B1391" s="2" t="str">
        <f>IFERROR(__xludf.DUMMYFUNCTION("""COMPUTED_VALUE"""),"UGA/Athens")</f>
        <v>UGA/Athens</v>
      </c>
      <c r="C1391" s="2"/>
    </row>
    <row r="1392" ht="15.75" customHeight="1">
      <c r="A1392" s="2">
        <f>IFERROR(__xludf.DUMMYFUNCTION("""COMPUTED_VALUE"""),45343.0)</f>
        <v>45343</v>
      </c>
      <c r="B1392" s="2" t="str">
        <f>IFERROR(__xludf.DUMMYFUNCTION("""COMPUTED_VALUE"""),"SANDY SPRINGS ")</f>
        <v>SANDY SPRINGS </v>
      </c>
      <c r="C1392" s="2">
        <f>IFERROR(__xludf.DUMMYFUNCTION("""COMPUTED_VALUE"""),822.0)</f>
        <v>822</v>
      </c>
    </row>
    <row r="1393" ht="15.75" customHeight="1">
      <c r="A1393" s="2">
        <f>IFERROR(__xludf.DUMMYFUNCTION("""COMPUTED_VALUE"""),45343.0)</f>
        <v>45343</v>
      </c>
      <c r="B1393" s="2" t="str">
        <f>IFERROR(__xludf.DUMMYFUNCTION("""COMPUTED_VALUE"""),"INTOWN/DRUID HILLS ")</f>
        <v>INTOWN/DRUID HILLS </v>
      </c>
      <c r="C1393" s="2">
        <f>IFERROR(__xludf.DUMMYFUNCTION("""COMPUTED_VALUE"""),1351.0)</f>
        <v>1351</v>
      </c>
    </row>
    <row r="1394" ht="15.75" customHeight="1">
      <c r="A1394" s="2">
        <f>IFERROR(__xludf.DUMMYFUNCTION("""COMPUTED_VALUE"""),45343.0)</f>
        <v>45343</v>
      </c>
      <c r="B1394" s="2" t="str">
        <f>IFERROR(__xludf.DUMMYFUNCTION("""COMPUTED_VALUE"""),"SNELLVILLE")</f>
        <v>SNELLVILLE</v>
      </c>
      <c r="C1394" s="2">
        <f>IFERROR(__xludf.DUMMYFUNCTION("""COMPUTED_VALUE"""),396.0)</f>
        <v>396</v>
      </c>
    </row>
    <row r="1395" ht="15.75" customHeight="1">
      <c r="A1395" s="2">
        <f>IFERROR(__xludf.DUMMYFUNCTION("""COMPUTED_VALUE"""),45343.0)</f>
        <v>45343</v>
      </c>
      <c r="B1395" s="2" t="str">
        <f>IFERROR(__xludf.DUMMYFUNCTION("""COMPUTED_VALUE"""),"GROUPS")</f>
        <v>GROUPS</v>
      </c>
      <c r="C1395" s="2"/>
    </row>
    <row r="1396" ht="15.75" customHeight="1">
      <c r="A1396" s="2">
        <f>IFERROR(__xludf.DUMMYFUNCTION("""COMPUTED_VALUE"""),45343.0)</f>
        <v>45343</v>
      </c>
      <c r="B1396" s="2" t="str">
        <f>IFERROR(__xludf.DUMMYFUNCTION("""COMPUTED_VALUE"""),"Previous Woodstock")</f>
        <v>Previous Woodstock</v>
      </c>
      <c r="C1396" s="2"/>
    </row>
    <row r="1397" ht="15.75" customHeight="1">
      <c r="A1397" s="2">
        <f>IFERROR(__xludf.DUMMYFUNCTION("""COMPUTED_VALUE"""),45343.0)</f>
        <v>45343</v>
      </c>
      <c r="B1397" s="2" t="str">
        <f>IFERROR(__xludf.DUMMYFUNCTION("""COMPUTED_VALUE"""),"Previous Lenox/Brookhaven")</f>
        <v>Previous Lenox/Brookhaven</v>
      </c>
      <c r="C1397" s="2"/>
    </row>
    <row r="1398" ht="15.75" customHeight="1">
      <c r="A1398" s="2">
        <f>IFERROR(__xludf.DUMMYFUNCTION("""COMPUTED_VALUE"""),45343.0)</f>
        <v>45343</v>
      </c>
      <c r="B1398" s="2" t="str">
        <f>IFERROR(__xludf.DUMMYFUNCTION("""COMPUTED_VALUE"""),"Previous New Chastain")</f>
        <v>Previous New Chastain</v>
      </c>
      <c r="C1398" s="2"/>
    </row>
    <row r="1399" ht="15.75" customHeight="1">
      <c r="A1399" s="2">
        <f>IFERROR(__xludf.DUMMYFUNCTION("""COMPUTED_VALUE"""),45343.0)</f>
        <v>45343</v>
      </c>
      <c r="B1399" s="2" t="str">
        <f>IFERROR(__xludf.DUMMYFUNCTION("""COMPUTED_VALUE"""),"Previous Glenwood Park")</f>
        <v>Previous Glenwood Park</v>
      </c>
      <c r="C1399" s="2"/>
    </row>
    <row r="1400" ht="15.75" customHeight="1">
      <c r="A1400" s="2">
        <f>IFERROR(__xludf.DUMMYFUNCTION("""COMPUTED_VALUE"""),45343.0)</f>
        <v>45343</v>
      </c>
      <c r="B1400" s="2" t="str">
        <f>IFERROR(__xludf.DUMMYFUNCTION("""COMPUTED_VALUE"""),"FLOWERY BRANCH")</f>
        <v>FLOWERY BRANCH</v>
      </c>
      <c r="C1400" s="2">
        <f>IFERROR(__xludf.DUMMYFUNCTION("""COMPUTED_VALUE"""),0.0)</f>
        <v>0</v>
      </c>
    </row>
    <row r="1401" ht="15.75" customHeight="1">
      <c r="A1401" s="2">
        <f>IFERROR(__xludf.DUMMYFUNCTION("""COMPUTED_VALUE"""),45343.0)</f>
        <v>45343</v>
      </c>
      <c r="B1401" s="2" t="str">
        <f>IFERROR(__xludf.DUMMYFUNCTION("""COMPUTED_VALUE"""),"GROUPS ")</f>
        <v>GROUPS </v>
      </c>
      <c r="C1401" s="2">
        <f>IFERROR(__xludf.DUMMYFUNCTION("""COMPUTED_VALUE"""),7050.0)</f>
        <v>7050</v>
      </c>
    </row>
    <row r="1402" ht="15.75" customHeight="1">
      <c r="A1402" s="2">
        <f>IFERROR(__xludf.DUMMYFUNCTION("""COMPUTED_VALUE"""),45343.0)</f>
        <v>45343</v>
      </c>
      <c r="B1402" s="2" t="str">
        <f>IFERROR(__xludf.DUMMYFUNCTION("""COMPUTED_VALUE"""),"TOTAL")</f>
        <v>TOTAL</v>
      </c>
      <c r="C1402" s="2"/>
    </row>
    <row r="1403" ht="15.75" customHeight="1">
      <c r="A1403" s="2">
        <f>IFERROR(__xludf.DUMMYFUNCTION("""COMPUTED_VALUE"""),45343.0)</f>
        <v>45343</v>
      </c>
      <c r="B1403" s="2" t="str">
        <f>IFERROR(__xludf.DUMMYFUNCTION("""COMPUTED_VALUE"""),"Collective Learning")</f>
        <v>Collective Learning</v>
      </c>
      <c r="C1403" s="2"/>
    </row>
    <row r="1404" ht="15.75" customHeight="1">
      <c r="A1404" s="2">
        <f>IFERROR(__xludf.DUMMYFUNCTION("""COMPUTED_VALUE"""),45343.0)</f>
        <v>45343</v>
      </c>
      <c r="B1404" s="2" t="str">
        <f>IFERROR(__xludf.DUMMYFUNCTION("""COMPUTED_VALUE"""),"NOTES")</f>
        <v>NOTES</v>
      </c>
      <c r="C1404" s="2"/>
    </row>
    <row r="1405" ht="15.75" customHeight="1">
      <c r="A1405" s="2">
        <f>IFERROR(__xludf.DUMMYFUNCTION("""COMPUTED_VALUE"""),45350.0)</f>
        <v>45350</v>
      </c>
      <c r="B1405" s="2" t="str">
        <f>IFERROR(__xludf.DUMMYFUNCTION("""COMPUTED_VALUE"""),"# of Sandwiches")</f>
        <v># of Sandwiches</v>
      </c>
      <c r="C1405" s="2">
        <f>IFERROR(__xludf.DUMMYFUNCTION("""COMPUTED_VALUE"""),6300.0)</f>
        <v>6300</v>
      </c>
    </row>
    <row r="1406" ht="15.75" customHeight="1">
      <c r="A1406" s="2">
        <f>IFERROR(__xludf.DUMMYFUNCTION("""COMPUTED_VALUE"""),45350.0)</f>
        <v>45350</v>
      </c>
      <c r="B1406" s="2" t="str">
        <f>IFERROR(__xludf.DUMMYFUNCTION("""COMPUTED_VALUE"""),"ALPHARETTA")</f>
        <v>ALPHARETTA</v>
      </c>
      <c r="C1406" s="2">
        <f>IFERROR(__xludf.DUMMYFUNCTION("""COMPUTED_VALUE"""),938.0)</f>
        <v>938</v>
      </c>
    </row>
    <row r="1407" ht="15.75" customHeight="1">
      <c r="A1407" s="2">
        <f>IFERROR(__xludf.DUMMYFUNCTION("""COMPUTED_VALUE"""),45350.0)</f>
        <v>45350</v>
      </c>
      <c r="B1407" s="2" t="str">
        <f>IFERROR(__xludf.DUMMYFUNCTION("""COMPUTED_VALUE"""),"PREVIOUS BUCKHEAD")</f>
        <v>PREVIOUS BUCKHEAD</v>
      </c>
      <c r="C1407" s="2"/>
    </row>
    <row r="1408" ht="15.75" customHeight="1">
      <c r="A1408" s="2">
        <f>IFERROR(__xludf.DUMMYFUNCTION("""COMPUTED_VALUE"""),45350.0)</f>
        <v>45350</v>
      </c>
      <c r="B1408" s="2" t="str">
        <f>IFERROR(__xludf.DUMMYFUNCTION("""COMPUTED_VALUE"""),"PREVIOUS OAK GROVE")</f>
        <v>PREVIOUS OAK GROVE</v>
      </c>
      <c r="C1408" s="2"/>
    </row>
    <row r="1409" ht="15.75" customHeight="1">
      <c r="A1409" s="2">
        <f>IFERROR(__xludf.DUMMYFUNCTION("""COMPUTED_VALUE"""),45350.0)</f>
        <v>45350</v>
      </c>
      <c r="B1409" s="2" t="str">
        <f>IFERROR(__xludf.DUMMYFUNCTION("""COMPUTED_VALUE"""),"DUNWOODY/PTC ")</f>
        <v>DUNWOODY/PTC </v>
      </c>
      <c r="C1409" s="2">
        <f>IFERROR(__xludf.DUMMYFUNCTION("""COMPUTED_VALUE"""),1708.0)</f>
        <v>1708</v>
      </c>
    </row>
    <row r="1410" ht="15.75" customHeight="1">
      <c r="A1410" s="2">
        <f>IFERROR(__xludf.DUMMYFUNCTION("""COMPUTED_VALUE"""),45350.0)</f>
        <v>45350</v>
      </c>
      <c r="B1410" s="2" t="str">
        <f>IFERROR(__xludf.DUMMYFUNCTION("""COMPUTED_VALUE"""),"E COBB/ROSWELL")</f>
        <v>E COBB/ROSWELL</v>
      </c>
      <c r="C1410" s="2">
        <f>IFERROR(__xludf.DUMMYFUNCTION("""COMPUTED_VALUE"""),946.0)</f>
        <v>946</v>
      </c>
    </row>
    <row r="1411" ht="15.75" customHeight="1">
      <c r="A1411" s="2">
        <f>IFERROR(__xludf.DUMMYFUNCTION("""COMPUTED_VALUE"""),45350.0)</f>
        <v>45350</v>
      </c>
      <c r="B1411" s="2" t="str">
        <f>IFERROR(__xludf.DUMMYFUNCTION("""COMPUTED_VALUE"""),"DECATUR")</f>
        <v>DECATUR</v>
      </c>
      <c r="C1411" s="2">
        <f>IFERROR(__xludf.DUMMYFUNCTION("""COMPUTED_VALUE"""),81.0)</f>
        <v>81</v>
      </c>
    </row>
    <row r="1412" ht="15.75" customHeight="1">
      <c r="A1412" s="2">
        <f>IFERROR(__xludf.DUMMYFUNCTION("""COMPUTED_VALUE"""),45350.0)</f>
        <v>45350</v>
      </c>
      <c r="B1412" s="2" t="str">
        <f>IFERROR(__xludf.DUMMYFUNCTION("""COMPUTED_VALUE"""),"P'TREE CORNERS ")</f>
        <v>P'TREE CORNERS </v>
      </c>
      <c r="C1412" s="2"/>
    </row>
    <row r="1413" ht="15.75" customHeight="1">
      <c r="A1413" s="2">
        <f>IFERROR(__xludf.DUMMYFUNCTION("""COMPUTED_VALUE"""),45350.0)</f>
        <v>45350</v>
      </c>
      <c r="B1413" s="2" t="str">
        <f>IFERROR(__xludf.DUMMYFUNCTION("""COMPUTED_VALUE"""),"UGA/Athens")</f>
        <v>UGA/Athens</v>
      </c>
      <c r="C1413" s="2"/>
    </row>
    <row r="1414" ht="15.75" customHeight="1">
      <c r="A1414" s="2">
        <f>IFERROR(__xludf.DUMMYFUNCTION("""COMPUTED_VALUE"""),45350.0)</f>
        <v>45350</v>
      </c>
      <c r="B1414" s="2" t="str">
        <f>IFERROR(__xludf.DUMMYFUNCTION("""COMPUTED_VALUE"""),"SANDY SPRINGS ")</f>
        <v>SANDY SPRINGS </v>
      </c>
      <c r="C1414" s="2">
        <f>IFERROR(__xludf.DUMMYFUNCTION("""COMPUTED_VALUE"""),451.0)</f>
        <v>451</v>
      </c>
    </row>
    <row r="1415" ht="15.75" customHeight="1">
      <c r="A1415" s="2">
        <f>IFERROR(__xludf.DUMMYFUNCTION("""COMPUTED_VALUE"""),45350.0)</f>
        <v>45350</v>
      </c>
      <c r="B1415" s="2" t="str">
        <f>IFERROR(__xludf.DUMMYFUNCTION("""COMPUTED_VALUE"""),"INTOWN/DRUID HILLS ")</f>
        <v>INTOWN/DRUID HILLS </v>
      </c>
      <c r="C1415" s="2">
        <f>IFERROR(__xludf.DUMMYFUNCTION("""COMPUTED_VALUE"""),749.0)</f>
        <v>749</v>
      </c>
    </row>
    <row r="1416" ht="15.75" customHeight="1">
      <c r="A1416" s="2">
        <f>IFERROR(__xludf.DUMMYFUNCTION("""COMPUTED_VALUE"""),45350.0)</f>
        <v>45350</v>
      </c>
      <c r="B1416" s="2" t="str">
        <f>IFERROR(__xludf.DUMMYFUNCTION("""COMPUTED_VALUE"""),"SNELLVILLE")</f>
        <v>SNELLVILLE</v>
      </c>
      <c r="C1416" s="2">
        <f>IFERROR(__xludf.DUMMYFUNCTION("""COMPUTED_VALUE"""),74.0)</f>
        <v>74</v>
      </c>
    </row>
    <row r="1417" ht="15.75" customHeight="1">
      <c r="A1417" s="2">
        <f>IFERROR(__xludf.DUMMYFUNCTION("""COMPUTED_VALUE"""),45350.0)</f>
        <v>45350</v>
      </c>
      <c r="B1417" s="2" t="str">
        <f>IFERROR(__xludf.DUMMYFUNCTION("""COMPUTED_VALUE"""),"GROUPS")</f>
        <v>GROUPS</v>
      </c>
      <c r="C1417" s="2"/>
    </row>
    <row r="1418" ht="15.75" customHeight="1">
      <c r="A1418" s="2">
        <f>IFERROR(__xludf.DUMMYFUNCTION("""COMPUTED_VALUE"""),45350.0)</f>
        <v>45350</v>
      </c>
      <c r="B1418" s="2" t="str">
        <f>IFERROR(__xludf.DUMMYFUNCTION("""COMPUTED_VALUE"""),"Previous Woodstock")</f>
        <v>Previous Woodstock</v>
      </c>
      <c r="C1418" s="2"/>
    </row>
    <row r="1419" ht="15.75" customHeight="1">
      <c r="A1419" s="2">
        <f>IFERROR(__xludf.DUMMYFUNCTION("""COMPUTED_VALUE"""),45350.0)</f>
        <v>45350</v>
      </c>
      <c r="B1419" s="2" t="str">
        <f>IFERROR(__xludf.DUMMYFUNCTION("""COMPUTED_VALUE"""),"Previous Lenox/Brookhaven")</f>
        <v>Previous Lenox/Brookhaven</v>
      </c>
      <c r="C1419" s="2"/>
    </row>
    <row r="1420" ht="15.75" customHeight="1">
      <c r="A1420" s="2">
        <f>IFERROR(__xludf.DUMMYFUNCTION("""COMPUTED_VALUE"""),45350.0)</f>
        <v>45350</v>
      </c>
      <c r="B1420" s="2" t="str">
        <f>IFERROR(__xludf.DUMMYFUNCTION("""COMPUTED_VALUE"""),"Previous New Chastain")</f>
        <v>Previous New Chastain</v>
      </c>
      <c r="C1420" s="2"/>
    </row>
    <row r="1421" ht="15.75" customHeight="1">
      <c r="A1421" s="2">
        <f>IFERROR(__xludf.DUMMYFUNCTION("""COMPUTED_VALUE"""),45350.0)</f>
        <v>45350</v>
      </c>
      <c r="B1421" s="2" t="str">
        <f>IFERROR(__xludf.DUMMYFUNCTION("""COMPUTED_VALUE"""),"Previous Glenwood Park")</f>
        <v>Previous Glenwood Park</v>
      </c>
      <c r="C1421" s="2"/>
    </row>
    <row r="1422" ht="15.75" customHeight="1">
      <c r="A1422" s="2">
        <f>IFERROR(__xludf.DUMMYFUNCTION("""COMPUTED_VALUE"""),45350.0)</f>
        <v>45350</v>
      </c>
      <c r="B1422" s="2" t="str">
        <f>IFERROR(__xludf.DUMMYFUNCTION("""COMPUTED_VALUE"""),"FLOWERY BRANCH")</f>
        <v>FLOWERY BRANCH</v>
      </c>
      <c r="C1422" s="2">
        <f>IFERROR(__xludf.DUMMYFUNCTION("""COMPUTED_VALUE"""),353.0)</f>
        <v>353</v>
      </c>
    </row>
    <row r="1423" ht="15.75" customHeight="1">
      <c r="A1423" s="2">
        <f>IFERROR(__xludf.DUMMYFUNCTION("""COMPUTED_VALUE"""),45350.0)</f>
        <v>45350</v>
      </c>
      <c r="B1423" s="2" t="str">
        <f>IFERROR(__xludf.DUMMYFUNCTION("""COMPUTED_VALUE"""),"GROUPS ")</f>
        <v>GROUPS </v>
      </c>
      <c r="C1423" s="2">
        <f>IFERROR(__xludf.DUMMYFUNCTION("""COMPUTED_VALUE"""),1000.0)</f>
        <v>1000</v>
      </c>
    </row>
    <row r="1424" ht="15.75" customHeight="1">
      <c r="A1424" s="2">
        <f>IFERROR(__xludf.DUMMYFUNCTION("""COMPUTED_VALUE"""),45350.0)</f>
        <v>45350</v>
      </c>
      <c r="B1424" s="2" t="str">
        <f>IFERROR(__xludf.DUMMYFUNCTION("""COMPUTED_VALUE"""),"TOTAL")</f>
        <v>TOTAL</v>
      </c>
      <c r="C1424" s="2"/>
    </row>
    <row r="1425" ht="15.75" customHeight="1">
      <c r="A1425" s="2">
        <f>IFERROR(__xludf.DUMMYFUNCTION("""COMPUTED_VALUE"""),45350.0)</f>
        <v>45350</v>
      </c>
      <c r="B1425" s="2" t="str">
        <f>IFERROR(__xludf.DUMMYFUNCTION("""COMPUTED_VALUE"""),"Collective Learning")</f>
        <v>Collective Learning</v>
      </c>
      <c r="C1425" s="2"/>
    </row>
    <row r="1426" ht="15.75" customHeight="1">
      <c r="A1426" s="2">
        <f>IFERROR(__xludf.DUMMYFUNCTION("""COMPUTED_VALUE"""),45350.0)</f>
        <v>45350</v>
      </c>
      <c r="B1426" s="2" t="str">
        <f>IFERROR(__xludf.DUMMYFUNCTION("""COMPUTED_VALUE"""),"NOTES")</f>
        <v>NOTES</v>
      </c>
      <c r="C1426" s="2"/>
    </row>
    <row r="1427" ht="15.75" customHeight="1">
      <c r="A1427" s="2">
        <f>IFERROR(__xludf.DUMMYFUNCTION("""COMPUTED_VALUE"""),45357.0)</f>
        <v>45357</v>
      </c>
      <c r="B1427" s="2" t="str">
        <f>IFERROR(__xludf.DUMMYFUNCTION("""COMPUTED_VALUE"""),"# of Sandwiches")</f>
        <v># of Sandwiches</v>
      </c>
      <c r="C1427" s="2">
        <f>IFERROR(__xludf.DUMMYFUNCTION("""COMPUTED_VALUE"""),9931.0)</f>
        <v>9931</v>
      </c>
    </row>
    <row r="1428" ht="15.75" customHeight="1">
      <c r="A1428" s="2">
        <f>IFERROR(__xludf.DUMMYFUNCTION("""COMPUTED_VALUE"""),45357.0)</f>
        <v>45357</v>
      </c>
      <c r="B1428" s="2" t="str">
        <f>IFERROR(__xludf.DUMMYFUNCTION("""COMPUTED_VALUE"""),"ALPHARETTA")</f>
        <v>ALPHARETTA</v>
      </c>
      <c r="C1428" s="2">
        <f>IFERROR(__xludf.DUMMYFUNCTION("""COMPUTED_VALUE"""),1324.0)</f>
        <v>1324</v>
      </c>
    </row>
    <row r="1429" ht="15.75" customHeight="1">
      <c r="A1429" s="2">
        <f>IFERROR(__xludf.DUMMYFUNCTION("""COMPUTED_VALUE"""),45357.0)</f>
        <v>45357</v>
      </c>
      <c r="B1429" s="2" t="str">
        <f>IFERROR(__xludf.DUMMYFUNCTION("""COMPUTED_VALUE"""),"PREVIOUS BUCKHEAD")</f>
        <v>PREVIOUS BUCKHEAD</v>
      </c>
      <c r="C1429" s="2"/>
    </row>
    <row r="1430" ht="15.75" customHeight="1">
      <c r="A1430" s="2">
        <f>IFERROR(__xludf.DUMMYFUNCTION("""COMPUTED_VALUE"""),45357.0)</f>
        <v>45357</v>
      </c>
      <c r="B1430" s="2" t="str">
        <f>IFERROR(__xludf.DUMMYFUNCTION("""COMPUTED_VALUE"""),"PREVIOUS OAK GROVE")</f>
        <v>PREVIOUS OAK GROVE</v>
      </c>
      <c r="C1430" s="2"/>
    </row>
    <row r="1431" ht="15.75" customHeight="1">
      <c r="A1431" s="2">
        <f>IFERROR(__xludf.DUMMYFUNCTION("""COMPUTED_VALUE"""),45357.0)</f>
        <v>45357</v>
      </c>
      <c r="B1431" s="2" t="str">
        <f>IFERROR(__xludf.DUMMYFUNCTION("""COMPUTED_VALUE"""),"DUNWOODY/PTC ")</f>
        <v>DUNWOODY/PTC </v>
      </c>
      <c r="C1431" s="2">
        <f>IFERROR(__xludf.DUMMYFUNCTION("""COMPUTED_VALUE"""),1351.0)</f>
        <v>1351</v>
      </c>
    </row>
    <row r="1432" ht="15.75" customHeight="1">
      <c r="A1432" s="2">
        <f>IFERROR(__xludf.DUMMYFUNCTION("""COMPUTED_VALUE"""),45357.0)</f>
        <v>45357</v>
      </c>
      <c r="B1432" s="2" t="str">
        <f>IFERROR(__xludf.DUMMYFUNCTION("""COMPUTED_VALUE"""),"E COBB/ROSWELL")</f>
        <v>E COBB/ROSWELL</v>
      </c>
      <c r="C1432" s="2">
        <f>IFERROR(__xludf.DUMMYFUNCTION("""COMPUTED_VALUE"""),1160.0)</f>
        <v>1160</v>
      </c>
    </row>
    <row r="1433" ht="15.75" customHeight="1">
      <c r="A1433" s="2">
        <f>IFERROR(__xludf.DUMMYFUNCTION("""COMPUTED_VALUE"""),45357.0)</f>
        <v>45357</v>
      </c>
      <c r="B1433" s="2" t="str">
        <f>IFERROR(__xludf.DUMMYFUNCTION("""COMPUTED_VALUE"""),"DECATUR")</f>
        <v>DECATUR</v>
      </c>
      <c r="C1433" s="2">
        <f>IFERROR(__xludf.DUMMYFUNCTION("""COMPUTED_VALUE"""),102.0)</f>
        <v>102</v>
      </c>
    </row>
    <row r="1434" ht="15.75" customHeight="1">
      <c r="A1434" s="2">
        <f>IFERROR(__xludf.DUMMYFUNCTION("""COMPUTED_VALUE"""),45357.0)</f>
        <v>45357</v>
      </c>
      <c r="B1434" s="2" t="str">
        <f>IFERROR(__xludf.DUMMYFUNCTION("""COMPUTED_VALUE"""),"P'TREE CORNERS ")</f>
        <v>P'TREE CORNERS </v>
      </c>
      <c r="C1434" s="2"/>
    </row>
    <row r="1435" ht="15.75" customHeight="1">
      <c r="A1435" s="2">
        <f>IFERROR(__xludf.DUMMYFUNCTION("""COMPUTED_VALUE"""),45357.0)</f>
        <v>45357</v>
      </c>
      <c r="B1435" s="2" t="str">
        <f>IFERROR(__xludf.DUMMYFUNCTION("""COMPUTED_VALUE"""),"UGA/Athens")</f>
        <v>UGA/Athens</v>
      </c>
      <c r="C1435" s="2"/>
    </row>
    <row r="1436" ht="15.75" customHeight="1">
      <c r="A1436" s="2">
        <f>IFERROR(__xludf.DUMMYFUNCTION("""COMPUTED_VALUE"""),45357.0)</f>
        <v>45357</v>
      </c>
      <c r="B1436" s="2" t="str">
        <f>IFERROR(__xludf.DUMMYFUNCTION("""COMPUTED_VALUE"""),"SANDY SPRINGS ")</f>
        <v>SANDY SPRINGS </v>
      </c>
      <c r="C1436" s="2">
        <f>IFERROR(__xludf.DUMMYFUNCTION("""COMPUTED_VALUE"""),367.0)</f>
        <v>367</v>
      </c>
    </row>
    <row r="1437" ht="15.75" customHeight="1">
      <c r="A1437" s="2">
        <f>IFERROR(__xludf.DUMMYFUNCTION("""COMPUTED_VALUE"""),45357.0)</f>
        <v>45357</v>
      </c>
      <c r="B1437" s="2" t="str">
        <f>IFERROR(__xludf.DUMMYFUNCTION("""COMPUTED_VALUE"""),"INTOWN/DRUID HILLS ")</f>
        <v>INTOWN/DRUID HILLS </v>
      </c>
      <c r="C1437" s="2">
        <f>IFERROR(__xludf.DUMMYFUNCTION("""COMPUTED_VALUE"""),745.0)</f>
        <v>745</v>
      </c>
    </row>
    <row r="1438" ht="15.75" customHeight="1">
      <c r="A1438" s="2">
        <f>IFERROR(__xludf.DUMMYFUNCTION("""COMPUTED_VALUE"""),45357.0)</f>
        <v>45357</v>
      </c>
      <c r="B1438" s="2" t="str">
        <f>IFERROR(__xludf.DUMMYFUNCTION("""COMPUTED_VALUE"""),"SNELLVILLE")</f>
        <v>SNELLVILLE</v>
      </c>
      <c r="C1438" s="2">
        <f>IFERROR(__xludf.DUMMYFUNCTION("""COMPUTED_VALUE"""),74.0)</f>
        <v>74</v>
      </c>
    </row>
    <row r="1439" ht="15.75" customHeight="1">
      <c r="A1439" s="2">
        <f>IFERROR(__xludf.DUMMYFUNCTION("""COMPUTED_VALUE"""),45357.0)</f>
        <v>45357</v>
      </c>
      <c r="B1439" s="2" t="str">
        <f>IFERROR(__xludf.DUMMYFUNCTION("""COMPUTED_VALUE"""),"GROUPS")</f>
        <v>GROUPS</v>
      </c>
      <c r="C1439" s="2"/>
    </row>
    <row r="1440" ht="15.75" customHeight="1">
      <c r="A1440" s="2">
        <f>IFERROR(__xludf.DUMMYFUNCTION("""COMPUTED_VALUE"""),45357.0)</f>
        <v>45357</v>
      </c>
      <c r="B1440" s="2" t="str">
        <f>IFERROR(__xludf.DUMMYFUNCTION("""COMPUTED_VALUE"""),"Previous Woodstock")</f>
        <v>Previous Woodstock</v>
      </c>
      <c r="C1440" s="2"/>
    </row>
    <row r="1441" ht="15.75" customHeight="1">
      <c r="A1441" s="2">
        <f>IFERROR(__xludf.DUMMYFUNCTION("""COMPUTED_VALUE"""),45357.0)</f>
        <v>45357</v>
      </c>
      <c r="B1441" s="2" t="str">
        <f>IFERROR(__xludf.DUMMYFUNCTION("""COMPUTED_VALUE"""),"Previous Lenox/Brookhaven")</f>
        <v>Previous Lenox/Brookhaven</v>
      </c>
      <c r="C1441" s="2"/>
    </row>
    <row r="1442" ht="15.75" customHeight="1">
      <c r="A1442" s="2">
        <f>IFERROR(__xludf.DUMMYFUNCTION("""COMPUTED_VALUE"""),45357.0)</f>
        <v>45357</v>
      </c>
      <c r="B1442" s="2" t="str">
        <f>IFERROR(__xludf.DUMMYFUNCTION("""COMPUTED_VALUE"""),"Previous New Chastain")</f>
        <v>Previous New Chastain</v>
      </c>
      <c r="C1442" s="2"/>
    </row>
    <row r="1443" ht="15.75" customHeight="1">
      <c r="A1443" s="2">
        <f>IFERROR(__xludf.DUMMYFUNCTION("""COMPUTED_VALUE"""),45357.0)</f>
        <v>45357</v>
      </c>
      <c r="B1443" s="2" t="str">
        <f>IFERROR(__xludf.DUMMYFUNCTION("""COMPUTED_VALUE"""),"Previous Glenwood Park")</f>
        <v>Previous Glenwood Park</v>
      </c>
      <c r="C1443" s="2"/>
    </row>
    <row r="1444" ht="15.75" customHeight="1">
      <c r="A1444" s="2">
        <f>IFERROR(__xludf.DUMMYFUNCTION("""COMPUTED_VALUE"""),45357.0)</f>
        <v>45357</v>
      </c>
      <c r="B1444" s="2" t="str">
        <f>IFERROR(__xludf.DUMMYFUNCTION("""COMPUTED_VALUE"""),"FLOWERY BRANCH")</f>
        <v>FLOWERY BRANCH</v>
      </c>
      <c r="C1444" s="2">
        <f>IFERROR(__xludf.DUMMYFUNCTION("""COMPUTED_VALUE"""),264.0)</f>
        <v>264</v>
      </c>
    </row>
    <row r="1445" ht="15.75" customHeight="1">
      <c r="A1445" s="2">
        <f>IFERROR(__xludf.DUMMYFUNCTION("""COMPUTED_VALUE"""),45357.0)</f>
        <v>45357</v>
      </c>
      <c r="B1445" s="2" t="str">
        <f>IFERROR(__xludf.DUMMYFUNCTION("""COMPUTED_VALUE"""),"GROUPS ")</f>
        <v>GROUPS </v>
      </c>
      <c r="C1445" s="2">
        <f>IFERROR(__xludf.DUMMYFUNCTION("""COMPUTED_VALUE"""),4544.0)</f>
        <v>4544</v>
      </c>
    </row>
    <row r="1446" ht="15.75" customHeight="1">
      <c r="A1446" s="2">
        <f>IFERROR(__xludf.DUMMYFUNCTION("""COMPUTED_VALUE"""),45357.0)</f>
        <v>45357</v>
      </c>
      <c r="B1446" s="2" t="str">
        <f>IFERROR(__xludf.DUMMYFUNCTION("""COMPUTED_VALUE"""),"TOTAL")</f>
        <v>TOTAL</v>
      </c>
      <c r="C1446" s="2"/>
    </row>
    <row r="1447" ht="15.75" customHeight="1">
      <c r="A1447" s="2">
        <f>IFERROR(__xludf.DUMMYFUNCTION("""COMPUTED_VALUE"""),45357.0)</f>
        <v>45357</v>
      </c>
      <c r="B1447" s="2" t="str">
        <f>IFERROR(__xludf.DUMMYFUNCTION("""COMPUTED_VALUE"""),"Collective Learning")</f>
        <v>Collective Learning</v>
      </c>
      <c r="C1447" s="2"/>
    </row>
    <row r="1448" ht="15.75" customHeight="1">
      <c r="A1448" s="2">
        <f>IFERROR(__xludf.DUMMYFUNCTION("""COMPUTED_VALUE"""),45357.0)</f>
        <v>45357</v>
      </c>
      <c r="B1448" s="2" t="str">
        <f>IFERROR(__xludf.DUMMYFUNCTION("""COMPUTED_VALUE"""),"NOTES")</f>
        <v>NOTES</v>
      </c>
      <c r="C1448" s="2"/>
    </row>
    <row r="1449" ht="15.75" customHeight="1">
      <c r="A1449" s="2">
        <f>IFERROR(__xludf.DUMMYFUNCTION("""COMPUTED_VALUE"""),45364.0)</f>
        <v>45364</v>
      </c>
      <c r="B1449" s="2" t="str">
        <f>IFERROR(__xludf.DUMMYFUNCTION("""COMPUTED_VALUE"""),"# of Sandwiches")</f>
        <v># of Sandwiches</v>
      </c>
      <c r="C1449" s="2">
        <f>IFERROR(__xludf.DUMMYFUNCTION("""COMPUTED_VALUE"""),8000.0)</f>
        <v>8000</v>
      </c>
    </row>
    <row r="1450" ht="15.75" customHeight="1">
      <c r="A1450" s="2">
        <f>IFERROR(__xludf.DUMMYFUNCTION("""COMPUTED_VALUE"""),45364.0)</f>
        <v>45364</v>
      </c>
      <c r="B1450" s="2" t="str">
        <f>IFERROR(__xludf.DUMMYFUNCTION("""COMPUTED_VALUE"""),"ALPHARETTA")</f>
        <v>ALPHARETTA</v>
      </c>
      <c r="C1450" s="2">
        <f>IFERROR(__xludf.DUMMYFUNCTION("""COMPUTED_VALUE"""),1254.0)</f>
        <v>1254</v>
      </c>
    </row>
    <row r="1451" ht="15.75" customHeight="1">
      <c r="A1451" s="2">
        <f>IFERROR(__xludf.DUMMYFUNCTION("""COMPUTED_VALUE"""),45364.0)</f>
        <v>45364</v>
      </c>
      <c r="B1451" s="2" t="str">
        <f>IFERROR(__xludf.DUMMYFUNCTION("""COMPUTED_VALUE"""),"PREVIOUS BUCKHEAD")</f>
        <v>PREVIOUS BUCKHEAD</v>
      </c>
      <c r="C1451" s="2"/>
    </row>
    <row r="1452" ht="15.75" customHeight="1">
      <c r="A1452" s="2">
        <f>IFERROR(__xludf.DUMMYFUNCTION("""COMPUTED_VALUE"""),45364.0)</f>
        <v>45364</v>
      </c>
      <c r="B1452" s="2" t="str">
        <f>IFERROR(__xludf.DUMMYFUNCTION("""COMPUTED_VALUE"""),"PREVIOUS OAK GROVE")</f>
        <v>PREVIOUS OAK GROVE</v>
      </c>
      <c r="C1452" s="2"/>
    </row>
    <row r="1453" ht="15.75" customHeight="1">
      <c r="A1453" s="2">
        <f>IFERROR(__xludf.DUMMYFUNCTION("""COMPUTED_VALUE"""),45364.0)</f>
        <v>45364</v>
      </c>
      <c r="B1453" s="2" t="str">
        <f>IFERROR(__xludf.DUMMYFUNCTION("""COMPUTED_VALUE"""),"DUNWOODY/PTC ")</f>
        <v>DUNWOODY/PTC </v>
      </c>
      <c r="C1453" s="2">
        <f>IFERROR(__xludf.DUMMYFUNCTION("""COMPUTED_VALUE"""),1878.0)</f>
        <v>1878</v>
      </c>
    </row>
    <row r="1454" ht="15.75" customHeight="1">
      <c r="A1454" s="2">
        <f>IFERROR(__xludf.DUMMYFUNCTION("""COMPUTED_VALUE"""),45364.0)</f>
        <v>45364</v>
      </c>
      <c r="B1454" s="2" t="str">
        <f>IFERROR(__xludf.DUMMYFUNCTION("""COMPUTED_VALUE"""),"E COBB/ROSWELL")</f>
        <v>E COBB/ROSWELL</v>
      </c>
      <c r="C1454" s="2">
        <f>IFERROR(__xludf.DUMMYFUNCTION("""COMPUTED_VALUE"""),1849.0)</f>
        <v>1849</v>
      </c>
    </row>
    <row r="1455" ht="15.75" customHeight="1">
      <c r="A1455" s="2">
        <f>IFERROR(__xludf.DUMMYFUNCTION("""COMPUTED_VALUE"""),45364.0)</f>
        <v>45364</v>
      </c>
      <c r="B1455" s="2" t="str">
        <f>IFERROR(__xludf.DUMMYFUNCTION("""COMPUTED_VALUE"""),"DECATUR")</f>
        <v>DECATUR</v>
      </c>
      <c r="C1455" s="2">
        <f>IFERROR(__xludf.DUMMYFUNCTION("""COMPUTED_VALUE"""),106.0)</f>
        <v>106</v>
      </c>
    </row>
    <row r="1456" ht="15.75" customHeight="1">
      <c r="A1456" s="2">
        <f>IFERROR(__xludf.DUMMYFUNCTION("""COMPUTED_VALUE"""),45364.0)</f>
        <v>45364</v>
      </c>
      <c r="B1456" s="2" t="str">
        <f>IFERROR(__xludf.DUMMYFUNCTION("""COMPUTED_VALUE"""),"P'TREE CORNERS ")</f>
        <v>P'TREE CORNERS </v>
      </c>
      <c r="C1456" s="2"/>
    </row>
    <row r="1457" ht="15.75" customHeight="1">
      <c r="A1457" s="2">
        <f>IFERROR(__xludf.DUMMYFUNCTION("""COMPUTED_VALUE"""),45364.0)</f>
        <v>45364</v>
      </c>
      <c r="B1457" s="2" t="str">
        <f>IFERROR(__xludf.DUMMYFUNCTION("""COMPUTED_VALUE"""),"UGA/Athens")</f>
        <v>UGA/Athens</v>
      </c>
      <c r="C1457" s="2"/>
    </row>
    <row r="1458" ht="15.75" customHeight="1">
      <c r="A1458" s="2">
        <f>IFERROR(__xludf.DUMMYFUNCTION("""COMPUTED_VALUE"""),45364.0)</f>
        <v>45364</v>
      </c>
      <c r="B1458" s="2" t="str">
        <f>IFERROR(__xludf.DUMMYFUNCTION("""COMPUTED_VALUE"""),"SANDY SPRINGS ")</f>
        <v>SANDY SPRINGS </v>
      </c>
      <c r="C1458" s="2">
        <f>IFERROR(__xludf.DUMMYFUNCTION("""COMPUTED_VALUE"""),788.0)</f>
        <v>788</v>
      </c>
    </row>
    <row r="1459" ht="15.75" customHeight="1">
      <c r="A1459" s="2">
        <f>IFERROR(__xludf.DUMMYFUNCTION("""COMPUTED_VALUE"""),45364.0)</f>
        <v>45364</v>
      </c>
      <c r="B1459" s="2" t="str">
        <f>IFERROR(__xludf.DUMMYFUNCTION("""COMPUTED_VALUE"""),"INTOWN/DRUID HILLS ")</f>
        <v>INTOWN/DRUID HILLS </v>
      </c>
      <c r="C1459" s="2">
        <f>IFERROR(__xludf.DUMMYFUNCTION("""COMPUTED_VALUE"""),277.0)</f>
        <v>277</v>
      </c>
    </row>
    <row r="1460" ht="15.75" customHeight="1">
      <c r="A1460" s="2">
        <f>IFERROR(__xludf.DUMMYFUNCTION("""COMPUTED_VALUE"""),45364.0)</f>
        <v>45364</v>
      </c>
      <c r="B1460" s="2" t="str">
        <f>IFERROR(__xludf.DUMMYFUNCTION("""COMPUTED_VALUE"""),"SNELLVILLE")</f>
        <v>SNELLVILLE</v>
      </c>
      <c r="C1460" s="2">
        <f>IFERROR(__xludf.DUMMYFUNCTION("""COMPUTED_VALUE"""),114.0)</f>
        <v>114</v>
      </c>
    </row>
    <row r="1461" ht="15.75" customHeight="1">
      <c r="A1461" s="2">
        <f>IFERROR(__xludf.DUMMYFUNCTION("""COMPUTED_VALUE"""),45364.0)</f>
        <v>45364</v>
      </c>
      <c r="B1461" s="2" t="str">
        <f>IFERROR(__xludf.DUMMYFUNCTION("""COMPUTED_VALUE"""),"GROUPS")</f>
        <v>GROUPS</v>
      </c>
      <c r="C1461" s="2"/>
    </row>
    <row r="1462" ht="15.75" customHeight="1">
      <c r="A1462" s="2">
        <f>IFERROR(__xludf.DUMMYFUNCTION("""COMPUTED_VALUE"""),45364.0)</f>
        <v>45364</v>
      </c>
      <c r="B1462" s="2" t="str">
        <f>IFERROR(__xludf.DUMMYFUNCTION("""COMPUTED_VALUE"""),"Previous Woodstock")</f>
        <v>Previous Woodstock</v>
      </c>
      <c r="C1462" s="2"/>
    </row>
    <row r="1463" ht="15.75" customHeight="1">
      <c r="A1463" s="2">
        <f>IFERROR(__xludf.DUMMYFUNCTION("""COMPUTED_VALUE"""),45364.0)</f>
        <v>45364</v>
      </c>
      <c r="B1463" s="2" t="str">
        <f>IFERROR(__xludf.DUMMYFUNCTION("""COMPUTED_VALUE"""),"Previous Lenox/Brookhaven")</f>
        <v>Previous Lenox/Brookhaven</v>
      </c>
      <c r="C1463" s="2"/>
    </row>
    <row r="1464" ht="15.75" customHeight="1">
      <c r="A1464" s="2">
        <f>IFERROR(__xludf.DUMMYFUNCTION("""COMPUTED_VALUE"""),45364.0)</f>
        <v>45364</v>
      </c>
      <c r="B1464" s="2" t="str">
        <f>IFERROR(__xludf.DUMMYFUNCTION("""COMPUTED_VALUE"""),"Previous New Chastain")</f>
        <v>Previous New Chastain</v>
      </c>
      <c r="C1464" s="2"/>
    </row>
    <row r="1465" ht="15.75" customHeight="1">
      <c r="A1465" s="2">
        <f>IFERROR(__xludf.DUMMYFUNCTION("""COMPUTED_VALUE"""),45364.0)</f>
        <v>45364</v>
      </c>
      <c r="B1465" s="2" t="str">
        <f>IFERROR(__xludf.DUMMYFUNCTION("""COMPUTED_VALUE"""),"Previous Glenwood Park")</f>
        <v>Previous Glenwood Park</v>
      </c>
      <c r="C1465" s="2"/>
    </row>
    <row r="1466" ht="15.75" customHeight="1">
      <c r="A1466" s="2">
        <f>IFERROR(__xludf.DUMMYFUNCTION("""COMPUTED_VALUE"""),45364.0)</f>
        <v>45364</v>
      </c>
      <c r="B1466" s="2" t="str">
        <f>IFERROR(__xludf.DUMMYFUNCTION("""COMPUTED_VALUE"""),"FLOWERY BRANCH")</f>
        <v>FLOWERY BRANCH</v>
      </c>
      <c r="C1466" s="2">
        <f>IFERROR(__xludf.DUMMYFUNCTION("""COMPUTED_VALUE"""),0.0)</f>
        <v>0</v>
      </c>
    </row>
    <row r="1467" ht="15.75" customHeight="1">
      <c r="A1467" s="2">
        <f>IFERROR(__xludf.DUMMYFUNCTION("""COMPUTED_VALUE"""),45364.0)</f>
        <v>45364</v>
      </c>
      <c r="B1467" s="2" t="str">
        <f>IFERROR(__xludf.DUMMYFUNCTION("""COMPUTED_VALUE"""),"GROUPS ")</f>
        <v>GROUPS </v>
      </c>
      <c r="C1467" s="2">
        <f>IFERROR(__xludf.DUMMYFUNCTION("""COMPUTED_VALUE"""),1734.0)</f>
        <v>1734</v>
      </c>
    </row>
    <row r="1468" ht="15.75" customHeight="1">
      <c r="A1468" s="2">
        <f>IFERROR(__xludf.DUMMYFUNCTION("""COMPUTED_VALUE"""),45364.0)</f>
        <v>45364</v>
      </c>
      <c r="B1468" s="2" t="str">
        <f>IFERROR(__xludf.DUMMYFUNCTION("""COMPUTED_VALUE"""),"TOTAL")</f>
        <v>TOTAL</v>
      </c>
      <c r="C1468" s="2"/>
    </row>
    <row r="1469" ht="15.75" customHeight="1">
      <c r="A1469" s="2">
        <f>IFERROR(__xludf.DUMMYFUNCTION("""COMPUTED_VALUE"""),45364.0)</f>
        <v>45364</v>
      </c>
      <c r="B1469" s="2" t="str">
        <f>IFERROR(__xludf.DUMMYFUNCTION("""COMPUTED_VALUE"""),"Collective Learning")</f>
        <v>Collective Learning</v>
      </c>
      <c r="C1469" s="2"/>
    </row>
    <row r="1470" ht="15.75" customHeight="1">
      <c r="A1470" s="2">
        <f>IFERROR(__xludf.DUMMYFUNCTION("""COMPUTED_VALUE"""),45364.0)</f>
        <v>45364</v>
      </c>
      <c r="B1470" s="2" t="str">
        <f>IFERROR(__xludf.DUMMYFUNCTION("""COMPUTED_VALUE"""),"NOTES")</f>
        <v>NOTES</v>
      </c>
      <c r="C1470" s="2"/>
    </row>
    <row r="1471" ht="15.75" customHeight="1">
      <c r="A1471" s="2">
        <f>IFERROR(__xludf.DUMMYFUNCTION("""COMPUTED_VALUE"""),45371.0)</f>
        <v>45371</v>
      </c>
      <c r="B1471" s="2" t="str">
        <f>IFERROR(__xludf.DUMMYFUNCTION("""COMPUTED_VALUE"""),"# of Sandwiches")</f>
        <v># of Sandwiches</v>
      </c>
      <c r="C1471" s="2">
        <f>IFERROR(__xludf.DUMMYFUNCTION("""COMPUTED_VALUE"""),11315.0)</f>
        <v>11315</v>
      </c>
    </row>
    <row r="1472" ht="15.75" customHeight="1">
      <c r="A1472" s="2">
        <f>IFERROR(__xludf.DUMMYFUNCTION("""COMPUTED_VALUE"""),45371.0)</f>
        <v>45371</v>
      </c>
      <c r="B1472" s="2" t="str">
        <f>IFERROR(__xludf.DUMMYFUNCTION("""COMPUTED_VALUE"""),"ALPHARETTA")</f>
        <v>ALPHARETTA</v>
      </c>
      <c r="C1472" s="2">
        <f>IFERROR(__xludf.DUMMYFUNCTION("""COMPUTED_VALUE"""),795.0)</f>
        <v>795</v>
      </c>
    </row>
    <row r="1473" ht="15.75" customHeight="1">
      <c r="A1473" s="2">
        <f>IFERROR(__xludf.DUMMYFUNCTION("""COMPUTED_VALUE"""),45371.0)</f>
        <v>45371</v>
      </c>
      <c r="B1473" s="2" t="str">
        <f>IFERROR(__xludf.DUMMYFUNCTION("""COMPUTED_VALUE"""),"PREVIOUS BUCKHEAD")</f>
        <v>PREVIOUS BUCKHEAD</v>
      </c>
      <c r="C1473" s="2"/>
    </row>
    <row r="1474" ht="15.75" customHeight="1">
      <c r="A1474" s="2">
        <f>IFERROR(__xludf.DUMMYFUNCTION("""COMPUTED_VALUE"""),45371.0)</f>
        <v>45371</v>
      </c>
      <c r="B1474" s="2" t="str">
        <f>IFERROR(__xludf.DUMMYFUNCTION("""COMPUTED_VALUE"""),"PREVIOUS OAK GROVE")</f>
        <v>PREVIOUS OAK GROVE</v>
      </c>
      <c r="C1474" s="2"/>
    </row>
    <row r="1475" ht="15.75" customHeight="1">
      <c r="A1475" s="2">
        <f>IFERROR(__xludf.DUMMYFUNCTION("""COMPUTED_VALUE"""),45371.0)</f>
        <v>45371</v>
      </c>
      <c r="B1475" s="2" t="str">
        <f>IFERROR(__xludf.DUMMYFUNCTION("""COMPUTED_VALUE"""),"DUNWOODY/PTC ")</f>
        <v>DUNWOODY/PTC </v>
      </c>
      <c r="C1475" s="2">
        <f>IFERROR(__xludf.DUMMYFUNCTION("""COMPUTED_VALUE"""),1672.0)</f>
        <v>1672</v>
      </c>
    </row>
    <row r="1476" ht="15.75" customHeight="1">
      <c r="A1476" s="2">
        <f>IFERROR(__xludf.DUMMYFUNCTION("""COMPUTED_VALUE"""),45371.0)</f>
        <v>45371</v>
      </c>
      <c r="B1476" s="2" t="str">
        <f>IFERROR(__xludf.DUMMYFUNCTION("""COMPUTED_VALUE"""),"E COBB/ROSWELL")</f>
        <v>E COBB/ROSWELL</v>
      </c>
      <c r="C1476" s="2">
        <f>IFERROR(__xludf.DUMMYFUNCTION("""COMPUTED_VALUE"""),1845.0)</f>
        <v>1845</v>
      </c>
    </row>
    <row r="1477" ht="15.75" customHeight="1">
      <c r="A1477" s="2">
        <f>IFERROR(__xludf.DUMMYFUNCTION("""COMPUTED_VALUE"""),45371.0)</f>
        <v>45371</v>
      </c>
      <c r="B1477" s="2" t="str">
        <f>IFERROR(__xludf.DUMMYFUNCTION("""COMPUTED_VALUE"""),"DECATUR")</f>
        <v>DECATUR</v>
      </c>
      <c r="C1477" s="2">
        <f>IFERROR(__xludf.DUMMYFUNCTION("""COMPUTED_VALUE"""),82.0)</f>
        <v>82</v>
      </c>
    </row>
    <row r="1478" ht="15.75" customHeight="1">
      <c r="A1478" s="2">
        <f>IFERROR(__xludf.DUMMYFUNCTION("""COMPUTED_VALUE"""),45371.0)</f>
        <v>45371</v>
      </c>
      <c r="B1478" s="2" t="str">
        <f>IFERROR(__xludf.DUMMYFUNCTION("""COMPUTED_VALUE"""),"P'TREE CORNERS ")</f>
        <v>P'TREE CORNERS </v>
      </c>
      <c r="C1478" s="2"/>
    </row>
    <row r="1479" ht="15.75" customHeight="1">
      <c r="A1479" s="2">
        <f>IFERROR(__xludf.DUMMYFUNCTION("""COMPUTED_VALUE"""),45371.0)</f>
        <v>45371</v>
      </c>
      <c r="B1479" s="2" t="str">
        <f>IFERROR(__xludf.DUMMYFUNCTION("""COMPUTED_VALUE"""),"UGA/Athens")</f>
        <v>UGA/Athens</v>
      </c>
      <c r="C1479" s="2"/>
    </row>
    <row r="1480" ht="15.75" customHeight="1">
      <c r="A1480" s="2">
        <f>IFERROR(__xludf.DUMMYFUNCTION("""COMPUTED_VALUE"""),45371.0)</f>
        <v>45371</v>
      </c>
      <c r="B1480" s="2" t="str">
        <f>IFERROR(__xludf.DUMMYFUNCTION("""COMPUTED_VALUE"""),"SANDY SPRINGS ")</f>
        <v>SANDY SPRINGS </v>
      </c>
      <c r="C1480" s="2">
        <f>IFERROR(__xludf.DUMMYFUNCTION("""COMPUTED_VALUE"""),736.0)</f>
        <v>736</v>
      </c>
    </row>
    <row r="1481" ht="15.75" customHeight="1">
      <c r="A1481" s="2">
        <f>IFERROR(__xludf.DUMMYFUNCTION("""COMPUTED_VALUE"""),45371.0)</f>
        <v>45371</v>
      </c>
      <c r="B1481" s="2" t="str">
        <f>IFERROR(__xludf.DUMMYFUNCTION("""COMPUTED_VALUE"""),"INTOWN/DRUID HILLS ")</f>
        <v>INTOWN/DRUID HILLS </v>
      </c>
      <c r="C1481" s="2">
        <f>IFERROR(__xludf.DUMMYFUNCTION("""COMPUTED_VALUE"""),941.0)</f>
        <v>941</v>
      </c>
    </row>
    <row r="1482" ht="15.75" customHeight="1">
      <c r="A1482" s="2">
        <f>IFERROR(__xludf.DUMMYFUNCTION("""COMPUTED_VALUE"""),45371.0)</f>
        <v>45371</v>
      </c>
      <c r="B1482" s="2" t="str">
        <f>IFERROR(__xludf.DUMMYFUNCTION("""COMPUTED_VALUE"""),"SNELLVILLE")</f>
        <v>SNELLVILLE</v>
      </c>
      <c r="C1482" s="2">
        <f>IFERROR(__xludf.DUMMYFUNCTION("""COMPUTED_VALUE"""),0.0)</f>
        <v>0</v>
      </c>
    </row>
    <row r="1483" ht="15.75" customHeight="1">
      <c r="A1483" s="2">
        <f>IFERROR(__xludf.DUMMYFUNCTION("""COMPUTED_VALUE"""),45371.0)</f>
        <v>45371</v>
      </c>
      <c r="B1483" s="2" t="str">
        <f>IFERROR(__xludf.DUMMYFUNCTION("""COMPUTED_VALUE"""),"GROUPS")</f>
        <v>GROUPS</v>
      </c>
      <c r="C1483" s="2"/>
    </row>
    <row r="1484" ht="15.75" customHeight="1">
      <c r="A1484" s="2">
        <f>IFERROR(__xludf.DUMMYFUNCTION("""COMPUTED_VALUE"""),45371.0)</f>
        <v>45371</v>
      </c>
      <c r="B1484" s="2" t="str">
        <f>IFERROR(__xludf.DUMMYFUNCTION("""COMPUTED_VALUE"""),"Previous Woodstock")</f>
        <v>Previous Woodstock</v>
      </c>
      <c r="C1484" s="2"/>
    </row>
    <row r="1485" ht="15.75" customHeight="1">
      <c r="A1485" s="2">
        <f>IFERROR(__xludf.DUMMYFUNCTION("""COMPUTED_VALUE"""),45371.0)</f>
        <v>45371</v>
      </c>
      <c r="B1485" s="2" t="str">
        <f>IFERROR(__xludf.DUMMYFUNCTION("""COMPUTED_VALUE"""),"Previous Lenox/Brookhaven")</f>
        <v>Previous Lenox/Brookhaven</v>
      </c>
      <c r="C1485" s="2"/>
    </row>
    <row r="1486" ht="15.75" customHeight="1">
      <c r="A1486" s="2">
        <f>IFERROR(__xludf.DUMMYFUNCTION("""COMPUTED_VALUE"""),45371.0)</f>
        <v>45371</v>
      </c>
      <c r="B1486" s="2" t="str">
        <f>IFERROR(__xludf.DUMMYFUNCTION("""COMPUTED_VALUE"""),"Previous New Chastain")</f>
        <v>Previous New Chastain</v>
      </c>
      <c r="C1486" s="2"/>
    </row>
    <row r="1487" ht="15.75" customHeight="1">
      <c r="A1487" s="2">
        <f>IFERROR(__xludf.DUMMYFUNCTION("""COMPUTED_VALUE"""),45371.0)</f>
        <v>45371</v>
      </c>
      <c r="B1487" s="2" t="str">
        <f>IFERROR(__xludf.DUMMYFUNCTION("""COMPUTED_VALUE"""),"Previous Glenwood Park")</f>
        <v>Previous Glenwood Park</v>
      </c>
      <c r="C1487" s="2"/>
    </row>
    <row r="1488" ht="15.75" customHeight="1">
      <c r="A1488" s="2">
        <f>IFERROR(__xludf.DUMMYFUNCTION("""COMPUTED_VALUE"""),45371.0)</f>
        <v>45371</v>
      </c>
      <c r="B1488" s="2" t="str">
        <f>IFERROR(__xludf.DUMMYFUNCTION("""COMPUTED_VALUE"""),"FLOWERY BRANCH")</f>
        <v>FLOWERY BRANCH</v>
      </c>
      <c r="C1488" s="2">
        <f>IFERROR(__xludf.DUMMYFUNCTION("""COMPUTED_VALUE"""),473.0)</f>
        <v>473</v>
      </c>
    </row>
    <row r="1489" ht="15.75" customHeight="1">
      <c r="A1489" s="2">
        <f>IFERROR(__xludf.DUMMYFUNCTION("""COMPUTED_VALUE"""),45371.0)</f>
        <v>45371</v>
      </c>
      <c r="B1489" s="2" t="str">
        <f>IFERROR(__xludf.DUMMYFUNCTION("""COMPUTED_VALUE"""),"GROUPS ")</f>
        <v>GROUPS </v>
      </c>
      <c r="C1489" s="2">
        <f>IFERROR(__xludf.DUMMYFUNCTION("""COMPUTED_VALUE"""),4771.0)</f>
        <v>4771</v>
      </c>
    </row>
    <row r="1490" ht="15.75" customHeight="1">
      <c r="A1490" s="2">
        <f>IFERROR(__xludf.DUMMYFUNCTION("""COMPUTED_VALUE"""),45371.0)</f>
        <v>45371</v>
      </c>
      <c r="B1490" s="2" t="str">
        <f>IFERROR(__xludf.DUMMYFUNCTION("""COMPUTED_VALUE"""),"TOTAL")</f>
        <v>TOTAL</v>
      </c>
      <c r="C1490" s="2"/>
    </row>
    <row r="1491" ht="15.75" customHeight="1">
      <c r="A1491" s="2">
        <f>IFERROR(__xludf.DUMMYFUNCTION("""COMPUTED_VALUE"""),45371.0)</f>
        <v>45371</v>
      </c>
      <c r="B1491" s="2" t="str">
        <f>IFERROR(__xludf.DUMMYFUNCTION("""COMPUTED_VALUE"""),"Collective Learning")</f>
        <v>Collective Learning</v>
      </c>
      <c r="C1491" s="2"/>
    </row>
    <row r="1492" ht="15.75" customHeight="1">
      <c r="A1492" s="2">
        <f>IFERROR(__xludf.DUMMYFUNCTION("""COMPUTED_VALUE"""),45371.0)</f>
        <v>45371</v>
      </c>
      <c r="B1492" s="2" t="str">
        <f>IFERROR(__xludf.DUMMYFUNCTION("""COMPUTED_VALUE"""),"NOTES")</f>
        <v>NOTES</v>
      </c>
      <c r="C1492" s="2"/>
    </row>
    <row r="1493" ht="15.75" customHeight="1">
      <c r="A1493" s="2">
        <f>IFERROR(__xludf.DUMMYFUNCTION("""COMPUTED_VALUE"""),45385.0)</f>
        <v>45385</v>
      </c>
      <c r="B1493" s="2" t="str">
        <f>IFERROR(__xludf.DUMMYFUNCTION("""COMPUTED_VALUE"""),"# of Sandwiches")</f>
        <v># of Sandwiches</v>
      </c>
      <c r="C1493" s="2">
        <f>IFERROR(__xludf.DUMMYFUNCTION("""COMPUTED_VALUE"""),5407.0)</f>
        <v>5407</v>
      </c>
    </row>
    <row r="1494" ht="15.75" customHeight="1">
      <c r="A1494" s="2">
        <f>IFERROR(__xludf.DUMMYFUNCTION("""COMPUTED_VALUE"""),45385.0)</f>
        <v>45385</v>
      </c>
      <c r="B1494" s="2" t="str">
        <f>IFERROR(__xludf.DUMMYFUNCTION("""COMPUTED_VALUE"""),"ALPHARETTA")</f>
        <v>ALPHARETTA</v>
      </c>
      <c r="C1494" s="2">
        <f>IFERROR(__xludf.DUMMYFUNCTION("""COMPUTED_VALUE"""),757.0)</f>
        <v>757</v>
      </c>
    </row>
    <row r="1495" ht="15.75" customHeight="1">
      <c r="A1495" s="2">
        <f>IFERROR(__xludf.DUMMYFUNCTION("""COMPUTED_VALUE"""),45385.0)</f>
        <v>45385</v>
      </c>
      <c r="B1495" s="2" t="str">
        <f>IFERROR(__xludf.DUMMYFUNCTION("""COMPUTED_VALUE"""),"PREVIOUS BUCKHEAD")</f>
        <v>PREVIOUS BUCKHEAD</v>
      </c>
      <c r="C1495" s="2"/>
    </row>
    <row r="1496" ht="15.75" customHeight="1">
      <c r="A1496" s="2">
        <f>IFERROR(__xludf.DUMMYFUNCTION("""COMPUTED_VALUE"""),45385.0)</f>
        <v>45385</v>
      </c>
      <c r="B1496" s="2" t="str">
        <f>IFERROR(__xludf.DUMMYFUNCTION("""COMPUTED_VALUE"""),"PREVIOUS OAK GROVE")</f>
        <v>PREVIOUS OAK GROVE</v>
      </c>
      <c r="C1496" s="2"/>
    </row>
    <row r="1497" ht="15.75" customHeight="1">
      <c r="A1497" s="2">
        <f>IFERROR(__xludf.DUMMYFUNCTION("""COMPUTED_VALUE"""),45385.0)</f>
        <v>45385</v>
      </c>
      <c r="B1497" s="2" t="str">
        <f>IFERROR(__xludf.DUMMYFUNCTION("""COMPUTED_VALUE"""),"DUNWOODY/PTC ")</f>
        <v>DUNWOODY/PTC </v>
      </c>
      <c r="C1497" s="2">
        <f>IFERROR(__xludf.DUMMYFUNCTION("""COMPUTED_VALUE"""),2160.0)</f>
        <v>2160</v>
      </c>
    </row>
    <row r="1498" ht="15.75" customHeight="1">
      <c r="A1498" s="2">
        <f>IFERROR(__xludf.DUMMYFUNCTION("""COMPUTED_VALUE"""),45385.0)</f>
        <v>45385</v>
      </c>
      <c r="B1498" s="2" t="str">
        <f>IFERROR(__xludf.DUMMYFUNCTION("""COMPUTED_VALUE"""),"E COBB/ROSWELL")</f>
        <v>E COBB/ROSWELL</v>
      </c>
      <c r="C1498" s="2">
        <f>IFERROR(__xludf.DUMMYFUNCTION("""COMPUTED_VALUE"""),1629.0)</f>
        <v>1629</v>
      </c>
    </row>
    <row r="1499" ht="15.75" customHeight="1">
      <c r="A1499" s="2">
        <f>IFERROR(__xludf.DUMMYFUNCTION("""COMPUTED_VALUE"""),45385.0)</f>
        <v>45385</v>
      </c>
      <c r="B1499" s="2" t="str">
        <f>IFERROR(__xludf.DUMMYFUNCTION("""COMPUTED_VALUE"""),"DECATUR")</f>
        <v>DECATUR</v>
      </c>
      <c r="C1499" s="2">
        <f>IFERROR(__xludf.DUMMYFUNCTION("""COMPUTED_VALUE"""),0.0)</f>
        <v>0</v>
      </c>
    </row>
    <row r="1500" ht="15.75" customHeight="1">
      <c r="A1500" s="2">
        <f>IFERROR(__xludf.DUMMYFUNCTION("""COMPUTED_VALUE"""),45385.0)</f>
        <v>45385</v>
      </c>
      <c r="B1500" s="2" t="str">
        <f>IFERROR(__xludf.DUMMYFUNCTION("""COMPUTED_VALUE"""),"P'TREE CORNERS ")</f>
        <v>P'TREE CORNERS </v>
      </c>
      <c r="C1500" s="2"/>
    </row>
    <row r="1501" ht="15.75" customHeight="1">
      <c r="A1501" s="2">
        <f>IFERROR(__xludf.DUMMYFUNCTION("""COMPUTED_VALUE"""),45385.0)</f>
        <v>45385</v>
      </c>
      <c r="B1501" s="2" t="str">
        <f>IFERROR(__xludf.DUMMYFUNCTION("""COMPUTED_VALUE"""),"UGA/Athens")</f>
        <v>UGA/Athens</v>
      </c>
      <c r="C1501" s="2"/>
    </row>
    <row r="1502" ht="15.75" customHeight="1">
      <c r="A1502" s="2">
        <f>IFERROR(__xludf.DUMMYFUNCTION("""COMPUTED_VALUE"""),45385.0)</f>
        <v>45385</v>
      </c>
      <c r="B1502" s="2" t="str">
        <f>IFERROR(__xludf.DUMMYFUNCTION("""COMPUTED_VALUE"""),"SANDY SPRINGS ")</f>
        <v>SANDY SPRINGS </v>
      </c>
      <c r="C1502" s="2">
        <f>IFERROR(__xludf.DUMMYFUNCTION("""COMPUTED_VALUE"""),179.0)</f>
        <v>179</v>
      </c>
    </row>
    <row r="1503" ht="15.75" customHeight="1">
      <c r="A1503" s="2">
        <f>IFERROR(__xludf.DUMMYFUNCTION("""COMPUTED_VALUE"""),45385.0)</f>
        <v>45385</v>
      </c>
      <c r="B1503" s="2" t="str">
        <f>IFERROR(__xludf.DUMMYFUNCTION("""COMPUTED_VALUE"""),"INTOWN/DRUID HILLS ")</f>
        <v>INTOWN/DRUID HILLS </v>
      </c>
      <c r="C1503" s="2">
        <f>IFERROR(__xludf.DUMMYFUNCTION("""COMPUTED_VALUE"""),482.0)</f>
        <v>482</v>
      </c>
    </row>
    <row r="1504" ht="15.75" customHeight="1">
      <c r="A1504" s="2">
        <f>IFERROR(__xludf.DUMMYFUNCTION("""COMPUTED_VALUE"""),45385.0)</f>
        <v>45385</v>
      </c>
      <c r="B1504" s="2" t="str">
        <f>IFERROR(__xludf.DUMMYFUNCTION("""COMPUTED_VALUE"""),"SNELLVILLE")</f>
        <v>SNELLVILLE</v>
      </c>
      <c r="C1504" s="2">
        <f>IFERROR(__xludf.DUMMYFUNCTION("""COMPUTED_VALUE"""),0.0)</f>
        <v>0</v>
      </c>
    </row>
    <row r="1505" ht="15.75" customHeight="1">
      <c r="A1505" s="2">
        <f>IFERROR(__xludf.DUMMYFUNCTION("""COMPUTED_VALUE"""),45385.0)</f>
        <v>45385</v>
      </c>
      <c r="B1505" s="2" t="str">
        <f>IFERROR(__xludf.DUMMYFUNCTION("""COMPUTED_VALUE"""),"GROUPS")</f>
        <v>GROUPS</v>
      </c>
      <c r="C1505" s="2"/>
    </row>
    <row r="1506" ht="15.75" customHeight="1">
      <c r="A1506" s="2">
        <f>IFERROR(__xludf.DUMMYFUNCTION("""COMPUTED_VALUE"""),45385.0)</f>
        <v>45385</v>
      </c>
      <c r="B1506" s="2" t="str">
        <f>IFERROR(__xludf.DUMMYFUNCTION("""COMPUTED_VALUE"""),"Previous Woodstock")</f>
        <v>Previous Woodstock</v>
      </c>
      <c r="C1506" s="2"/>
    </row>
    <row r="1507" ht="15.75" customHeight="1">
      <c r="A1507" s="2">
        <f>IFERROR(__xludf.DUMMYFUNCTION("""COMPUTED_VALUE"""),45385.0)</f>
        <v>45385</v>
      </c>
      <c r="B1507" s="2" t="str">
        <f>IFERROR(__xludf.DUMMYFUNCTION("""COMPUTED_VALUE"""),"Previous Lenox/Brookhaven")</f>
        <v>Previous Lenox/Brookhaven</v>
      </c>
      <c r="C1507" s="2"/>
    </row>
    <row r="1508" ht="15.75" customHeight="1">
      <c r="A1508" s="2">
        <f>IFERROR(__xludf.DUMMYFUNCTION("""COMPUTED_VALUE"""),45385.0)</f>
        <v>45385</v>
      </c>
      <c r="B1508" s="2" t="str">
        <f>IFERROR(__xludf.DUMMYFUNCTION("""COMPUTED_VALUE"""),"Previous New Chastain")</f>
        <v>Previous New Chastain</v>
      </c>
      <c r="C1508" s="2"/>
    </row>
    <row r="1509" ht="15.75" customHeight="1">
      <c r="A1509" s="2">
        <f>IFERROR(__xludf.DUMMYFUNCTION("""COMPUTED_VALUE"""),45385.0)</f>
        <v>45385</v>
      </c>
      <c r="B1509" s="2" t="str">
        <f>IFERROR(__xludf.DUMMYFUNCTION("""COMPUTED_VALUE"""),"Previous Glenwood Park")</f>
        <v>Previous Glenwood Park</v>
      </c>
      <c r="C1509" s="2"/>
    </row>
    <row r="1510" ht="15.75" customHeight="1">
      <c r="A1510" s="2">
        <f>IFERROR(__xludf.DUMMYFUNCTION("""COMPUTED_VALUE"""),45385.0)</f>
        <v>45385</v>
      </c>
      <c r="B1510" s="2" t="str">
        <f>IFERROR(__xludf.DUMMYFUNCTION("""COMPUTED_VALUE"""),"FLOWERY BRANCH")</f>
        <v>FLOWERY BRANCH</v>
      </c>
      <c r="C1510" s="2">
        <f>IFERROR(__xludf.DUMMYFUNCTION("""COMPUTED_VALUE"""),0.0)</f>
        <v>0</v>
      </c>
    </row>
    <row r="1511" ht="15.75" customHeight="1">
      <c r="A1511" s="2">
        <f>IFERROR(__xludf.DUMMYFUNCTION("""COMPUTED_VALUE"""),45385.0)</f>
        <v>45385</v>
      </c>
      <c r="B1511" s="2" t="str">
        <f>IFERROR(__xludf.DUMMYFUNCTION("""COMPUTED_VALUE"""),"GROUPS ")</f>
        <v>GROUPS </v>
      </c>
      <c r="C1511" s="2">
        <f>IFERROR(__xludf.DUMMYFUNCTION("""COMPUTED_VALUE"""),200.0)</f>
        <v>200</v>
      </c>
    </row>
    <row r="1512" ht="15.75" customHeight="1">
      <c r="A1512" s="2">
        <f>IFERROR(__xludf.DUMMYFUNCTION("""COMPUTED_VALUE"""),45385.0)</f>
        <v>45385</v>
      </c>
      <c r="B1512" s="2" t="str">
        <f>IFERROR(__xludf.DUMMYFUNCTION("""COMPUTED_VALUE"""),"TOTAL")</f>
        <v>TOTAL</v>
      </c>
      <c r="C1512" s="2"/>
    </row>
    <row r="1513" ht="15.75" customHeight="1">
      <c r="A1513" s="2">
        <f>IFERROR(__xludf.DUMMYFUNCTION("""COMPUTED_VALUE"""),45385.0)</f>
        <v>45385</v>
      </c>
      <c r="B1513" s="2" t="str">
        <f>IFERROR(__xludf.DUMMYFUNCTION("""COMPUTED_VALUE"""),"Collective Learning")</f>
        <v>Collective Learning</v>
      </c>
      <c r="C1513" s="2"/>
    </row>
    <row r="1514" ht="15.75" customHeight="1">
      <c r="A1514" s="2">
        <f>IFERROR(__xludf.DUMMYFUNCTION("""COMPUTED_VALUE"""),45385.0)</f>
        <v>45385</v>
      </c>
      <c r="B1514" s="2" t="str">
        <f>IFERROR(__xludf.DUMMYFUNCTION("""COMPUTED_VALUE"""),"NOTES")</f>
        <v>NOTES</v>
      </c>
      <c r="C1514" s="2"/>
    </row>
    <row r="1515" ht="15.75" customHeight="1">
      <c r="A1515" s="2">
        <f>IFERROR(__xludf.DUMMYFUNCTION("""COMPUTED_VALUE"""),45392.0)</f>
        <v>45392</v>
      </c>
      <c r="B1515" s="2" t="str">
        <f>IFERROR(__xludf.DUMMYFUNCTION("""COMPUTED_VALUE"""),"# of Sandwiches")</f>
        <v># of Sandwiches</v>
      </c>
      <c r="C1515" s="2">
        <f>IFERROR(__xludf.DUMMYFUNCTION("""COMPUTED_VALUE"""),10859.0)</f>
        <v>10859</v>
      </c>
    </row>
    <row r="1516" ht="15.75" customHeight="1">
      <c r="A1516" s="2">
        <f>IFERROR(__xludf.DUMMYFUNCTION("""COMPUTED_VALUE"""),45392.0)</f>
        <v>45392</v>
      </c>
      <c r="B1516" s="2" t="str">
        <f>IFERROR(__xludf.DUMMYFUNCTION("""COMPUTED_VALUE"""),"ALPHARETTA")</f>
        <v>ALPHARETTA</v>
      </c>
      <c r="C1516" s="2">
        <f>IFERROR(__xludf.DUMMYFUNCTION("""COMPUTED_VALUE"""),954.0)</f>
        <v>954</v>
      </c>
    </row>
    <row r="1517" ht="15.75" customHeight="1">
      <c r="A1517" s="2">
        <f>IFERROR(__xludf.DUMMYFUNCTION("""COMPUTED_VALUE"""),45392.0)</f>
        <v>45392</v>
      </c>
      <c r="B1517" s="2" t="str">
        <f>IFERROR(__xludf.DUMMYFUNCTION("""COMPUTED_VALUE"""),"PREVIOUS BUCKHEAD")</f>
        <v>PREVIOUS BUCKHEAD</v>
      </c>
      <c r="C1517" s="2"/>
    </row>
    <row r="1518" ht="15.75" customHeight="1">
      <c r="A1518" s="2">
        <f>IFERROR(__xludf.DUMMYFUNCTION("""COMPUTED_VALUE"""),45392.0)</f>
        <v>45392</v>
      </c>
      <c r="B1518" s="2" t="str">
        <f>IFERROR(__xludf.DUMMYFUNCTION("""COMPUTED_VALUE"""),"PREVIOUS OAK GROVE")</f>
        <v>PREVIOUS OAK GROVE</v>
      </c>
      <c r="C1518" s="2"/>
    </row>
    <row r="1519" ht="15.75" customHeight="1">
      <c r="A1519" s="2">
        <f>IFERROR(__xludf.DUMMYFUNCTION("""COMPUTED_VALUE"""),45392.0)</f>
        <v>45392</v>
      </c>
      <c r="B1519" s="2" t="str">
        <f>IFERROR(__xludf.DUMMYFUNCTION("""COMPUTED_VALUE"""),"DUNWOODY/PTC ")</f>
        <v>DUNWOODY/PTC </v>
      </c>
      <c r="C1519" s="2">
        <f>IFERROR(__xludf.DUMMYFUNCTION("""COMPUTED_VALUE"""),1588.0)</f>
        <v>1588</v>
      </c>
    </row>
    <row r="1520" ht="15.75" customHeight="1">
      <c r="A1520" s="2">
        <f>IFERROR(__xludf.DUMMYFUNCTION("""COMPUTED_VALUE"""),45392.0)</f>
        <v>45392</v>
      </c>
      <c r="B1520" s="2" t="str">
        <f>IFERROR(__xludf.DUMMYFUNCTION("""COMPUTED_VALUE"""),"E COBB/ROSWELL")</f>
        <v>E COBB/ROSWELL</v>
      </c>
      <c r="C1520" s="2">
        <f>IFERROR(__xludf.DUMMYFUNCTION("""COMPUTED_VALUE"""),0.0)</f>
        <v>0</v>
      </c>
    </row>
    <row r="1521" ht="15.75" customHeight="1">
      <c r="A1521" s="2">
        <f>IFERROR(__xludf.DUMMYFUNCTION("""COMPUTED_VALUE"""),45392.0)</f>
        <v>45392</v>
      </c>
      <c r="B1521" s="2" t="str">
        <f>IFERROR(__xludf.DUMMYFUNCTION("""COMPUTED_VALUE"""),"DECATUR")</f>
        <v>DECATUR</v>
      </c>
      <c r="C1521" s="2">
        <f>IFERROR(__xludf.DUMMYFUNCTION("""COMPUTED_VALUE"""),102.0)</f>
        <v>102</v>
      </c>
    </row>
    <row r="1522" ht="15.75" customHeight="1">
      <c r="A1522" s="2">
        <f>IFERROR(__xludf.DUMMYFUNCTION("""COMPUTED_VALUE"""),45392.0)</f>
        <v>45392</v>
      </c>
      <c r="B1522" s="2" t="str">
        <f>IFERROR(__xludf.DUMMYFUNCTION("""COMPUTED_VALUE"""),"P'TREE CORNERS ")</f>
        <v>P'TREE CORNERS </v>
      </c>
      <c r="C1522" s="2"/>
    </row>
    <row r="1523" ht="15.75" customHeight="1">
      <c r="A1523" s="2">
        <f>IFERROR(__xludf.DUMMYFUNCTION("""COMPUTED_VALUE"""),45392.0)</f>
        <v>45392</v>
      </c>
      <c r="B1523" s="2" t="str">
        <f>IFERROR(__xludf.DUMMYFUNCTION("""COMPUTED_VALUE"""),"UGA/Athens")</f>
        <v>UGA/Athens</v>
      </c>
      <c r="C1523" s="2"/>
    </row>
    <row r="1524" ht="15.75" customHeight="1">
      <c r="A1524" s="2">
        <f>IFERROR(__xludf.DUMMYFUNCTION("""COMPUTED_VALUE"""),45392.0)</f>
        <v>45392</v>
      </c>
      <c r="B1524" s="2" t="str">
        <f>IFERROR(__xludf.DUMMYFUNCTION("""COMPUTED_VALUE"""),"SANDY SPRINGS ")</f>
        <v>SANDY SPRINGS </v>
      </c>
      <c r="C1524" s="2">
        <f>IFERROR(__xludf.DUMMYFUNCTION("""COMPUTED_VALUE"""),1038.0)</f>
        <v>1038</v>
      </c>
    </row>
    <row r="1525" ht="15.75" customHeight="1">
      <c r="A1525" s="2">
        <f>IFERROR(__xludf.DUMMYFUNCTION("""COMPUTED_VALUE"""),45392.0)</f>
        <v>45392</v>
      </c>
      <c r="B1525" s="2" t="str">
        <f>IFERROR(__xludf.DUMMYFUNCTION("""COMPUTED_VALUE"""),"INTOWN/DRUID HILLS ")</f>
        <v>INTOWN/DRUID HILLS </v>
      </c>
      <c r="C1525" s="2">
        <f>IFERROR(__xludf.DUMMYFUNCTION("""COMPUTED_VALUE"""),2640.0)</f>
        <v>2640</v>
      </c>
    </row>
    <row r="1526" ht="15.75" customHeight="1">
      <c r="A1526" s="2">
        <f>IFERROR(__xludf.DUMMYFUNCTION("""COMPUTED_VALUE"""),45392.0)</f>
        <v>45392</v>
      </c>
      <c r="B1526" s="2" t="str">
        <f>IFERROR(__xludf.DUMMYFUNCTION("""COMPUTED_VALUE"""),"SNELLVILLE")</f>
        <v>SNELLVILLE</v>
      </c>
      <c r="C1526" s="2">
        <f>IFERROR(__xludf.DUMMYFUNCTION("""COMPUTED_VALUE"""),0.0)</f>
        <v>0</v>
      </c>
    </row>
    <row r="1527" ht="15.75" customHeight="1">
      <c r="A1527" s="2">
        <f>IFERROR(__xludf.DUMMYFUNCTION("""COMPUTED_VALUE"""),45392.0)</f>
        <v>45392</v>
      </c>
      <c r="B1527" s="2" t="str">
        <f>IFERROR(__xludf.DUMMYFUNCTION("""COMPUTED_VALUE"""),"GROUPS")</f>
        <v>GROUPS</v>
      </c>
      <c r="C1527" s="2"/>
    </row>
    <row r="1528" ht="15.75" customHeight="1">
      <c r="A1528" s="2">
        <f>IFERROR(__xludf.DUMMYFUNCTION("""COMPUTED_VALUE"""),45392.0)</f>
        <v>45392</v>
      </c>
      <c r="B1528" s="2" t="str">
        <f>IFERROR(__xludf.DUMMYFUNCTION("""COMPUTED_VALUE"""),"Previous Woodstock")</f>
        <v>Previous Woodstock</v>
      </c>
      <c r="C1528" s="2"/>
    </row>
    <row r="1529" ht="15.75" customHeight="1">
      <c r="A1529" s="2">
        <f>IFERROR(__xludf.DUMMYFUNCTION("""COMPUTED_VALUE"""),45392.0)</f>
        <v>45392</v>
      </c>
      <c r="B1529" s="2" t="str">
        <f>IFERROR(__xludf.DUMMYFUNCTION("""COMPUTED_VALUE"""),"Previous Lenox/Brookhaven")</f>
        <v>Previous Lenox/Brookhaven</v>
      </c>
      <c r="C1529" s="2"/>
    </row>
    <row r="1530" ht="15.75" customHeight="1">
      <c r="A1530" s="2">
        <f>IFERROR(__xludf.DUMMYFUNCTION("""COMPUTED_VALUE"""),45392.0)</f>
        <v>45392</v>
      </c>
      <c r="B1530" s="2" t="str">
        <f>IFERROR(__xludf.DUMMYFUNCTION("""COMPUTED_VALUE"""),"Previous New Chastain")</f>
        <v>Previous New Chastain</v>
      </c>
      <c r="C1530" s="2"/>
    </row>
    <row r="1531" ht="15.75" customHeight="1">
      <c r="A1531" s="2">
        <f>IFERROR(__xludf.DUMMYFUNCTION("""COMPUTED_VALUE"""),45392.0)</f>
        <v>45392</v>
      </c>
      <c r="B1531" s="2" t="str">
        <f>IFERROR(__xludf.DUMMYFUNCTION("""COMPUTED_VALUE"""),"Previous Glenwood Park")</f>
        <v>Previous Glenwood Park</v>
      </c>
      <c r="C1531" s="2"/>
    </row>
    <row r="1532" ht="15.75" customHeight="1">
      <c r="A1532" s="2">
        <f>IFERROR(__xludf.DUMMYFUNCTION("""COMPUTED_VALUE"""),45392.0)</f>
        <v>45392</v>
      </c>
      <c r="B1532" s="2" t="str">
        <f>IFERROR(__xludf.DUMMYFUNCTION("""COMPUTED_VALUE"""),"FLOWERY BRANCH")</f>
        <v>FLOWERY BRANCH</v>
      </c>
      <c r="C1532" s="2">
        <f>IFERROR(__xludf.DUMMYFUNCTION("""COMPUTED_VALUE"""),250.0)</f>
        <v>250</v>
      </c>
    </row>
    <row r="1533" ht="15.75" customHeight="1">
      <c r="A1533" s="2">
        <f>IFERROR(__xludf.DUMMYFUNCTION("""COMPUTED_VALUE"""),45392.0)</f>
        <v>45392</v>
      </c>
      <c r="B1533" s="2" t="str">
        <f>IFERROR(__xludf.DUMMYFUNCTION("""COMPUTED_VALUE"""),"GROUPS ")</f>
        <v>GROUPS </v>
      </c>
      <c r="C1533" s="2">
        <f>IFERROR(__xludf.DUMMYFUNCTION("""COMPUTED_VALUE"""),4287.0)</f>
        <v>4287</v>
      </c>
    </row>
    <row r="1534" ht="15.75" customHeight="1">
      <c r="A1534" s="2">
        <f>IFERROR(__xludf.DUMMYFUNCTION("""COMPUTED_VALUE"""),45392.0)</f>
        <v>45392</v>
      </c>
      <c r="B1534" s="2" t="str">
        <f>IFERROR(__xludf.DUMMYFUNCTION("""COMPUTED_VALUE"""),"TOTAL")</f>
        <v>TOTAL</v>
      </c>
      <c r="C1534" s="2"/>
    </row>
    <row r="1535" ht="15.75" customHeight="1">
      <c r="A1535" s="2">
        <f>IFERROR(__xludf.DUMMYFUNCTION("""COMPUTED_VALUE"""),45392.0)</f>
        <v>45392</v>
      </c>
      <c r="B1535" s="2" t="str">
        <f>IFERROR(__xludf.DUMMYFUNCTION("""COMPUTED_VALUE"""),"Collective Learning")</f>
        <v>Collective Learning</v>
      </c>
      <c r="C1535" s="2"/>
    </row>
    <row r="1536" ht="15.75" customHeight="1">
      <c r="A1536" s="2">
        <f>IFERROR(__xludf.DUMMYFUNCTION("""COMPUTED_VALUE"""),45392.0)</f>
        <v>45392</v>
      </c>
      <c r="B1536" s="2" t="str">
        <f>IFERROR(__xludf.DUMMYFUNCTION("""COMPUTED_VALUE"""),"NOTES")</f>
        <v>NOTES</v>
      </c>
      <c r="C1536" s="2"/>
    </row>
    <row r="1537" ht="15.75" customHeight="1">
      <c r="A1537" s="2">
        <f>IFERROR(__xludf.DUMMYFUNCTION("""COMPUTED_VALUE"""),45399.0)</f>
        <v>45399</v>
      </c>
      <c r="B1537" s="2" t="str">
        <f>IFERROR(__xludf.DUMMYFUNCTION("""COMPUTED_VALUE"""),"# of Sandwiches")</f>
        <v># of Sandwiches</v>
      </c>
      <c r="C1537" s="2">
        <f>IFERROR(__xludf.DUMMYFUNCTION("""COMPUTED_VALUE"""),10276.0)</f>
        <v>10276</v>
      </c>
    </row>
    <row r="1538" ht="15.75" customHeight="1">
      <c r="A1538" s="2">
        <f>IFERROR(__xludf.DUMMYFUNCTION("""COMPUTED_VALUE"""),45399.0)</f>
        <v>45399</v>
      </c>
      <c r="B1538" s="2" t="str">
        <f>IFERROR(__xludf.DUMMYFUNCTION("""COMPUTED_VALUE"""),"ALPHARETTA")</f>
        <v>ALPHARETTA</v>
      </c>
      <c r="C1538" s="2">
        <f>IFERROR(__xludf.DUMMYFUNCTION("""COMPUTED_VALUE"""),1229.0)</f>
        <v>1229</v>
      </c>
    </row>
    <row r="1539" ht="15.75" customHeight="1">
      <c r="A1539" s="2">
        <f>IFERROR(__xludf.DUMMYFUNCTION("""COMPUTED_VALUE"""),45399.0)</f>
        <v>45399</v>
      </c>
      <c r="B1539" s="2" t="str">
        <f>IFERROR(__xludf.DUMMYFUNCTION("""COMPUTED_VALUE"""),"PREVIOUS BUCKHEAD")</f>
        <v>PREVIOUS BUCKHEAD</v>
      </c>
      <c r="C1539" s="2"/>
    </row>
    <row r="1540" ht="15.75" customHeight="1">
      <c r="A1540" s="2">
        <f>IFERROR(__xludf.DUMMYFUNCTION("""COMPUTED_VALUE"""),45399.0)</f>
        <v>45399</v>
      </c>
      <c r="B1540" s="2" t="str">
        <f>IFERROR(__xludf.DUMMYFUNCTION("""COMPUTED_VALUE"""),"PREVIOUS OAK GROVE")</f>
        <v>PREVIOUS OAK GROVE</v>
      </c>
      <c r="C1540" s="2"/>
    </row>
    <row r="1541" ht="15.75" customHeight="1">
      <c r="A1541" s="2">
        <f>IFERROR(__xludf.DUMMYFUNCTION("""COMPUTED_VALUE"""),45399.0)</f>
        <v>45399</v>
      </c>
      <c r="B1541" s="2" t="str">
        <f>IFERROR(__xludf.DUMMYFUNCTION("""COMPUTED_VALUE"""),"DUNWOODY/PTC ")</f>
        <v>DUNWOODY/PTC </v>
      </c>
      <c r="C1541" s="2">
        <f>IFERROR(__xludf.DUMMYFUNCTION("""COMPUTED_VALUE"""),2750.0)</f>
        <v>2750</v>
      </c>
    </row>
    <row r="1542" ht="15.75" customHeight="1">
      <c r="A1542" s="2">
        <f>IFERROR(__xludf.DUMMYFUNCTION("""COMPUTED_VALUE"""),45399.0)</f>
        <v>45399</v>
      </c>
      <c r="B1542" s="2" t="str">
        <f>IFERROR(__xludf.DUMMYFUNCTION("""COMPUTED_VALUE"""),"E COBB/ROSWELL")</f>
        <v>E COBB/ROSWELL</v>
      </c>
      <c r="C1542" s="2">
        <f>IFERROR(__xludf.DUMMYFUNCTION("""COMPUTED_VALUE"""),968.0)</f>
        <v>968</v>
      </c>
    </row>
    <row r="1543" ht="15.75" customHeight="1">
      <c r="A1543" s="2">
        <f>IFERROR(__xludf.DUMMYFUNCTION("""COMPUTED_VALUE"""),45399.0)</f>
        <v>45399</v>
      </c>
      <c r="B1543" s="2" t="str">
        <f>IFERROR(__xludf.DUMMYFUNCTION("""COMPUTED_VALUE"""),"DECATUR")</f>
        <v>DECATUR</v>
      </c>
      <c r="C1543" s="2">
        <f>IFERROR(__xludf.DUMMYFUNCTION("""COMPUTED_VALUE"""),0.0)</f>
        <v>0</v>
      </c>
    </row>
    <row r="1544" ht="15.75" customHeight="1">
      <c r="A1544" s="2">
        <f>IFERROR(__xludf.DUMMYFUNCTION("""COMPUTED_VALUE"""),45399.0)</f>
        <v>45399</v>
      </c>
      <c r="B1544" s="2" t="str">
        <f>IFERROR(__xludf.DUMMYFUNCTION("""COMPUTED_VALUE"""),"P'TREE CORNERS ")</f>
        <v>P'TREE CORNERS </v>
      </c>
      <c r="C1544" s="2"/>
    </row>
    <row r="1545" ht="15.75" customHeight="1">
      <c r="A1545" s="2">
        <f>IFERROR(__xludf.DUMMYFUNCTION("""COMPUTED_VALUE"""),45399.0)</f>
        <v>45399</v>
      </c>
      <c r="B1545" s="2" t="str">
        <f>IFERROR(__xludf.DUMMYFUNCTION("""COMPUTED_VALUE"""),"UGA/Athens")</f>
        <v>UGA/Athens</v>
      </c>
      <c r="C1545" s="2"/>
    </row>
    <row r="1546" ht="15.75" customHeight="1">
      <c r="A1546" s="2">
        <f>IFERROR(__xludf.DUMMYFUNCTION("""COMPUTED_VALUE"""),45399.0)</f>
        <v>45399</v>
      </c>
      <c r="B1546" s="2" t="str">
        <f>IFERROR(__xludf.DUMMYFUNCTION("""COMPUTED_VALUE"""),"SANDY SPRINGS ")</f>
        <v>SANDY SPRINGS </v>
      </c>
      <c r="C1546" s="2">
        <f>IFERROR(__xludf.DUMMYFUNCTION("""COMPUTED_VALUE"""),609.0)</f>
        <v>609</v>
      </c>
    </row>
    <row r="1547" ht="15.75" customHeight="1">
      <c r="A1547" s="2">
        <f>IFERROR(__xludf.DUMMYFUNCTION("""COMPUTED_VALUE"""),45399.0)</f>
        <v>45399</v>
      </c>
      <c r="B1547" s="2" t="str">
        <f>IFERROR(__xludf.DUMMYFUNCTION("""COMPUTED_VALUE"""),"INTOWN/DRUID HILLS ")</f>
        <v>INTOWN/DRUID HILLS </v>
      </c>
      <c r="C1547" s="2">
        <f>IFERROR(__xludf.DUMMYFUNCTION("""COMPUTED_VALUE"""),2668.0)</f>
        <v>2668</v>
      </c>
    </row>
    <row r="1548" ht="15.75" customHeight="1">
      <c r="A1548" s="2">
        <f>IFERROR(__xludf.DUMMYFUNCTION("""COMPUTED_VALUE"""),45399.0)</f>
        <v>45399</v>
      </c>
      <c r="B1548" s="2" t="str">
        <f>IFERROR(__xludf.DUMMYFUNCTION("""COMPUTED_VALUE"""),"SNELLVILLE")</f>
        <v>SNELLVILLE</v>
      </c>
      <c r="C1548" s="2">
        <f>IFERROR(__xludf.DUMMYFUNCTION("""COMPUTED_VALUE"""),0.0)</f>
        <v>0</v>
      </c>
    </row>
    <row r="1549" ht="15.75" customHeight="1">
      <c r="A1549" s="2">
        <f>IFERROR(__xludf.DUMMYFUNCTION("""COMPUTED_VALUE"""),45399.0)</f>
        <v>45399</v>
      </c>
      <c r="B1549" s="2" t="str">
        <f>IFERROR(__xludf.DUMMYFUNCTION("""COMPUTED_VALUE"""),"GROUPS")</f>
        <v>GROUPS</v>
      </c>
      <c r="C1549" s="2"/>
    </row>
    <row r="1550" ht="15.75" customHeight="1">
      <c r="A1550" s="2">
        <f>IFERROR(__xludf.DUMMYFUNCTION("""COMPUTED_VALUE"""),45399.0)</f>
        <v>45399</v>
      </c>
      <c r="B1550" s="2" t="str">
        <f>IFERROR(__xludf.DUMMYFUNCTION("""COMPUTED_VALUE"""),"Previous Woodstock")</f>
        <v>Previous Woodstock</v>
      </c>
      <c r="C1550" s="2"/>
    </row>
    <row r="1551" ht="15.75" customHeight="1">
      <c r="A1551" s="2">
        <f>IFERROR(__xludf.DUMMYFUNCTION("""COMPUTED_VALUE"""),45399.0)</f>
        <v>45399</v>
      </c>
      <c r="B1551" s="2" t="str">
        <f>IFERROR(__xludf.DUMMYFUNCTION("""COMPUTED_VALUE"""),"Previous Lenox/Brookhaven")</f>
        <v>Previous Lenox/Brookhaven</v>
      </c>
      <c r="C1551" s="2"/>
    </row>
    <row r="1552" ht="15.75" customHeight="1">
      <c r="A1552" s="2">
        <f>IFERROR(__xludf.DUMMYFUNCTION("""COMPUTED_VALUE"""),45399.0)</f>
        <v>45399</v>
      </c>
      <c r="B1552" s="2" t="str">
        <f>IFERROR(__xludf.DUMMYFUNCTION("""COMPUTED_VALUE"""),"Previous New Chastain")</f>
        <v>Previous New Chastain</v>
      </c>
      <c r="C1552" s="2"/>
    </row>
    <row r="1553" ht="15.75" customHeight="1">
      <c r="A1553" s="2">
        <f>IFERROR(__xludf.DUMMYFUNCTION("""COMPUTED_VALUE"""),45399.0)</f>
        <v>45399</v>
      </c>
      <c r="B1553" s="2" t="str">
        <f>IFERROR(__xludf.DUMMYFUNCTION("""COMPUTED_VALUE"""),"Previous Glenwood Park")</f>
        <v>Previous Glenwood Park</v>
      </c>
      <c r="C1553" s="2"/>
    </row>
    <row r="1554" ht="15.75" customHeight="1">
      <c r="A1554" s="2">
        <f>IFERROR(__xludf.DUMMYFUNCTION("""COMPUTED_VALUE"""),45399.0)</f>
        <v>45399</v>
      </c>
      <c r="B1554" s="2" t="str">
        <f>IFERROR(__xludf.DUMMYFUNCTION("""COMPUTED_VALUE"""),"FLOWERY BRANCH")</f>
        <v>FLOWERY BRANCH</v>
      </c>
      <c r="C1554" s="2">
        <f>IFERROR(__xludf.DUMMYFUNCTION("""COMPUTED_VALUE"""),0.0)</f>
        <v>0</v>
      </c>
    </row>
    <row r="1555" ht="15.75" customHeight="1">
      <c r="A1555" s="2">
        <f>IFERROR(__xludf.DUMMYFUNCTION("""COMPUTED_VALUE"""),45399.0)</f>
        <v>45399</v>
      </c>
      <c r="B1555" s="2" t="str">
        <f>IFERROR(__xludf.DUMMYFUNCTION("""COMPUTED_VALUE"""),"GROUPS ")</f>
        <v>GROUPS </v>
      </c>
      <c r="C1555" s="2">
        <f>IFERROR(__xludf.DUMMYFUNCTION("""COMPUTED_VALUE"""),2052.0)</f>
        <v>2052</v>
      </c>
    </row>
    <row r="1556" ht="15.75" customHeight="1">
      <c r="A1556" s="2">
        <f>IFERROR(__xludf.DUMMYFUNCTION("""COMPUTED_VALUE"""),45399.0)</f>
        <v>45399</v>
      </c>
      <c r="B1556" s="2" t="str">
        <f>IFERROR(__xludf.DUMMYFUNCTION("""COMPUTED_VALUE"""),"TOTAL")</f>
        <v>TOTAL</v>
      </c>
      <c r="C1556" s="2"/>
    </row>
    <row r="1557" ht="15.75" customHeight="1">
      <c r="A1557" s="2">
        <f>IFERROR(__xludf.DUMMYFUNCTION("""COMPUTED_VALUE"""),45399.0)</f>
        <v>45399</v>
      </c>
      <c r="B1557" s="2" t="str">
        <f>IFERROR(__xludf.DUMMYFUNCTION("""COMPUTED_VALUE"""),"Collective Learning")</f>
        <v>Collective Learning</v>
      </c>
      <c r="C1557" s="2"/>
    </row>
    <row r="1558" ht="15.75" customHeight="1">
      <c r="A1558" s="2">
        <f>IFERROR(__xludf.DUMMYFUNCTION("""COMPUTED_VALUE"""),45399.0)</f>
        <v>45399</v>
      </c>
      <c r="B1558" s="2" t="str">
        <f>IFERROR(__xludf.DUMMYFUNCTION("""COMPUTED_VALUE"""),"NOTES")</f>
        <v>NOTES</v>
      </c>
      <c r="C1558" s="2"/>
    </row>
    <row r="1559" ht="15.75" customHeight="1">
      <c r="A1559" s="2">
        <f>IFERROR(__xludf.DUMMYFUNCTION("""COMPUTED_VALUE"""),45413.0)</f>
        <v>45413</v>
      </c>
      <c r="B1559" s="2" t="str">
        <f>IFERROR(__xludf.DUMMYFUNCTION("""COMPUTED_VALUE"""),"# of Sandwiches")</f>
        <v># of Sandwiches</v>
      </c>
      <c r="C1559" s="2">
        <f>IFERROR(__xludf.DUMMYFUNCTION("""COMPUTED_VALUE"""),10026.0)</f>
        <v>10026</v>
      </c>
    </row>
    <row r="1560" ht="15.75" customHeight="1">
      <c r="A1560" s="2">
        <f>IFERROR(__xludf.DUMMYFUNCTION("""COMPUTED_VALUE"""),45413.0)</f>
        <v>45413</v>
      </c>
      <c r="B1560" s="2" t="str">
        <f>IFERROR(__xludf.DUMMYFUNCTION("""COMPUTED_VALUE"""),"ALPHARETTA")</f>
        <v>ALPHARETTA</v>
      </c>
      <c r="C1560" s="2">
        <f>IFERROR(__xludf.DUMMYFUNCTION("""COMPUTED_VALUE"""),1057.0)</f>
        <v>1057</v>
      </c>
    </row>
    <row r="1561" ht="15.75" customHeight="1">
      <c r="A1561" s="2">
        <f>IFERROR(__xludf.DUMMYFUNCTION("""COMPUTED_VALUE"""),45413.0)</f>
        <v>45413</v>
      </c>
      <c r="B1561" s="2" t="str">
        <f>IFERROR(__xludf.DUMMYFUNCTION("""COMPUTED_VALUE"""),"PREVIOUS BUCKHEAD")</f>
        <v>PREVIOUS BUCKHEAD</v>
      </c>
      <c r="C1561" s="2"/>
    </row>
    <row r="1562" ht="15.75" customHeight="1">
      <c r="A1562" s="2">
        <f>IFERROR(__xludf.DUMMYFUNCTION("""COMPUTED_VALUE"""),45413.0)</f>
        <v>45413</v>
      </c>
      <c r="B1562" s="2" t="str">
        <f>IFERROR(__xludf.DUMMYFUNCTION("""COMPUTED_VALUE"""),"PREVIOUS OAK GROVE")</f>
        <v>PREVIOUS OAK GROVE</v>
      </c>
      <c r="C1562" s="2"/>
    </row>
    <row r="1563" ht="15.75" customHeight="1">
      <c r="A1563" s="2">
        <f>IFERROR(__xludf.DUMMYFUNCTION("""COMPUTED_VALUE"""),45413.0)</f>
        <v>45413</v>
      </c>
      <c r="B1563" s="2" t="str">
        <f>IFERROR(__xludf.DUMMYFUNCTION("""COMPUTED_VALUE"""),"DUNWOODY/PTC ")</f>
        <v>DUNWOODY/PTC </v>
      </c>
      <c r="C1563" s="2">
        <f>IFERROR(__xludf.DUMMYFUNCTION("""COMPUTED_VALUE"""),2174.0)</f>
        <v>2174</v>
      </c>
    </row>
    <row r="1564" ht="15.75" customHeight="1">
      <c r="A1564" s="2">
        <f>IFERROR(__xludf.DUMMYFUNCTION("""COMPUTED_VALUE"""),45413.0)</f>
        <v>45413</v>
      </c>
      <c r="B1564" s="2" t="str">
        <f>IFERROR(__xludf.DUMMYFUNCTION("""COMPUTED_VALUE"""),"E COBB/ROSWELL")</f>
        <v>E COBB/ROSWELL</v>
      </c>
      <c r="C1564" s="2">
        <f>IFERROR(__xludf.DUMMYFUNCTION("""COMPUTED_VALUE"""),1777.0)</f>
        <v>1777</v>
      </c>
    </row>
    <row r="1565" ht="15.75" customHeight="1">
      <c r="A1565" s="2">
        <f>IFERROR(__xludf.DUMMYFUNCTION("""COMPUTED_VALUE"""),45413.0)</f>
        <v>45413</v>
      </c>
      <c r="B1565" s="2" t="str">
        <f>IFERROR(__xludf.DUMMYFUNCTION("""COMPUTED_VALUE"""),"DECATUR")</f>
        <v>DECATUR</v>
      </c>
      <c r="C1565" s="2">
        <f>IFERROR(__xludf.DUMMYFUNCTION("""COMPUTED_VALUE"""),112.0)</f>
        <v>112</v>
      </c>
    </row>
    <row r="1566" ht="15.75" customHeight="1">
      <c r="A1566" s="2">
        <f>IFERROR(__xludf.DUMMYFUNCTION("""COMPUTED_VALUE"""),45413.0)</f>
        <v>45413</v>
      </c>
      <c r="B1566" s="2" t="str">
        <f>IFERROR(__xludf.DUMMYFUNCTION("""COMPUTED_VALUE"""),"P'TREE CORNERS ")</f>
        <v>P'TREE CORNERS </v>
      </c>
      <c r="C1566" s="2"/>
    </row>
    <row r="1567" ht="15.75" customHeight="1">
      <c r="A1567" s="2">
        <f>IFERROR(__xludf.DUMMYFUNCTION("""COMPUTED_VALUE"""),45413.0)</f>
        <v>45413</v>
      </c>
      <c r="B1567" s="2" t="str">
        <f>IFERROR(__xludf.DUMMYFUNCTION("""COMPUTED_VALUE"""),"UGA/Athens")</f>
        <v>UGA/Athens</v>
      </c>
      <c r="C1567" s="2"/>
    </row>
    <row r="1568" ht="15.75" customHeight="1">
      <c r="A1568" s="2">
        <f>IFERROR(__xludf.DUMMYFUNCTION("""COMPUTED_VALUE"""),45413.0)</f>
        <v>45413</v>
      </c>
      <c r="B1568" s="2" t="str">
        <f>IFERROR(__xludf.DUMMYFUNCTION("""COMPUTED_VALUE"""),"SANDY SPRINGS ")</f>
        <v>SANDY SPRINGS </v>
      </c>
      <c r="C1568" s="2">
        <f>IFERROR(__xludf.DUMMYFUNCTION("""COMPUTED_VALUE"""),1282.0)</f>
        <v>1282</v>
      </c>
    </row>
    <row r="1569" ht="15.75" customHeight="1">
      <c r="A1569" s="2">
        <f>IFERROR(__xludf.DUMMYFUNCTION("""COMPUTED_VALUE"""),45413.0)</f>
        <v>45413</v>
      </c>
      <c r="B1569" s="2" t="str">
        <f>IFERROR(__xludf.DUMMYFUNCTION("""COMPUTED_VALUE"""),"INTOWN/DRUID HILLS ")</f>
        <v>INTOWN/DRUID HILLS </v>
      </c>
      <c r="C1569" s="2">
        <f>IFERROR(__xludf.DUMMYFUNCTION("""COMPUTED_VALUE"""),968.0)</f>
        <v>968</v>
      </c>
    </row>
    <row r="1570" ht="15.75" customHeight="1">
      <c r="A1570" s="2">
        <f>IFERROR(__xludf.DUMMYFUNCTION("""COMPUTED_VALUE"""),45413.0)</f>
        <v>45413</v>
      </c>
      <c r="B1570" s="2" t="str">
        <f>IFERROR(__xludf.DUMMYFUNCTION("""COMPUTED_VALUE"""),"SNELLVILLE")</f>
        <v>SNELLVILLE</v>
      </c>
      <c r="C1570" s="2">
        <f>IFERROR(__xludf.DUMMYFUNCTION("""COMPUTED_VALUE"""),0.0)</f>
        <v>0</v>
      </c>
    </row>
    <row r="1571" ht="15.75" customHeight="1">
      <c r="A1571" s="2">
        <f>IFERROR(__xludf.DUMMYFUNCTION("""COMPUTED_VALUE"""),45413.0)</f>
        <v>45413</v>
      </c>
      <c r="B1571" s="2" t="str">
        <f>IFERROR(__xludf.DUMMYFUNCTION("""COMPUTED_VALUE"""),"GROUPS")</f>
        <v>GROUPS</v>
      </c>
      <c r="C1571" s="2"/>
    </row>
    <row r="1572" ht="15.75" customHeight="1">
      <c r="A1572" s="2">
        <f>IFERROR(__xludf.DUMMYFUNCTION("""COMPUTED_VALUE"""),45413.0)</f>
        <v>45413</v>
      </c>
      <c r="B1572" s="2" t="str">
        <f>IFERROR(__xludf.DUMMYFUNCTION("""COMPUTED_VALUE"""),"Previous Woodstock")</f>
        <v>Previous Woodstock</v>
      </c>
      <c r="C1572" s="2"/>
    </row>
    <row r="1573" ht="15.75" customHeight="1">
      <c r="A1573" s="2">
        <f>IFERROR(__xludf.DUMMYFUNCTION("""COMPUTED_VALUE"""),45413.0)</f>
        <v>45413</v>
      </c>
      <c r="B1573" s="2" t="str">
        <f>IFERROR(__xludf.DUMMYFUNCTION("""COMPUTED_VALUE"""),"Previous Lenox/Brookhaven")</f>
        <v>Previous Lenox/Brookhaven</v>
      </c>
      <c r="C1573" s="2"/>
    </row>
    <row r="1574" ht="15.75" customHeight="1">
      <c r="A1574" s="2">
        <f>IFERROR(__xludf.DUMMYFUNCTION("""COMPUTED_VALUE"""),45413.0)</f>
        <v>45413</v>
      </c>
      <c r="B1574" s="2" t="str">
        <f>IFERROR(__xludf.DUMMYFUNCTION("""COMPUTED_VALUE"""),"Previous New Chastain")</f>
        <v>Previous New Chastain</v>
      </c>
      <c r="C1574" s="2"/>
    </row>
    <row r="1575" ht="15.75" customHeight="1">
      <c r="A1575" s="2">
        <f>IFERROR(__xludf.DUMMYFUNCTION("""COMPUTED_VALUE"""),45413.0)</f>
        <v>45413</v>
      </c>
      <c r="B1575" s="2" t="str">
        <f>IFERROR(__xludf.DUMMYFUNCTION("""COMPUTED_VALUE"""),"Previous Glenwood Park")</f>
        <v>Previous Glenwood Park</v>
      </c>
      <c r="C1575" s="2"/>
    </row>
    <row r="1576" ht="15.75" customHeight="1">
      <c r="A1576" s="2">
        <f>IFERROR(__xludf.DUMMYFUNCTION("""COMPUTED_VALUE"""),45413.0)</f>
        <v>45413</v>
      </c>
      <c r="B1576" s="2" t="str">
        <f>IFERROR(__xludf.DUMMYFUNCTION("""COMPUTED_VALUE"""),"FLOWERY BRANCH")</f>
        <v>FLOWERY BRANCH</v>
      </c>
      <c r="C1576" s="2">
        <f>IFERROR(__xludf.DUMMYFUNCTION("""COMPUTED_VALUE"""),274.0)</f>
        <v>274</v>
      </c>
    </row>
    <row r="1577" ht="15.75" customHeight="1">
      <c r="A1577" s="2">
        <f>IFERROR(__xludf.DUMMYFUNCTION("""COMPUTED_VALUE"""),45413.0)</f>
        <v>45413</v>
      </c>
      <c r="B1577" s="2" t="str">
        <f>IFERROR(__xludf.DUMMYFUNCTION("""COMPUTED_VALUE"""),"GROUPS ")</f>
        <v>GROUPS </v>
      </c>
      <c r="C1577" s="2">
        <f>IFERROR(__xludf.DUMMYFUNCTION("""COMPUTED_VALUE"""),2382.0)</f>
        <v>2382</v>
      </c>
    </row>
    <row r="1578" ht="15.75" customHeight="1">
      <c r="A1578" s="2">
        <f>IFERROR(__xludf.DUMMYFUNCTION("""COMPUTED_VALUE"""),45413.0)</f>
        <v>45413</v>
      </c>
      <c r="B1578" s="2" t="str">
        <f>IFERROR(__xludf.DUMMYFUNCTION("""COMPUTED_VALUE"""),"TOTAL")</f>
        <v>TOTAL</v>
      </c>
      <c r="C1578" s="2"/>
    </row>
    <row r="1579" ht="15.75" customHeight="1">
      <c r="A1579" s="2">
        <f>IFERROR(__xludf.DUMMYFUNCTION("""COMPUTED_VALUE"""),45413.0)</f>
        <v>45413</v>
      </c>
      <c r="B1579" s="2" t="str">
        <f>IFERROR(__xludf.DUMMYFUNCTION("""COMPUTED_VALUE"""),"Collective Learning")</f>
        <v>Collective Learning</v>
      </c>
      <c r="C1579" s="2"/>
    </row>
    <row r="1580" ht="15.75" customHeight="1">
      <c r="A1580" s="2">
        <f>IFERROR(__xludf.DUMMYFUNCTION("""COMPUTED_VALUE"""),45413.0)</f>
        <v>45413</v>
      </c>
      <c r="B1580" s="2" t="str">
        <f>IFERROR(__xludf.DUMMYFUNCTION("""COMPUTED_VALUE"""),"NOTES")</f>
        <v>NOTES</v>
      </c>
      <c r="C1580" s="2"/>
    </row>
    <row r="1581" ht="15.75" customHeight="1">
      <c r="A1581" s="2">
        <f>IFERROR(__xludf.DUMMYFUNCTION("""COMPUTED_VALUE"""),45420.0)</f>
        <v>45420</v>
      </c>
      <c r="B1581" s="2" t="str">
        <f>IFERROR(__xludf.DUMMYFUNCTION("""COMPUTED_VALUE"""),"# of Sandwiches")</f>
        <v># of Sandwiches</v>
      </c>
      <c r="C1581" s="2">
        <f>IFERROR(__xludf.DUMMYFUNCTION("""COMPUTED_VALUE"""),7815.0)</f>
        <v>7815</v>
      </c>
    </row>
    <row r="1582" ht="15.75" customHeight="1">
      <c r="A1582" s="2">
        <f>IFERROR(__xludf.DUMMYFUNCTION("""COMPUTED_VALUE"""),45420.0)</f>
        <v>45420</v>
      </c>
      <c r="B1582" s="2" t="str">
        <f>IFERROR(__xludf.DUMMYFUNCTION("""COMPUTED_VALUE"""),"ALPHARETTA")</f>
        <v>ALPHARETTA</v>
      </c>
      <c r="C1582" s="2">
        <f>IFERROR(__xludf.DUMMYFUNCTION("""COMPUTED_VALUE"""),1405.0)</f>
        <v>1405</v>
      </c>
    </row>
    <row r="1583" ht="15.75" customHeight="1">
      <c r="A1583" s="2">
        <f>IFERROR(__xludf.DUMMYFUNCTION("""COMPUTED_VALUE"""),45420.0)</f>
        <v>45420</v>
      </c>
      <c r="B1583" s="2" t="str">
        <f>IFERROR(__xludf.DUMMYFUNCTION("""COMPUTED_VALUE"""),"PREVIOUS BUCKHEAD")</f>
        <v>PREVIOUS BUCKHEAD</v>
      </c>
      <c r="C1583" s="2"/>
    </row>
    <row r="1584" ht="15.75" customHeight="1">
      <c r="A1584" s="2">
        <f>IFERROR(__xludf.DUMMYFUNCTION("""COMPUTED_VALUE"""),45420.0)</f>
        <v>45420</v>
      </c>
      <c r="B1584" s="2" t="str">
        <f>IFERROR(__xludf.DUMMYFUNCTION("""COMPUTED_VALUE"""),"PREVIOUS OAK GROVE")</f>
        <v>PREVIOUS OAK GROVE</v>
      </c>
      <c r="C1584" s="2"/>
    </row>
    <row r="1585" ht="15.75" customHeight="1">
      <c r="A1585" s="2">
        <f>IFERROR(__xludf.DUMMYFUNCTION("""COMPUTED_VALUE"""),45420.0)</f>
        <v>45420</v>
      </c>
      <c r="B1585" s="2" t="str">
        <f>IFERROR(__xludf.DUMMYFUNCTION("""COMPUTED_VALUE"""),"DUNWOODY/PTC ")</f>
        <v>DUNWOODY/PTC </v>
      </c>
      <c r="C1585" s="2">
        <f>IFERROR(__xludf.DUMMYFUNCTION("""COMPUTED_VALUE"""),1944.0)</f>
        <v>1944</v>
      </c>
    </row>
    <row r="1586" ht="15.75" customHeight="1">
      <c r="A1586" s="2">
        <f>IFERROR(__xludf.DUMMYFUNCTION("""COMPUTED_VALUE"""),45420.0)</f>
        <v>45420</v>
      </c>
      <c r="B1586" s="2" t="str">
        <f>IFERROR(__xludf.DUMMYFUNCTION("""COMPUTED_VALUE"""),"E COBB/ROSWELL")</f>
        <v>E COBB/ROSWELL</v>
      </c>
      <c r="C1586" s="2">
        <f>IFERROR(__xludf.DUMMYFUNCTION("""COMPUTED_VALUE"""),916.0)</f>
        <v>916</v>
      </c>
    </row>
    <row r="1587" ht="15.75" customHeight="1">
      <c r="A1587" s="2">
        <f>IFERROR(__xludf.DUMMYFUNCTION("""COMPUTED_VALUE"""),45420.0)</f>
        <v>45420</v>
      </c>
      <c r="B1587" s="2" t="str">
        <f>IFERROR(__xludf.DUMMYFUNCTION("""COMPUTED_VALUE"""),"DECATUR")</f>
        <v>DECATUR</v>
      </c>
      <c r="C1587" s="2">
        <f>IFERROR(__xludf.DUMMYFUNCTION("""COMPUTED_VALUE"""),72.0)</f>
        <v>72</v>
      </c>
    </row>
    <row r="1588" ht="15.75" customHeight="1">
      <c r="A1588" s="2">
        <f>IFERROR(__xludf.DUMMYFUNCTION("""COMPUTED_VALUE"""),45420.0)</f>
        <v>45420</v>
      </c>
      <c r="B1588" s="2" t="str">
        <f>IFERROR(__xludf.DUMMYFUNCTION("""COMPUTED_VALUE"""),"P'TREE CORNERS ")</f>
        <v>P'TREE CORNERS </v>
      </c>
      <c r="C1588" s="2"/>
    </row>
    <row r="1589" ht="15.75" customHeight="1">
      <c r="A1589" s="2">
        <f>IFERROR(__xludf.DUMMYFUNCTION("""COMPUTED_VALUE"""),45420.0)</f>
        <v>45420</v>
      </c>
      <c r="B1589" s="2" t="str">
        <f>IFERROR(__xludf.DUMMYFUNCTION("""COMPUTED_VALUE"""),"UGA/Athens")</f>
        <v>UGA/Athens</v>
      </c>
      <c r="C1589" s="2"/>
    </row>
    <row r="1590" ht="15.75" customHeight="1">
      <c r="A1590" s="2">
        <f>IFERROR(__xludf.DUMMYFUNCTION("""COMPUTED_VALUE"""),45420.0)</f>
        <v>45420</v>
      </c>
      <c r="B1590" s="2" t="str">
        <f>IFERROR(__xludf.DUMMYFUNCTION("""COMPUTED_VALUE"""),"SANDY SPRINGS ")</f>
        <v>SANDY SPRINGS </v>
      </c>
      <c r="C1590" s="2">
        <f>IFERROR(__xludf.DUMMYFUNCTION("""COMPUTED_VALUE"""),1168.0)</f>
        <v>1168</v>
      </c>
    </row>
    <row r="1591" ht="15.75" customHeight="1">
      <c r="A1591" s="2">
        <f>IFERROR(__xludf.DUMMYFUNCTION("""COMPUTED_VALUE"""),45420.0)</f>
        <v>45420</v>
      </c>
      <c r="B1591" s="2" t="str">
        <f>IFERROR(__xludf.DUMMYFUNCTION("""COMPUTED_VALUE"""),"INTOWN/DRUID HILLS ")</f>
        <v>INTOWN/DRUID HILLS </v>
      </c>
      <c r="C1591" s="2">
        <f>IFERROR(__xludf.DUMMYFUNCTION("""COMPUTED_VALUE"""),507.0)</f>
        <v>507</v>
      </c>
    </row>
    <row r="1592" ht="15.75" customHeight="1">
      <c r="A1592" s="2">
        <f>IFERROR(__xludf.DUMMYFUNCTION("""COMPUTED_VALUE"""),45420.0)</f>
        <v>45420</v>
      </c>
      <c r="B1592" s="2" t="str">
        <f>IFERROR(__xludf.DUMMYFUNCTION("""COMPUTED_VALUE"""),"SNELLVILLE")</f>
        <v>SNELLVILLE</v>
      </c>
      <c r="C1592" s="2">
        <f>IFERROR(__xludf.DUMMYFUNCTION("""COMPUTED_VALUE"""),0.0)</f>
        <v>0</v>
      </c>
    </row>
    <row r="1593" ht="15.75" customHeight="1">
      <c r="A1593" s="2">
        <f>IFERROR(__xludf.DUMMYFUNCTION("""COMPUTED_VALUE"""),45420.0)</f>
        <v>45420</v>
      </c>
      <c r="B1593" s="2" t="str">
        <f>IFERROR(__xludf.DUMMYFUNCTION("""COMPUTED_VALUE"""),"GROUPS")</f>
        <v>GROUPS</v>
      </c>
      <c r="C1593" s="2"/>
    </row>
    <row r="1594" ht="15.75" customHeight="1">
      <c r="A1594" s="2">
        <f>IFERROR(__xludf.DUMMYFUNCTION("""COMPUTED_VALUE"""),45420.0)</f>
        <v>45420</v>
      </c>
      <c r="B1594" s="2" t="str">
        <f>IFERROR(__xludf.DUMMYFUNCTION("""COMPUTED_VALUE"""),"Previous Woodstock")</f>
        <v>Previous Woodstock</v>
      </c>
      <c r="C1594" s="2"/>
    </row>
    <row r="1595" ht="15.75" customHeight="1">
      <c r="A1595" s="2">
        <f>IFERROR(__xludf.DUMMYFUNCTION("""COMPUTED_VALUE"""),45420.0)</f>
        <v>45420</v>
      </c>
      <c r="B1595" s="2" t="str">
        <f>IFERROR(__xludf.DUMMYFUNCTION("""COMPUTED_VALUE"""),"Previous Lenox/Brookhaven")</f>
        <v>Previous Lenox/Brookhaven</v>
      </c>
      <c r="C1595" s="2"/>
    </row>
    <row r="1596" ht="15.75" customHeight="1">
      <c r="A1596" s="2">
        <f>IFERROR(__xludf.DUMMYFUNCTION("""COMPUTED_VALUE"""),45420.0)</f>
        <v>45420</v>
      </c>
      <c r="B1596" s="2" t="str">
        <f>IFERROR(__xludf.DUMMYFUNCTION("""COMPUTED_VALUE"""),"Previous New Chastain")</f>
        <v>Previous New Chastain</v>
      </c>
      <c r="C1596" s="2"/>
    </row>
    <row r="1597" ht="15.75" customHeight="1">
      <c r="A1597" s="2">
        <f>IFERROR(__xludf.DUMMYFUNCTION("""COMPUTED_VALUE"""),45420.0)</f>
        <v>45420</v>
      </c>
      <c r="B1597" s="2" t="str">
        <f>IFERROR(__xludf.DUMMYFUNCTION("""COMPUTED_VALUE"""),"Previous Glenwood Park")</f>
        <v>Previous Glenwood Park</v>
      </c>
      <c r="C1597" s="2"/>
    </row>
    <row r="1598" ht="15.75" customHeight="1">
      <c r="A1598" s="2">
        <f>IFERROR(__xludf.DUMMYFUNCTION("""COMPUTED_VALUE"""),45420.0)</f>
        <v>45420</v>
      </c>
      <c r="B1598" s="2" t="str">
        <f>IFERROR(__xludf.DUMMYFUNCTION("""COMPUTED_VALUE"""),"FLOWERY BRANCH")</f>
        <v>FLOWERY BRANCH</v>
      </c>
      <c r="C1598" s="2">
        <f>IFERROR(__xludf.DUMMYFUNCTION("""COMPUTED_VALUE"""),244.0)</f>
        <v>244</v>
      </c>
    </row>
    <row r="1599" ht="15.75" customHeight="1">
      <c r="A1599" s="2">
        <f>IFERROR(__xludf.DUMMYFUNCTION("""COMPUTED_VALUE"""),45420.0)</f>
        <v>45420</v>
      </c>
      <c r="B1599" s="2" t="str">
        <f>IFERROR(__xludf.DUMMYFUNCTION("""COMPUTED_VALUE"""),"GROUPS ")</f>
        <v>GROUPS </v>
      </c>
      <c r="C1599" s="2">
        <f>IFERROR(__xludf.DUMMYFUNCTION("""COMPUTED_VALUE"""),1559.0)</f>
        <v>1559</v>
      </c>
    </row>
    <row r="1600" ht="15.75" customHeight="1">
      <c r="A1600" s="2">
        <f>IFERROR(__xludf.DUMMYFUNCTION("""COMPUTED_VALUE"""),45420.0)</f>
        <v>45420</v>
      </c>
      <c r="B1600" s="2" t="str">
        <f>IFERROR(__xludf.DUMMYFUNCTION("""COMPUTED_VALUE"""),"TOTAL")</f>
        <v>TOTAL</v>
      </c>
      <c r="C1600" s="2"/>
    </row>
    <row r="1601" ht="15.75" customHeight="1">
      <c r="A1601" s="2">
        <f>IFERROR(__xludf.DUMMYFUNCTION("""COMPUTED_VALUE"""),45420.0)</f>
        <v>45420</v>
      </c>
      <c r="B1601" s="2" t="str">
        <f>IFERROR(__xludf.DUMMYFUNCTION("""COMPUTED_VALUE"""),"Collective Learning")</f>
        <v>Collective Learning</v>
      </c>
      <c r="C1601" s="2"/>
    </row>
    <row r="1602" ht="15.75" customHeight="1">
      <c r="A1602" s="2">
        <f>IFERROR(__xludf.DUMMYFUNCTION("""COMPUTED_VALUE"""),45420.0)</f>
        <v>45420</v>
      </c>
      <c r="B1602" s="2" t="str">
        <f>IFERROR(__xludf.DUMMYFUNCTION("""COMPUTED_VALUE"""),"NOTES")</f>
        <v>NOTES</v>
      </c>
      <c r="C1602" s="2"/>
    </row>
    <row r="1603" ht="15.75" customHeight="1">
      <c r="A1603" s="2">
        <f>IFERROR(__xludf.DUMMYFUNCTION("""COMPUTED_VALUE"""),45427.0)</f>
        <v>45427</v>
      </c>
      <c r="B1603" s="2" t="str">
        <f>IFERROR(__xludf.DUMMYFUNCTION("""COMPUTED_VALUE"""),"# of Sandwiches")</f>
        <v># of Sandwiches</v>
      </c>
      <c r="C1603" s="2">
        <f>IFERROR(__xludf.DUMMYFUNCTION("""COMPUTED_VALUE"""),9254.0)</f>
        <v>9254</v>
      </c>
    </row>
    <row r="1604" ht="15.75" customHeight="1">
      <c r="A1604" s="2">
        <f>IFERROR(__xludf.DUMMYFUNCTION("""COMPUTED_VALUE"""),45427.0)</f>
        <v>45427</v>
      </c>
      <c r="B1604" s="2" t="str">
        <f>IFERROR(__xludf.DUMMYFUNCTION("""COMPUTED_VALUE"""),"ALPHARETTA")</f>
        <v>ALPHARETTA</v>
      </c>
      <c r="C1604" s="2">
        <f>IFERROR(__xludf.DUMMYFUNCTION("""COMPUTED_VALUE"""),1355.0)</f>
        <v>1355</v>
      </c>
    </row>
    <row r="1605" ht="15.75" customHeight="1">
      <c r="A1605" s="2">
        <f>IFERROR(__xludf.DUMMYFUNCTION("""COMPUTED_VALUE"""),45427.0)</f>
        <v>45427</v>
      </c>
      <c r="B1605" s="2" t="str">
        <f>IFERROR(__xludf.DUMMYFUNCTION("""COMPUTED_VALUE"""),"PREVIOUS BUCKHEAD")</f>
        <v>PREVIOUS BUCKHEAD</v>
      </c>
      <c r="C1605" s="2"/>
    </row>
    <row r="1606" ht="15.75" customHeight="1">
      <c r="A1606" s="2">
        <f>IFERROR(__xludf.DUMMYFUNCTION("""COMPUTED_VALUE"""),45427.0)</f>
        <v>45427</v>
      </c>
      <c r="B1606" s="2" t="str">
        <f>IFERROR(__xludf.DUMMYFUNCTION("""COMPUTED_VALUE"""),"PREVIOUS OAK GROVE")</f>
        <v>PREVIOUS OAK GROVE</v>
      </c>
      <c r="C1606" s="2"/>
    </row>
    <row r="1607" ht="15.75" customHeight="1">
      <c r="A1607" s="2">
        <f>IFERROR(__xludf.DUMMYFUNCTION("""COMPUTED_VALUE"""),45427.0)</f>
        <v>45427</v>
      </c>
      <c r="B1607" s="2" t="str">
        <f>IFERROR(__xludf.DUMMYFUNCTION("""COMPUTED_VALUE"""),"DUNWOODY/PTC ")</f>
        <v>DUNWOODY/PTC </v>
      </c>
      <c r="C1607" s="2">
        <f>IFERROR(__xludf.DUMMYFUNCTION("""COMPUTED_VALUE"""),2477.0)</f>
        <v>2477</v>
      </c>
    </row>
    <row r="1608" ht="15.75" customHeight="1">
      <c r="A1608" s="2">
        <f>IFERROR(__xludf.DUMMYFUNCTION("""COMPUTED_VALUE"""),45427.0)</f>
        <v>45427</v>
      </c>
      <c r="B1608" s="2" t="str">
        <f>IFERROR(__xludf.DUMMYFUNCTION("""COMPUTED_VALUE"""),"E COBB/ROSWELL")</f>
        <v>E COBB/ROSWELL</v>
      </c>
      <c r="C1608" s="2">
        <f>IFERROR(__xludf.DUMMYFUNCTION("""COMPUTED_VALUE"""),1259.0)</f>
        <v>1259</v>
      </c>
    </row>
    <row r="1609" ht="15.75" customHeight="1">
      <c r="A1609" s="2">
        <f>IFERROR(__xludf.DUMMYFUNCTION("""COMPUTED_VALUE"""),45427.0)</f>
        <v>45427</v>
      </c>
      <c r="B1609" s="2" t="str">
        <f>IFERROR(__xludf.DUMMYFUNCTION("""COMPUTED_VALUE"""),"DECATUR")</f>
        <v>DECATUR</v>
      </c>
      <c r="C1609" s="2">
        <f>IFERROR(__xludf.DUMMYFUNCTION("""COMPUTED_VALUE"""),92.0)</f>
        <v>92</v>
      </c>
    </row>
    <row r="1610" ht="15.75" customHeight="1">
      <c r="A1610" s="2">
        <f>IFERROR(__xludf.DUMMYFUNCTION("""COMPUTED_VALUE"""),45427.0)</f>
        <v>45427</v>
      </c>
      <c r="B1610" s="2" t="str">
        <f>IFERROR(__xludf.DUMMYFUNCTION("""COMPUTED_VALUE"""),"P'TREE CORNERS ")</f>
        <v>P'TREE CORNERS </v>
      </c>
      <c r="C1610" s="2"/>
    </row>
    <row r="1611" ht="15.75" customHeight="1">
      <c r="A1611" s="2">
        <f>IFERROR(__xludf.DUMMYFUNCTION("""COMPUTED_VALUE"""),45427.0)</f>
        <v>45427</v>
      </c>
      <c r="B1611" s="2" t="str">
        <f>IFERROR(__xludf.DUMMYFUNCTION("""COMPUTED_VALUE"""),"UGA/Athens")</f>
        <v>UGA/Athens</v>
      </c>
      <c r="C1611" s="2"/>
    </row>
    <row r="1612" ht="15.75" customHeight="1">
      <c r="A1612" s="2">
        <f>IFERROR(__xludf.DUMMYFUNCTION("""COMPUTED_VALUE"""),45427.0)</f>
        <v>45427</v>
      </c>
      <c r="B1612" s="2" t="str">
        <f>IFERROR(__xludf.DUMMYFUNCTION("""COMPUTED_VALUE"""),"SANDY SPRINGS ")</f>
        <v>SANDY SPRINGS </v>
      </c>
      <c r="C1612" s="2">
        <f>IFERROR(__xludf.DUMMYFUNCTION("""COMPUTED_VALUE"""),581.0)</f>
        <v>581</v>
      </c>
    </row>
    <row r="1613" ht="15.75" customHeight="1">
      <c r="A1613" s="2">
        <f>IFERROR(__xludf.DUMMYFUNCTION("""COMPUTED_VALUE"""),45427.0)</f>
        <v>45427</v>
      </c>
      <c r="B1613" s="2" t="str">
        <f>IFERROR(__xludf.DUMMYFUNCTION("""COMPUTED_VALUE"""),"INTOWN/DRUID HILLS ")</f>
        <v>INTOWN/DRUID HILLS </v>
      </c>
      <c r="C1613" s="2">
        <f>IFERROR(__xludf.DUMMYFUNCTION("""COMPUTED_VALUE"""),673.0)</f>
        <v>673</v>
      </c>
    </row>
    <row r="1614" ht="15.75" customHeight="1">
      <c r="A1614" s="2">
        <f>IFERROR(__xludf.DUMMYFUNCTION("""COMPUTED_VALUE"""),45427.0)</f>
        <v>45427</v>
      </c>
      <c r="B1614" s="2" t="str">
        <f>IFERROR(__xludf.DUMMYFUNCTION("""COMPUTED_VALUE"""),"SNELLVILLE")</f>
        <v>SNELLVILLE</v>
      </c>
      <c r="C1614" s="2">
        <f>IFERROR(__xludf.DUMMYFUNCTION("""COMPUTED_VALUE"""),0.0)</f>
        <v>0</v>
      </c>
    </row>
    <row r="1615" ht="15.75" customHeight="1">
      <c r="A1615" s="2">
        <f>IFERROR(__xludf.DUMMYFUNCTION("""COMPUTED_VALUE"""),45427.0)</f>
        <v>45427</v>
      </c>
      <c r="B1615" s="2" t="str">
        <f>IFERROR(__xludf.DUMMYFUNCTION("""COMPUTED_VALUE"""),"GROUPS")</f>
        <v>GROUPS</v>
      </c>
      <c r="C1615" s="2"/>
    </row>
    <row r="1616" ht="15.75" customHeight="1">
      <c r="A1616" s="2">
        <f>IFERROR(__xludf.DUMMYFUNCTION("""COMPUTED_VALUE"""),45427.0)</f>
        <v>45427</v>
      </c>
      <c r="B1616" s="2" t="str">
        <f>IFERROR(__xludf.DUMMYFUNCTION("""COMPUTED_VALUE"""),"Previous Woodstock")</f>
        <v>Previous Woodstock</v>
      </c>
      <c r="C1616" s="2"/>
    </row>
    <row r="1617" ht="15.75" customHeight="1">
      <c r="A1617" s="2">
        <f>IFERROR(__xludf.DUMMYFUNCTION("""COMPUTED_VALUE"""),45427.0)</f>
        <v>45427</v>
      </c>
      <c r="B1617" s="2" t="str">
        <f>IFERROR(__xludf.DUMMYFUNCTION("""COMPUTED_VALUE"""),"Previous Lenox/Brookhaven")</f>
        <v>Previous Lenox/Brookhaven</v>
      </c>
      <c r="C1617" s="2"/>
    </row>
    <row r="1618" ht="15.75" customHeight="1">
      <c r="A1618" s="2">
        <f>IFERROR(__xludf.DUMMYFUNCTION("""COMPUTED_VALUE"""),45427.0)</f>
        <v>45427</v>
      </c>
      <c r="B1618" s="2" t="str">
        <f>IFERROR(__xludf.DUMMYFUNCTION("""COMPUTED_VALUE"""),"Previous New Chastain")</f>
        <v>Previous New Chastain</v>
      </c>
      <c r="C1618" s="2"/>
    </row>
    <row r="1619" ht="15.75" customHeight="1">
      <c r="A1619" s="2">
        <f>IFERROR(__xludf.DUMMYFUNCTION("""COMPUTED_VALUE"""),45427.0)</f>
        <v>45427</v>
      </c>
      <c r="B1619" s="2" t="str">
        <f>IFERROR(__xludf.DUMMYFUNCTION("""COMPUTED_VALUE"""),"Previous Glenwood Park")</f>
        <v>Previous Glenwood Park</v>
      </c>
      <c r="C1619" s="2"/>
    </row>
    <row r="1620" ht="15.75" customHeight="1">
      <c r="A1620" s="2">
        <f>IFERROR(__xludf.DUMMYFUNCTION("""COMPUTED_VALUE"""),45427.0)</f>
        <v>45427</v>
      </c>
      <c r="B1620" s="2" t="str">
        <f>IFERROR(__xludf.DUMMYFUNCTION("""COMPUTED_VALUE"""),"FLOWERY BRANCH")</f>
        <v>FLOWERY BRANCH</v>
      </c>
      <c r="C1620" s="2">
        <f>IFERROR(__xludf.DUMMYFUNCTION("""COMPUTED_VALUE"""),484.0)</f>
        <v>484</v>
      </c>
    </row>
    <row r="1621" ht="15.75" customHeight="1">
      <c r="A1621" s="2">
        <f>IFERROR(__xludf.DUMMYFUNCTION("""COMPUTED_VALUE"""),45427.0)</f>
        <v>45427</v>
      </c>
      <c r="B1621" s="2" t="str">
        <f>IFERROR(__xludf.DUMMYFUNCTION("""COMPUTED_VALUE"""),"GROUPS ")</f>
        <v>GROUPS </v>
      </c>
      <c r="C1621" s="2">
        <f>IFERROR(__xludf.DUMMYFUNCTION("""COMPUTED_VALUE"""),2333.0)</f>
        <v>2333</v>
      </c>
    </row>
    <row r="1622" ht="15.75" customHeight="1">
      <c r="A1622" s="2">
        <f>IFERROR(__xludf.DUMMYFUNCTION("""COMPUTED_VALUE"""),45427.0)</f>
        <v>45427</v>
      </c>
      <c r="B1622" s="2" t="str">
        <f>IFERROR(__xludf.DUMMYFUNCTION("""COMPUTED_VALUE"""),"TOTAL")</f>
        <v>TOTAL</v>
      </c>
      <c r="C1622" s="2"/>
    </row>
    <row r="1623" ht="15.75" customHeight="1">
      <c r="A1623" s="2">
        <f>IFERROR(__xludf.DUMMYFUNCTION("""COMPUTED_VALUE"""),45427.0)</f>
        <v>45427</v>
      </c>
      <c r="B1623" s="2" t="str">
        <f>IFERROR(__xludf.DUMMYFUNCTION("""COMPUTED_VALUE"""),"Collective Learning")</f>
        <v>Collective Learning</v>
      </c>
      <c r="C1623" s="2"/>
    </row>
    <row r="1624" ht="15.75" customHeight="1">
      <c r="A1624" s="2">
        <f>IFERROR(__xludf.DUMMYFUNCTION("""COMPUTED_VALUE"""),45427.0)</f>
        <v>45427</v>
      </c>
      <c r="B1624" s="2" t="str">
        <f>IFERROR(__xludf.DUMMYFUNCTION("""COMPUTED_VALUE"""),"NOTES")</f>
        <v>NOTES</v>
      </c>
      <c r="C1624" s="2"/>
    </row>
    <row r="1625" ht="15.75" customHeight="1">
      <c r="A1625" s="2">
        <f>IFERROR(__xludf.DUMMYFUNCTION("""COMPUTED_VALUE"""),45434.0)</f>
        <v>45434</v>
      </c>
      <c r="B1625" s="2" t="str">
        <f>IFERROR(__xludf.DUMMYFUNCTION("""COMPUTED_VALUE"""),"# of Sandwiches")</f>
        <v># of Sandwiches</v>
      </c>
      <c r="C1625" s="2">
        <f>IFERROR(__xludf.DUMMYFUNCTION("""COMPUTED_VALUE"""),5628.0)</f>
        <v>5628</v>
      </c>
    </row>
    <row r="1626" ht="15.75" customHeight="1">
      <c r="A1626" s="2">
        <f>IFERROR(__xludf.DUMMYFUNCTION("""COMPUTED_VALUE"""),45434.0)</f>
        <v>45434</v>
      </c>
      <c r="B1626" s="2" t="str">
        <f>IFERROR(__xludf.DUMMYFUNCTION("""COMPUTED_VALUE"""),"ALPHARETTA")</f>
        <v>ALPHARETTA</v>
      </c>
      <c r="C1626" s="2">
        <f>IFERROR(__xludf.DUMMYFUNCTION("""COMPUTED_VALUE"""),848.0)</f>
        <v>848</v>
      </c>
    </row>
    <row r="1627" ht="15.75" customHeight="1">
      <c r="A1627" s="2">
        <f>IFERROR(__xludf.DUMMYFUNCTION("""COMPUTED_VALUE"""),45434.0)</f>
        <v>45434</v>
      </c>
      <c r="B1627" s="2" t="str">
        <f>IFERROR(__xludf.DUMMYFUNCTION("""COMPUTED_VALUE"""),"PREVIOUS BUCKHEAD")</f>
        <v>PREVIOUS BUCKHEAD</v>
      </c>
      <c r="C1627" s="2"/>
    </row>
    <row r="1628" ht="15.75" customHeight="1">
      <c r="A1628" s="2">
        <f>IFERROR(__xludf.DUMMYFUNCTION("""COMPUTED_VALUE"""),45434.0)</f>
        <v>45434</v>
      </c>
      <c r="B1628" s="2" t="str">
        <f>IFERROR(__xludf.DUMMYFUNCTION("""COMPUTED_VALUE"""),"PREVIOUS OAK GROVE")</f>
        <v>PREVIOUS OAK GROVE</v>
      </c>
      <c r="C1628" s="2"/>
    </row>
    <row r="1629" ht="15.75" customHeight="1">
      <c r="A1629" s="2">
        <f>IFERROR(__xludf.DUMMYFUNCTION("""COMPUTED_VALUE"""),45434.0)</f>
        <v>45434</v>
      </c>
      <c r="B1629" s="2" t="str">
        <f>IFERROR(__xludf.DUMMYFUNCTION("""COMPUTED_VALUE"""),"DUNWOODY/PTC ")</f>
        <v>DUNWOODY/PTC </v>
      </c>
      <c r="C1629" s="2">
        <f>IFERROR(__xludf.DUMMYFUNCTION("""COMPUTED_VALUE"""),2341.0)</f>
        <v>2341</v>
      </c>
    </row>
    <row r="1630" ht="15.75" customHeight="1">
      <c r="A1630" s="2">
        <f>IFERROR(__xludf.DUMMYFUNCTION("""COMPUTED_VALUE"""),45434.0)</f>
        <v>45434</v>
      </c>
      <c r="B1630" s="2" t="str">
        <f>IFERROR(__xludf.DUMMYFUNCTION("""COMPUTED_VALUE"""),"E COBB/ROSWELL")</f>
        <v>E COBB/ROSWELL</v>
      </c>
      <c r="C1630" s="2">
        <f>IFERROR(__xludf.DUMMYFUNCTION("""COMPUTED_VALUE"""),582.0)</f>
        <v>582</v>
      </c>
    </row>
    <row r="1631" ht="15.75" customHeight="1">
      <c r="A1631" s="2">
        <f>IFERROR(__xludf.DUMMYFUNCTION("""COMPUTED_VALUE"""),45434.0)</f>
        <v>45434</v>
      </c>
      <c r="B1631" s="2" t="str">
        <f>IFERROR(__xludf.DUMMYFUNCTION("""COMPUTED_VALUE"""),"DECATUR")</f>
        <v>DECATUR</v>
      </c>
      <c r="C1631" s="2">
        <f>IFERROR(__xludf.DUMMYFUNCTION("""COMPUTED_VALUE"""),0.0)</f>
        <v>0</v>
      </c>
    </row>
    <row r="1632" ht="15.75" customHeight="1">
      <c r="A1632" s="2">
        <f>IFERROR(__xludf.DUMMYFUNCTION("""COMPUTED_VALUE"""),45434.0)</f>
        <v>45434</v>
      </c>
      <c r="B1632" s="2" t="str">
        <f>IFERROR(__xludf.DUMMYFUNCTION("""COMPUTED_VALUE"""),"P'TREE CORNERS ")</f>
        <v>P'TREE CORNERS </v>
      </c>
      <c r="C1632" s="2"/>
    </row>
    <row r="1633" ht="15.75" customHeight="1">
      <c r="A1633" s="2">
        <f>IFERROR(__xludf.DUMMYFUNCTION("""COMPUTED_VALUE"""),45434.0)</f>
        <v>45434</v>
      </c>
      <c r="B1633" s="2" t="str">
        <f>IFERROR(__xludf.DUMMYFUNCTION("""COMPUTED_VALUE"""),"UGA/Athens")</f>
        <v>UGA/Athens</v>
      </c>
      <c r="C1633" s="2"/>
    </row>
    <row r="1634" ht="15.75" customHeight="1">
      <c r="A1634" s="2">
        <f>IFERROR(__xludf.DUMMYFUNCTION("""COMPUTED_VALUE"""),45434.0)</f>
        <v>45434</v>
      </c>
      <c r="B1634" s="2" t="str">
        <f>IFERROR(__xludf.DUMMYFUNCTION("""COMPUTED_VALUE"""),"SANDY SPRINGS ")</f>
        <v>SANDY SPRINGS </v>
      </c>
      <c r="C1634" s="2">
        <f>IFERROR(__xludf.DUMMYFUNCTION("""COMPUTED_VALUE"""),644.0)</f>
        <v>644</v>
      </c>
    </row>
    <row r="1635" ht="15.75" customHeight="1">
      <c r="A1635" s="2">
        <f>IFERROR(__xludf.DUMMYFUNCTION("""COMPUTED_VALUE"""),45434.0)</f>
        <v>45434</v>
      </c>
      <c r="B1635" s="2" t="str">
        <f>IFERROR(__xludf.DUMMYFUNCTION("""COMPUTED_VALUE"""),"INTOWN/DRUID HILLS ")</f>
        <v>INTOWN/DRUID HILLS </v>
      </c>
      <c r="C1635" s="2">
        <f>IFERROR(__xludf.DUMMYFUNCTION("""COMPUTED_VALUE"""),533.0)</f>
        <v>533</v>
      </c>
    </row>
    <row r="1636" ht="15.75" customHeight="1">
      <c r="A1636" s="2">
        <f>IFERROR(__xludf.DUMMYFUNCTION("""COMPUTED_VALUE"""),45434.0)</f>
        <v>45434</v>
      </c>
      <c r="B1636" s="2" t="str">
        <f>IFERROR(__xludf.DUMMYFUNCTION("""COMPUTED_VALUE"""),"SNELLVILLE")</f>
        <v>SNELLVILLE</v>
      </c>
      <c r="C1636" s="2">
        <f>IFERROR(__xludf.DUMMYFUNCTION("""COMPUTED_VALUE"""),0.0)</f>
        <v>0</v>
      </c>
    </row>
    <row r="1637" ht="15.75" customHeight="1">
      <c r="A1637" s="2">
        <f>IFERROR(__xludf.DUMMYFUNCTION("""COMPUTED_VALUE"""),45434.0)</f>
        <v>45434</v>
      </c>
      <c r="B1637" s="2" t="str">
        <f>IFERROR(__xludf.DUMMYFUNCTION("""COMPUTED_VALUE"""),"GROUPS")</f>
        <v>GROUPS</v>
      </c>
      <c r="C1637" s="2"/>
    </row>
    <row r="1638" ht="15.75" customHeight="1">
      <c r="A1638" s="2">
        <f>IFERROR(__xludf.DUMMYFUNCTION("""COMPUTED_VALUE"""),45434.0)</f>
        <v>45434</v>
      </c>
      <c r="B1638" s="2" t="str">
        <f>IFERROR(__xludf.DUMMYFUNCTION("""COMPUTED_VALUE"""),"Previous Woodstock")</f>
        <v>Previous Woodstock</v>
      </c>
      <c r="C1638" s="2"/>
    </row>
    <row r="1639" ht="15.75" customHeight="1">
      <c r="A1639" s="2">
        <f>IFERROR(__xludf.DUMMYFUNCTION("""COMPUTED_VALUE"""),45434.0)</f>
        <v>45434</v>
      </c>
      <c r="B1639" s="2" t="str">
        <f>IFERROR(__xludf.DUMMYFUNCTION("""COMPUTED_VALUE"""),"Previous Lenox/Brookhaven")</f>
        <v>Previous Lenox/Brookhaven</v>
      </c>
      <c r="C1639" s="2"/>
    </row>
    <row r="1640" ht="15.75" customHeight="1">
      <c r="A1640" s="2">
        <f>IFERROR(__xludf.DUMMYFUNCTION("""COMPUTED_VALUE"""),45434.0)</f>
        <v>45434</v>
      </c>
      <c r="B1640" s="2" t="str">
        <f>IFERROR(__xludf.DUMMYFUNCTION("""COMPUTED_VALUE"""),"Previous New Chastain")</f>
        <v>Previous New Chastain</v>
      </c>
      <c r="C1640" s="2"/>
    </row>
    <row r="1641" ht="15.75" customHeight="1">
      <c r="A1641" s="2">
        <f>IFERROR(__xludf.DUMMYFUNCTION("""COMPUTED_VALUE"""),45434.0)</f>
        <v>45434</v>
      </c>
      <c r="B1641" s="2" t="str">
        <f>IFERROR(__xludf.DUMMYFUNCTION("""COMPUTED_VALUE"""),"Previous Glenwood Park")</f>
        <v>Previous Glenwood Park</v>
      </c>
      <c r="C1641" s="2"/>
    </row>
    <row r="1642" ht="15.75" customHeight="1">
      <c r="A1642" s="2">
        <f>IFERROR(__xludf.DUMMYFUNCTION("""COMPUTED_VALUE"""),45434.0)</f>
        <v>45434</v>
      </c>
      <c r="B1642" s="2" t="str">
        <f>IFERROR(__xludf.DUMMYFUNCTION("""COMPUTED_VALUE"""),"FLOWERY BRANCH")</f>
        <v>FLOWERY BRANCH</v>
      </c>
      <c r="C1642" s="2">
        <f>IFERROR(__xludf.DUMMYFUNCTION("""COMPUTED_VALUE"""),278.0)</f>
        <v>278</v>
      </c>
    </row>
    <row r="1643" ht="15.75" customHeight="1">
      <c r="A1643" s="2">
        <f>IFERROR(__xludf.DUMMYFUNCTION("""COMPUTED_VALUE"""),45434.0)</f>
        <v>45434</v>
      </c>
      <c r="B1643" s="2" t="str">
        <f>IFERROR(__xludf.DUMMYFUNCTION("""COMPUTED_VALUE"""),"GROUPS ")</f>
        <v>GROUPS </v>
      </c>
      <c r="C1643" s="2">
        <f>IFERROR(__xludf.DUMMYFUNCTION("""COMPUTED_VALUE"""),402.0)</f>
        <v>402</v>
      </c>
    </row>
    <row r="1644" ht="15.75" customHeight="1">
      <c r="A1644" s="2">
        <f>IFERROR(__xludf.DUMMYFUNCTION("""COMPUTED_VALUE"""),45434.0)</f>
        <v>45434</v>
      </c>
      <c r="B1644" s="2" t="str">
        <f>IFERROR(__xludf.DUMMYFUNCTION("""COMPUTED_VALUE"""),"TOTAL")</f>
        <v>TOTAL</v>
      </c>
      <c r="C1644" s="2"/>
    </row>
    <row r="1645" ht="15.75" customHeight="1">
      <c r="A1645" s="2">
        <f>IFERROR(__xludf.DUMMYFUNCTION("""COMPUTED_VALUE"""),45434.0)</f>
        <v>45434</v>
      </c>
      <c r="B1645" s="2" t="str">
        <f>IFERROR(__xludf.DUMMYFUNCTION("""COMPUTED_VALUE"""),"Collective Learning")</f>
        <v>Collective Learning</v>
      </c>
      <c r="C1645" s="2"/>
    </row>
    <row r="1646" ht="15.75" customHeight="1">
      <c r="A1646" s="2">
        <f>IFERROR(__xludf.DUMMYFUNCTION("""COMPUTED_VALUE"""),45434.0)</f>
        <v>45434</v>
      </c>
      <c r="B1646" s="2" t="str">
        <f>IFERROR(__xludf.DUMMYFUNCTION("""COMPUTED_VALUE"""),"NOTES")</f>
        <v>NOTES</v>
      </c>
      <c r="C1646" s="2"/>
    </row>
    <row r="1647" ht="15.75" customHeight="1">
      <c r="A1647" s="2">
        <f>IFERROR(__xludf.DUMMYFUNCTION("""COMPUTED_VALUE"""),45440.0)</f>
        <v>45440</v>
      </c>
      <c r="B1647" s="2" t="str">
        <f>IFERROR(__xludf.DUMMYFUNCTION("""COMPUTED_VALUE"""),"# of Sandwiches")</f>
        <v># of Sandwiches</v>
      </c>
      <c r="C1647" s="2">
        <f>IFERROR(__xludf.DUMMYFUNCTION("""COMPUTED_VALUE"""),5571.0)</f>
        <v>5571</v>
      </c>
    </row>
    <row r="1648" ht="15.75" customHeight="1">
      <c r="A1648" s="2">
        <f>IFERROR(__xludf.DUMMYFUNCTION("""COMPUTED_VALUE"""),45440.0)</f>
        <v>45440</v>
      </c>
      <c r="B1648" s="2" t="str">
        <f>IFERROR(__xludf.DUMMYFUNCTION("""COMPUTED_VALUE"""),"ALPHARETTA")</f>
        <v>ALPHARETTA</v>
      </c>
      <c r="C1648" s="2">
        <f>IFERROR(__xludf.DUMMYFUNCTION("""COMPUTED_VALUE"""),584.0)</f>
        <v>584</v>
      </c>
    </row>
    <row r="1649" ht="15.75" customHeight="1">
      <c r="A1649" s="2">
        <f>IFERROR(__xludf.DUMMYFUNCTION("""COMPUTED_VALUE"""),45440.0)</f>
        <v>45440</v>
      </c>
      <c r="B1649" s="2" t="str">
        <f>IFERROR(__xludf.DUMMYFUNCTION("""COMPUTED_VALUE"""),"PREVIOUS BUCKHEAD")</f>
        <v>PREVIOUS BUCKHEAD</v>
      </c>
      <c r="C1649" s="2"/>
    </row>
    <row r="1650" ht="15.75" customHeight="1">
      <c r="A1650" s="2">
        <f>IFERROR(__xludf.DUMMYFUNCTION("""COMPUTED_VALUE"""),45440.0)</f>
        <v>45440</v>
      </c>
      <c r="B1650" s="2" t="str">
        <f>IFERROR(__xludf.DUMMYFUNCTION("""COMPUTED_VALUE"""),"PREVIOUS OAK GROVE")</f>
        <v>PREVIOUS OAK GROVE</v>
      </c>
      <c r="C1650" s="2"/>
    </row>
    <row r="1651" ht="15.75" customHeight="1">
      <c r="A1651" s="2">
        <f>IFERROR(__xludf.DUMMYFUNCTION("""COMPUTED_VALUE"""),45440.0)</f>
        <v>45440</v>
      </c>
      <c r="B1651" s="2" t="str">
        <f>IFERROR(__xludf.DUMMYFUNCTION("""COMPUTED_VALUE"""),"DUNWOODY/PTC ")</f>
        <v>DUNWOODY/PTC </v>
      </c>
      <c r="C1651" s="2">
        <f>IFERROR(__xludf.DUMMYFUNCTION("""COMPUTED_VALUE"""),1740.0)</f>
        <v>1740</v>
      </c>
    </row>
    <row r="1652" ht="15.75" customHeight="1">
      <c r="A1652" s="2">
        <f>IFERROR(__xludf.DUMMYFUNCTION("""COMPUTED_VALUE"""),45440.0)</f>
        <v>45440</v>
      </c>
      <c r="B1652" s="2" t="str">
        <f>IFERROR(__xludf.DUMMYFUNCTION("""COMPUTED_VALUE"""),"E COBB/ROSWELL")</f>
        <v>E COBB/ROSWELL</v>
      </c>
      <c r="C1652" s="2">
        <f>IFERROR(__xludf.DUMMYFUNCTION("""COMPUTED_VALUE"""),852.0)</f>
        <v>852</v>
      </c>
    </row>
    <row r="1653" ht="15.75" customHeight="1">
      <c r="A1653" s="2">
        <f>IFERROR(__xludf.DUMMYFUNCTION("""COMPUTED_VALUE"""),45440.0)</f>
        <v>45440</v>
      </c>
      <c r="B1653" s="2" t="str">
        <f>IFERROR(__xludf.DUMMYFUNCTION("""COMPUTED_VALUE"""),"DECATUR")</f>
        <v>DECATUR</v>
      </c>
      <c r="C1653" s="2">
        <f>IFERROR(__xludf.DUMMYFUNCTION("""COMPUTED_VALUE"""),0.0)</f>
        <v>0</v>
      </c>
    </row>
    <row r="1654" ht="15.75" customHeight="1">
      <c r="A1654" s="2">
        <f>IFERROR(__xludf.DUMMYFUNCTION("""COMPUTED_VALUE"""),45440.0)</f>
        <v>45440</v>
      </c>
      <c r="B1654" s="2" t="str">
        <f>IFERROR(__xludf.DUMMYFUNCTION("""COMPUTED_VALUE"""),"P'TREE CORNERS ")</f>
        <v>P'TREE CORNERS </v>
      </c>
      <c r="C1654" s="2"/>
    </row>
    <row r="1655" ht="15.75" customHeight="1">
      <c r="A1655" s="2">
        <f>IFERROR(__xludf.DUMMYFUNCTION("""COMPUTED_VALUE"""),45440.0)</f>
        <v>45440</v>
      </c>
      <c r="B1655" s="2" t="str">
        <f>IFERROR(__xludf.DUMMYFUNCTION("""COMPUTED_VALUE"""),"UGA/Athens")</f>
        <v>UGA/Athens</v>
      </c>
      <c r="C1655" s="2"/>
    </row>
    <row r="1656" ht="15.75" customHeight="1">
      <c r="A1656" s="2">
        <f>IFERROR(__xludf.DUMMYFUNCTION("""COMPUTED_VALUE"""),45440.0)</f>
        <v>45440</v>
      </c>
      <c r="B1656" s="2" t="str">
        <f>IFERROR(__xludf.DUMMYFUNCTION("""COMPUTED_VALUE"""),"SANDY SPRINGS ")</f>
        <v>SANDY SPRINGS </v>
      </c>
      <c r="C1656" s="2">
        <f>IFERROR(__xludf.DUMMYFUNCTION("""COMPUTED_VALUE"""),828.0)</f>
        <v>828</v>
      </c>
    </row>
    <row r="1657" ht="15.75" customHeight="1">
      <c r="A1657" s="2">
        <f>IFERROR(__xludf.DUMMYFUNCTION("""COMPUTED_VALUE"""),45440.0)</f>
        <v>45440</v>
      </c>
      <c r="B1657" s="2" t="str">
        <f>IFERROR(__xludf.DUMMYFUNCTION("""COMPUTED_VALUE"""),"INTOWN/DRUID HILLS ")</f>
        <v>INTOWN/DRUID HILLS </v>
      </c>
      <c r="C1657" s="2">
        <f>IFERROR(__xludf.DUMMYFUNCTION("""COMPUTED_VALUE"""),511.0)</f>
        <v>511</v>
      </c>
    </row>
    <row r="1658" ht="15.75" customHeight="1">
      <c r="A1658" s="2">
        <f>IFERROR(__xludf.DUMMYFUNCTION("""COMPUTED_VALUE"""),45440.0)</f>
        <v>45440</v>
      </c>
      <c r="B1658" s="2" t="str">
        <f>IFERROR(__xludf.DUMMYFUNCTION("""COMPUTED_VALUE"""),"SNELLVILLE")</f>
        <v>SNELLVILLE</v>
      </c>
      <c r="C1658" s="2">
        <f>IFERROR(__xludf.DUMMYFUNCTION("""COMPUTED_VALUE"""),0.0)</f>
        <v>0</v>
      </c>
    </row>
    <row r="1659" ht="15.75" customHeight="1">
      <c r="A1659" s="2">
        <f>IFERROR(__xludf.DUMMYFUNCTION("""COMPUTED_VALUE"""),45440.0)</f>
        <v>45440</v>
      </c>
      <c r="B1659" s="2" t="str">
        <f>IFERROR(__xludf.DUMMYFUNCTION("""COMPUTED_VALUE"""),"GROUPS")</f>
        <v>GROUPS</v>
      </c>
      <c r="C1659" s="2"/>
    </row>
    <row r="1660" ht="15.75" customHeight="1">
      <c r="A1660" s="2">
        <f>IFERROR(__xludf.DUMMYFUNCTION("""COMPUTED_VALUE"""),45440.0)</f>
        <v>45440</v>
      </c>
      <c r="B1660" s="2" t="str">
        <f>IFERROR(__xludf.DUMMYFUNCTION("""COMPUTED_VALUE"""),"Previous Woodstock")</f>
        <v>Previous Woodstock</v>
      </c>
      <c r="C1660" s="2"/>
    </row>
    <row r="1661" ht="15.75" customHeight="1">
      <c r="A1661" s="2">
        <f>IFERROR(__xludf.DUMMYFUNCTION("""COMPUTED_VALUE"""),45440.0)</f>
        <v>45440</v>
      </c>
      <c r="B1661" s="2" t="str">
        <f>IFERROR(__xludf.DUMMYFUNCTION("""COMPUTED_VALUE"""),"Previous Lenox/Brookhaven")</f>
        <v>Previous Lenox/Brookhaven</v>
      </c>
      <c r="C1661" s="2"/>
    </row>
    <row r="1662" ht="15.75" customHeight="1">
      <c r="A1662" s="2">
        <f>IFERROR(__xludf.DUMMYFUNCTION("""COMPUTED_VALUE"""),45440.0)</f>
        <v>45440</v>
      </c>
      <c r="B1662" s="2" t="str">
        <f>IFERROR(__xludf.DUMMYFUNCTION("""COMPUTED_VALUE"""),"Previous New Chastain")</f>
        <v>Previous New Chastain</v>
      </c>
      <c r="C1662" s="2"/>
    </row>
    <row r="1663" ht="15.75" customHeight="1">
      <c r="A1663" s="2">
        <f>IFERROR(__xludf.DUMMYFUNCTION("""COMPUTED_VALUE"""),45440.0)</f>
        <v>45440</v>
      </c>
      <c r="B1663" s="2" t="str">
        <f>IFERROR(__xludf.DUMMYFUNCTION("""COMPUTED_VALUE"""),"Previous Glenwood Park")</f>
        <v>Previous Glenwood Park</v>
      </c>
      <c r="C1663" s="2"/>
    </row>
    <row r="1664" ht="15.75" customHeight="1">
      <c r="A1664" s="2">
        <f>IFERROR(__xludf.DUMMYFUNCTION("""COMPUTED_VALUE"""),45440.0)</f>
        <v>45440</v>
      </c>
      <c r="B1664" s="2" t="str">
        <f>IFERROR(__xludf.DUMMYFUNCTION("""COMPUTED_VALUE"""),"FLOWERY BRANCH")</f>
        <v>FLOWERY BRANCH</v>
      </c>
      <c r="C1664" s="2">
        <f>IFERROR(__xludf.DUMMYFUNCTION("""COMPUTED_VALUE"""),250.0)</f>
        <v>250</v>
      </c>
    </row>
    <row r="1665" ht="15.75" customHeight="1">
      <c r="A1665" s="2">
        <f>IFERROR(__xludf.DUMMYFUNCTION("""COMPUTED_VALUE"""),45440.0)</f>
        <v>45440</v>
      </c>
      <c r="B1665" s="2" t="str">
        <f>IFERROR(__xludf.DUMMYFUNCTION("""COMPUTED_VALUE"""),"GROUPS ")</f>
        <v>GROUPS </v>
      </c>
      <c r="C1665" s="2">
        <f>IFERROR(__xludf.DUMMYFUNCTION("""COMPUTED_VALUE"""),806.0)</f>
        <v>806</v>
      </c>
    </row>
    <row r="1666" ht="15.75" customHeight="1">
      <c r="A1666" s="2">
        <f>IFERROR(__xludf.DUMMYFUNCTION("""COMPUTED_VALUE"""),45440.0)</f>
        <v>45440</v>
      </c>
      <c r="B1666" s="2" t="str">
        <f>IFERROR(__xludf.DUMMYFUNCTION("""COMPUTED_VALUE"""),"TOTAL")</f>
        <v>TOTAL</v>
      </c>
      <c r="C1666" s="2"/>
    </row>
    <row r="1667" ht="15.75" customHeight="1">
      <c r="A1667" s="2">
        <f>IFERROR(__xludf.DUMMYFUNCTION("""COMPUTED_VALUE"""),45440.0)</f>
        <v>45440</v>
      </c>
      <c r="B1667" s="2" t="str">
        <f>IFERROR(__xludf.DUMMYFUNCTION("""COMPUTED_VALUE"""),"Collective Learning")</f>
        <v>Collective Learning</v>
      </c>
      <c r="C1667" s="2"/>
    </row>
    <row r="1668" ht="15.75" customHeight="1">
      <c r="A1668" s="2">
        <f>IFERROR(__xludf.DUMMYFUNCTION("""COMPUTED_VALUE"""),45440.0)</f>
        <v>45440</v>
      </c>
      <c r="B1668" s="2" t="str">
        <f>IFERROR(__xludf.DUMMYFUNCTION("""COMPUTED_VALUE"""),"NOTES")</f>
        <v>NOTES</v>
      </c>
      <c r="C1668" s="2"/>
    </row>
    <row r="1669" ht="15.75" customHeight="1">
      <c r="A1669" s="2">
        <f>IFERROR(__xludf.DUMMYFUNCTION("""COMPUTED_VALUE"""),45448.0)</f>
        <v>45448</v>
      </c>
      <c r="B1669" s="2" t="str">
        <f>IFERROR(__xludf.DUMMYFUNCTION("""COMPUTED_VALUE"""),"# of Sandwiches")</f>
        <v># of Sandwiches</v>
      </c>
      <c r="C1669" s="2">
        <f>IFERROR(__xludf.DUMMYFUNCTION("""COMPUTED_VALUE"""),6979.0)</f>
        <v>6979</v>
      </c>
    </row>
    <row r="1670" ht="15.75" customHeight="1">
      <c r="A1670" s="2">
        <f>IFERROR(__xludf.DUMMYFUNCTION("""COMPUTED_VALUE"""),45448.0)</f>
        <v>45448</v>
      </c>
      <c r="B1670" s="2" t="str">
        <f>IFERROR(__xludf.DUMMYFUNCTION("""COMPUTED_VALUE"""),"ALPHARETTA")</f>
        <v>ALPHARETTA</v>
      </c>
      <c r="C1670" s="2">
        <f>IFERROR(__xludf.DUMMYFUNCTION("""COMPUTED_VALUE"""),1569.0)</f>
        <v>1569</v>
      </c>
    </row>
    <row r="1671" ht="15.75" customHeight="1">
      <c r="A1671" s="2">
        <f>IFERROR(__xludf.DUMMYFUNCTION("""COMPUTED_VALUE"""),45448.0)</f>
        <v>45448</v>
      </c>
      <c r="B1671" s="2" t="str">
        <f>IFERROR(__xludf.DUMMYFUNCTION("""COMPUTED_VALUE"""),"PREVIOUS BUCKHEAD")</f>
        <v>PREVIOUS BUCKHEAD</v>
      </c>
      <c r="C1671" s="2"/>
    </row>
    <row r="1672" ht="15.75" customHeight="1">
      <c r="A1672" s="2">
        <f>IFERROR(__xludf.DUMMYFUNCTION("""COMPUTED_VALUE"""),45448.0)</f>
        <v>45448</v>
      </c>
      <c r="B1672" s="2" t="str">
        <f>IFERROR(__xludf.DUMMYFUNCTION("""COMPUTED_VALUE"""),"PREVIOUS OAK GROVE")</f>
        <v>PREVIOUS OAK GROVE</v>
      </c>
      <c r="C1672" s="2"/>
    </row>
    <row r="1673" ht="15.75" customHeight="1">
      <c r="A1673" s="2">
        <f>IFERROR(__xludf.DUMMYFUNCTION("""COMPUTED_VALUE"""),45448.0)</f>
        <v>45448</v>
      </c>
      <c r="B1673" s="2" t="str">
        <f>IFERROR(__xludf.DUMMYFUNCTION("""COMPUTED_VALUE"""),"DUNWOODY/PTC ")</f>
        <v>DUNWOODY/PTC </v>
      </c>
      <c r="C1673" s="2">
        <f>IFERROR(__xludf.DUMMYFUNCTION("""COMPUTED_VALUE"""),1552.0)</f>
        <v>1552</v>
      </c>
    </row>
    <row r="1674" ht="15.75" customHeight="1">
      <c r="A1674" s="2">
        <f>IFERROR(__xludf.DUMMYFUNCTION("""COMPUTED_VALUE"""),45448.0)</f>
        <v>45448</v>
      </c>
      <c r="B1674" s="2" t="str">
        <f>IFERROR(__xludf.DUMMYFUNCTION("""COMPUTED_VALUE"""),"E COBB/ROSWELL")</f>
        <v>E COBB/ROSWELL</v>
      </c>
      <c r="C1674" s="2">
        <f>IFERROR(__xludf.DUMMYFUNCTION("""COMPUTED_VALUE"""),1436.0)</f>
        <v>1436</v>
      </c>
    </row>
    <row r="1675" ht="15.75" customHeight="1">
      <c r="A1675" s="2">
        <f>IFERROR(__xludf.DUMMYFUNCTION("""COMPUTED_VALUE"""),45448.0)</f>
        <v>45448</v>
      </c>
      <c r="B1675" s="2" t="str">
        <f>IFERROR(__xludf.DUMMYFUNCTION("""COMPUTED_VALUE"""),"DECATUR")</f>
        <v>DECATUR</v>
      </c>
      <c r="C1675" s="2">
        <f>IFERROR(__xludf.DUMMYFUNCTION("""COMPUTED_VALUE"""),159.0)</f>
        <v>159</v>
      </c>
    </row>
    <row r="1676" ht="15.75" customHeight="1">
      <c r="A1676" s="2">
        <f>IFERROR(__xludf.DUMMYFUNCTION("""COMPUTED_VALUE"""),45448.0)</f>
        <v>45448</v>
      </c>
      <c r="B1676" s="2" t="str">
        <f>IFERROR(__xludf.DUMMYFUNCTION("""COMPUTED_VALUE"""),"P'TREE CORNERS ")</f>
        <v>P'TREE CORNERS </v>
      </c>
      <c r="C1676" s="2"/>
    </row>
    <row r="1677" ht="15.75" customHeight="1">
      <c r="A1677" s="2">
        <f>IFERROR(__xludf.DUMMYFUNCTION("""COMPUTED_VALUE"""),45448.0)</f>
        <v>45448</v>
      </c>
      <c r="B1677" s="2" t="str">
        <f>IFERROR(__xludf.DUMMYFUNCTION("""COMPUTED_VALUE"""),"UGA/Athens")</f>
        <v>UGA/Athens</v>
      </c>
      <c r="C1677" s="2"/>
    </row>
    <row r="1678" ht="15.75" customHeight="1">
      <c r="A1678" s="2">
        <f>IFERROR(__xludf.DUMMYFUNCTION("""COMPUTED_VALUE"""),45448.0)</f>
        <v>45448</v>
      </c>
      <c r="B1678" s="2" t="str">
        <f>IFERROR(__xludf.DUMMYFUNCTION("""COMPUTED_VALUE"""),"SANDY SPRINGS ")</f>
        <v>SANDY SPRINGS </v>
      </c>
      <c r="C1678" s="2">
        <f>IFERROR(__xludf.DUMMYFUNCTION("""COMPUTED_VALUE"""),721.0)</f>
        <v>721</v>
      </c>
    </row>
    <row r="1679" ht="15.75" customHeight="1">
      <c r="A1679" s="2">
        <f>IFERROR(__xludf.DUMMYFUNCTION("""COMPUTED_VALUE"""),45448.0)</f>
        <v>45448</v>
      </c>
      <c r="B1679" s="2" t="str">
        <f>IFERROR(__xludf.DUMMYFUNCTION("""COMPUTED_VALUE"""),"INTOWN/DRUID HILLS ")</f>
        <v>INTOWN/DRUID HILLS </v>
      </c>
      <c r="C1679" s="2">
        <f>IFERROR(__xludf.DUMMYFUNCTION("""COMPUTED_VALUE"""),707.0)</f>
        <v>707</v>
      </c>
    </row>
    <row r="1680" ht="15.75" customHeight="1">
      <c r="A1680" s="2">
        <f>IFERROR(__xludf.DUMMYFUNCTION("""COMPUTED_VALUE"""),45448.0)</f>
        <v>45448</v>
      </c>
      <c r="B1680" s="2" t="str">
        <f>IFERROR(__xludf.DUMMYFUNCTION("""COMPUTED_VALUE"""),"SNELLVILLE")</f>
        <v>SNELLVILLE</v>
      </c>
      <c r="C1680" s="2">
        <f>IFERROR(__xludf.DUMMYFUNCTION("""COMPUTED_VALUE"""),0.0)</f>
        <v>0</v>
      </c>
    </row>
    <row r="1681" ht="15.75" customHeight="1">
      <c r="A1681" s="2">
        <f>IFERROR(__xludf.DUMMYFUNCTION("""COMPUTED_VALUE"""),45448.0)</f>
        <v>45448</v>
      </c>
      <c r="B1681" s="2" t="str">
        <f>IFERROR(__xludf.DUMMYFUNCTION("""COMPUTED_VALUE"""),"GROUPS")</f>
        <v>GROUPS</v>
      </c>
      <c r="C1681" s="2"/>
    </row>
    <row r="1682" ht="15.75" customHeight="1">
      <c r="A1682" s="2">
        <f>IFERROR(__xludf.DUMMYFUNCTION("""COMPUTED_VALUE"""),45448.0)</f>
        <v>45448</v>
      </c>
      <c r="B1682" s="2" t="str">
        <f>IFERROR(__xludf.DUMMYFUNCTION("""COMPUTED_VALUE"""),"Previous Woodstock")</f>
        <v>Previous Woodstock</v>
      </c>
      <c r="C1682" s="2"/>
    </row>
    <row r="1683" ht="15.75" customHeight="1">
      <c r="A1683" s="2">
        <f>IFERROR(__xludf.DUMMYFUNCTION("""COMPUTED_VALUE"""),45448.0)</f>
        <v>45448</v>
      </c>
      <c r="B1683" s="2" t="str">
        <f>IFERROR(__xludf.DUMMYFUNCTION("""COMPUTED_VALUE"""),"Previous Lenox/Brookhaven")</f>
        <v>Previous Lenox/Brookhaven</v>
      </c>
      <c r="C1683" s="2"/>
    </row>
    <row r="1684" ht="15.75" customHeight="1">
      <c r="A1684" s="2">
        <f>IFERROR(__xludf.DUMMYFUNCTION("""COMPUTED_VALUE"""),45448.0)</f>
        <v>45448</v>
      </c>
      <c r="B1684" s="2" t="str">
        <f>IFERROR(__xludf.DUMMYFUNCTION("""COMPUTED_VALUE"""),"Previous New Chastain")</f>
        <v>Previous New Chastain</v>
      </c>
      <c r="C1684" s="2"/>
    </row>
    <row r="1685" ht="15.75" customHeight="1">
      <c r="A1685" s="2">
        <f>IFERROR(__xludf.DUMMYFUNCTION("""COMPUTED_VALUE"""),45448.0)</f>
        <v>45448</v>
      </c>
      <c r="B1685" s="2" t="str">
        <f>IFERROR(__xludf.DUMMYFUNCTION("""COMPUTED_VALUE"""),"Previous Glenwood Park")</f>
        <v>Previous Glenwood Park</v>
      </c>
      <c r="C1685" s="2"/>
    </row>
    <row r="1686" ht="15.75" customHeight="1">
      <c r="A1686" s="2">
        <f>IFERROR(__xludf.DUMMYFUNCTION("""COMPUTED_VALUE"""),45448.0)</f>
        <v>45448</v>
      </c>
      <c r="B1686" s="2" t="str">
        <f>IFERROR(__xludf.DUMMYFUNCTION("""COMPUTED_VALUE"""),"FLOWERY BRANCH")</f>
        <v>FLOWERY BRANCH</v>
      </c>
      <c r="C1686" s="2">
        <f>IFERROR(__xludf.DUMMYFUNCTION("""COMPUTED_VALUE"""),735.0)</f>
        <v>735</v>
      </c>
    </row>
    <row r="1687" ht="15.75" customHeight="1">
      <c r="A1687" s="2">
        <f>IFERROR(__xludf.DUMMYFUNCTION("""COMPUTED_VALUE"""),45448.0)</f>
        <v>45448</v>
      </c>
      <c r="B1687" s="2" t="str">
        <f>IFERROR(__xludf.DUMMYFUNCTION("""COMPUTED_VALUE"""),"GROUPS ")</f>
        <v>GROUPS </v>
      </c>
      <c r="C1687" s="2">
        <f>IFERROR(__xludf.DUMMYFUNCTION("""COMPUTED_VALUE"""),100.0)</f>
        <v>100</v>
      </c>
    </row>
    <row r="1688" ht="15.75" customHeight="1">
      <c r="A1688" s="2">
        <f>IFERROR(__xludf.DUMMYFUNCTION("""COMPUTED_VALUE"""),45448.0)</f>
        <v>45448</v>
      </c>
      <c r="B1688" s="2" t="str">
        <f>IFERROR(__xludf.DUMMYFUNCTION("""COMPUTED_VALUE"""),"TOTAL")</f>
        <v>TOTAL</v>
      </c>
      <c r="C1688" s="2"/>
    </row>
    <row r="1689" ht="15.75" customHeight="1">
      <c r="A1689" s="2">
        <f>IFERROR(__xludf.DUMMYFUNCTION("""COMPUTED_VALUE"""),45448.0)</f>
        <v>45448</v>
      </c>
      <c r="B1689" s="2" t="str">
        <f>IFERROR(__xludf.DUMMYFUNCTION("""COMPUTED_VALUE"""),"Collective Learning")</f>
        <v>Collective Learning</v>
      </c>
      <c r="C1689" s="2"/>
    </row>
    <row r="1690" ht="15.75" customHeight="1">
      <c r="A1690" s="2">
        <f>IFERROR(__xludf.DUMMYFUNCTION("""COMPUTED_VALUE"""),45448.0)</f>
        <v>45448</v>
      </c>
      <c r="B1690" s="2" t="str">
        <f>IFERROR(__xludf.DUMMYFUNCTION("""COMPUTED_VALUE"""),"NOTES")</f>
        <v>NOTES</v>
      </c>
      <c r="C1690" s="2"/>
    </row>
    <row r="1691" ht="15.75" customHeight="1">
      <c r="A1691" s="2">
        <f>IFERROR(__xludf.DUMMYFUNCTION("""COMPUTED_VALUE"""),45455.0)</f>
        <v>45455</v>
      </c>
      <c r="B1691" s="2" t="str">
        <f>IFERROR(__xludf.DUMMYFUNCTION("""COMPUTED_VALUE"""),"# of Sandwiches")</f>
        <v># of Sandwiches</v>
      </c>
      <c r="C1691" s="2">
        <f>IFERROR(__xludf.DUMMYFUNCTION("""COMPUTED_VALUE"""),10580.0)</f>
        <v>10580</v>
      </c>
    </row>
    <row r="1692" ht="15.75" customHeight="1">
      <c r="A1692" s="2">
        <f>IFERROR(__xludf.DUMMYFUNCTION("""COMPUTED_VALUE"""),45455.0)</f>
        <v>45455</v>
      </c>
      <c r="B1692" s="2" t="str">
        <f>IFERROR(__xludf.DUMMYFUNCTION("""COMPUTED_VALUE"""),"ALPHARETTA")</f>
        <v>ALPHARETTA</v>
      </c>
      <c r="C1692" s="2">
        <f>IFERROR(__xludf.DUMMYFUNCTION("""COMPUTED_VALUE"""),2135.0)</f>
        <v>2135</v>
      </c>
    </row>
    <row r="1693" ht="15.75" customHeight="1">
      <c r="A1693" s="2">
        <f>IFERROR(__xludf.DUMMYFUNCTION("""COMPUTED_VALUE"""),45455.0)</f>
        <v>45455</v>
      </c>
      <c r="B1693" s="2" t="str">
        <f>IFERROR(__xludf.DUMMYFUNCTION("""COMPUTED_VALUE"""),"PREVIOUS BUCKHEAD")</f>
        <v>PREVIOUS BUCKHEAD</v>
      </c>
      <c r="C1693" s="2"/>
    </row>
    <row r="1694" ht="15.75" customHeight="1">
      <c r="A1694" s="2">
        <f>IFERROR(__xludf.DUMMYFUNCTION("""COMPUTED_VALUE"""),45455.0)</f>
        <v>45455</v>
      </c>
      <c r="B1694" s="2" t="str">
        <f>IFERROR(__xludf.DUMMYFUNCTION("""COMPUTED_VALUE"""),"PREVIOUS OAK GROVE")</f>
        <v>PREVIOUS OAK GROVE</v>
      </c>
      <c r="C1694" s="2"/>
    </row>
    <row r="1695" ht="15.75" customHeight="1">
      <c r="A1695" s="2">
        <f>IFERROR(__xludf.DUMMYFUNCTION("""COMPUTED_VALUE"""),45455.0)</f>
        <v>45455</v>
      </c>
      <c r="B1695" s="2" t="str">
        <f>IFERROR(__xludf.DUMMYFUNCTION("""COMPUTED_VALUE"""),"DUNWOODY/PTC ")</f>
        <v>DUNWOODY/PTC </v>
      </c>
      <c r="C1695" s="2">
        <f>IFERROR(__xludf.DUMMYFUNCTION("""COMPUTED_VALUE"""),2400.0)</f>
        <v>2400</v>
      </c>
    </row>
    <row r="1696" ht="15.75" customHeight="1">
      <c r="A1696" s="2">
        <f>IFERROR(__xludf.DUMMYFUNCTION("""COMPUTED_VALUE"""),45455.0)</f>
        <v>45455</v>
      </c>
      <c r="B1696" s="2" t="str">
        <f>IFERROR(__xludf.DUMMYFUNCTION("""COMPUTED_VALUE"""),"E COBB/ROSWELL")</f>
        <v>E COBB/ROSWELL</v>
      </c>
      <c r="C1696" s="2">
        <f>IFERROR(__xludf.DUMMYFUNCTION("""COMPUTED_VALUE"""),2323.0)</f>
        <v>2323</v>
      </c>
    </row>
    <row r="1697" ht="15.75" customHeight="1">
      <c r="A1697" s="2">
        <f>IFERROR(__xludf.DUMMYFUNCTION("""COMPUTED_VALUE"""),45455.0)</f>
        <v>45455</v>
      </c>
      <c r="B1697" s="2" t="str">
        <f>IFERROR(__xludf.DUMMYFUNCTION("""COMPUTED_VALUE"""),"DECATUR")</f>
        <v>DECATUR</v>
      </c>
      <c r="C1697" s="2">
        <f>IFERROR(__xludf.DUMMYFUNCTION("""COMPUTED_VALUE"""),72.0)</f>
        <v>72</v>
      </c>
    </row>
    <row r="1698" ht="15.75" customHeight="1">
      <c r="A1698" s="2">
        <f>IFERROR(__xludf.DUMMYFUNCTION("""COMPUTED_VALUE"""),45455.0)</f>
        <v>45455</v>
      </c>
      <c r="B1698" s="2" t="str">
        <f>IFERROR(__xludf.DUMMYFUNCTION("""COMPUTED_VALUE"""),"P'TREE CORNERS ")</f>
        <v>P'TREE CORNERS </v>
      </c>
      <c r="C1698" s="2"/>
    </row>
    <row r="1699" ht="15.75" customHeight="1">
      <c r="A1699" s="2">
        <f>IFERROR(__xludf.DUMMYFUNCTION("""COMPUTED_VALUE"""),45455.0)</f>
        <v>45455</v>
      </c>
      <c r="B1699" s="2" t="str">
        <f>IFERROR(__xludf.DUMMYFUNCTION("""COMPUTED_VALUE"""),"UGA/Athens")</f>
        <v>UGA/Athens</v>
      </c>
      <c r="C1699" s="2"/>
    </row>
    <row r="1700" ht="15.75" customHeight="1">
      <c r="A1700" s="2">
        <f>IFERROR(__xludf.DUMMYFUNCTION("""COMPUTED_VALUE"""),45455.0)</f>
        <v>45455</v>
      </c>
      <c r="B1700" s="2" t="str">
        <f>IFERROR(__xludf.DUMMYFUNCTION("""COMPUTED_VALUE"""),"SANDY SPRINGS ")</f>
        <v>SANDY SPRINGS </v>
      </c>
      <c r="C1700" s="2">
        <f>IFERROR(__xludf.DUMMYFUNCTION("""COMPUTED_VALUE"""),690.0)</f>
        <v>690</v>
      </c>
    </row>
    <row r="1701" ht="15.75" customHeight="1">
      <c r="A1701" s="2">
        <f>IFERROR(__xludf.DUMMYFUNCTION("""COMPUTED_VALUE"""),45455.0)</f>
        <v>45455</v>
      </c>
      <c r="B1701" s="2" t="str">
        <f>IFERROR(__xludf.DUMMYFUNCTION("""COMPUTED_VALUE"""),"INTOWN/DRUID HILLS ")</f>
        <v>INTOWN/DRUID HILLS </v>
      </c>
      <c r="C1701" s="2">
        <f>IFERROR(__xludf.DUMMYFUNCTION("""COMPUTED_VALUE"""),751.0)</f>
        <v>751</v>
      </c>
    </row>
    <row r="1702" ht="15.75" customHeight="1">
      <c r="A1702" s="2">
        <f>IFERROR(__xludf.DUMMYFUNCTION("""COMPUTED_VALUE"""),45455.0)</f>
        <v>45455</v>
      </c>
      <c r="B1702" s="2" t="str">
        <f>IFERROR(__xludf.DUMMYFUNCTION("""COMPUTED_VALUE"""),"SNELLVILLE")</f>
        <v>SNELLVILLE</v>
      </c>
      <c r="C1702" s="2">
        <f>IFERROR(__xludf.DUMMYFUNCTION("""COMPUTED_VALUE"""),0.0)</f>
        <v>0</v>
      </c>
    </row>
    <row r="1703" ht="15.75" customHeight="1">
      <c r="A1703" s="2">
        <f>IFERROR(__xludf.DUMMYFUNCTION("""COMPUTED_VALUE"""),45455.0)</f>
        <v>45455</v>
      </c>
      <c r="B1703" s="2" t="str">
        <f>IFERROR(__xludf.DUMMYFUNCTION("""COMPUTED_VALUE"""),"GROUPS")</f>
        <v>GROUPS</v>
      </c>
      <c r="C1703" s="2"/>
    </row>
    <row r="1704" ht="15.75" customHeight="1">
      <c r="A1704" s="2">
        <f>IFERROR(__xludf.DUMMYFUNCTION("""COMPUTED_VALUE"""),45455.0)</f>
        <v>45455</v>
      </c>
      <c r="B1704" s="2" t="str">
        <f>IFERROR(__xludf.DUMMYFUNCTION("""COMPUTED_VALUE"""),"Previous Woodstock")</f>
        <v>Previous Woodstock</v>
      </c>
      <c r="C1704" s="2"/>
    </row>
    <row r="1705" ht="15.75" customHeight="1">
      <c r="A1705" s="2">
        <f>IFERROR(__xludf.DUMMYFUNCTION("""COMPUTED_VALUE"""),45455.0)</f>
        <v>45455</v>
      </c>
      <c r="B1705" s="2" t="str">
        <f>IFERROR(__xludf.DUMMYFUNCTION("""COMPUTED_VALUE"""),"Previous Lenox/Brookhaven")</f>
        <v>Previous Lenox/Brookhaven</v>
      </c>
      <c r="C1705" s="2"/>
    </row>
    <row r="1706" ht="15.75" customHeight="1">
      <c r="A1706" s="2">
        <f>IFERROR(__xludf.DUMMYFUNCTION("""COMPUTED_VALUE"""),45455.0)</f>
        <v>45455</v>
      </c>
      <c r="B1706" s="2" t="str">
        <f>IFERROR(__xludf.DUMMYFUNCTION("""COMPUTED_VALUE"""),"Previous New Chastain")</f>
        <v>Previous New Chastain</v>
      </c>
      <c r="C1706" s="2"/>
    </row>
    <row r="1707" ht="15.75" customHeight="1">
      <c r="A1707" s="2">
        <f>IFERROR(__xludf.DUMMYFUNCTION("""COMPUTED_VALUE"""),45455.0)</f>
        <v>45455</v>
      </c>
      <c r="B1707" s="2" t="str">
        <f>IFERROR(__xludf.DUMMYFUNCTION("""COMPUTED_VALUE"""),"Previous Glenwood Park")</f>
        <v>Previous Glenwood Park</v>
      </c>
      <c r="C1707" s="2"/>
    </row>
    <row r="1708" ht="15.75" customHeight="1">
      <c r="A1708" s="2">
        <f>IFERROR(__xludf.DUMMYFUNCTION("""COMPUTED_VALUE"""),45455.0)</f>
        <v>45455</v>
      </c>
      <c r="B1708" s="2" t="str">
        <f>IFERROR(__xludf.DUMMYFUNCTION("""COMPUTED_VALUE"""),"FLOWERY BRANCH")</f>
        <v>FLOWERY BRANCH</v>
      </c>
      <c r="C1708" s="2">
        <f>IFERROR(__xludf.DUMMYFUNCTION("""COMPUTED_VALUE"""),125.0)</f>
        <v>125</v>
      </c>
    </row>
    <row r="1709" ht="15.75" customHeight="1">
      <c r="A1709" s="2">
        <f>IFERROR(__xludf.DUMMYFUNCTION("""COMPUTED_VALUE"""),45455.0)</f>
        <v>45455</v>
      </c>
      <c r="B1709" s="2" t="str">
        <f>IFERROR(__xludf.DUMMYFUNCTION("""COMPUTED_VALUE"""),"GROUPS ")</f>
        <v>GROUPS </v>
      </c>
      <c r="C1709" s="2">
        <f>IFERROR(__xludf.DUMMYFUNCTION("""COMPUTED_VALUE"""),2084.0)</f>
        <v>2084</v>
      </c>
    </row>
    <row r="1710" ht="15.75" customHeight="1">
      <c r="A1710" s="2">
        <f>IFERROR(__xludf.DUMMYFUNCTION("""COMPUTED_VALUE"""),45455.0)</f>
        <v>45455</v>
      </c>
      <c r="B1710" s="2" t="str">
        <f>IFERROR(__xludf.DUMMYFUNCTION("""COMPUTED_VALUE"""),"TOTAL")</f>
        <v>TOTAL</v>
      </c>
      <c r="C1710" s="2"/>
    </row>
    <row r="1711" ht="15.75" customHeight="1">
      <c r="A1711" s="2">
        <f>IFERROR(__xludf.DUMMYFUNCTION("""COMPUTED_VALUE"""),45455.0)</f>
        <v>45455</v>
      </c>
      <c r="B1711" s="2" t="str">
        <f>IFERROR(__xludf.DUMMYFUNCTION("""COMPUTED_VALUE"""),"Collective Learning")</f>
        <v>Collective Learning</v>
      </c>
      <c r="C1711" s="2"/>
    </row>
    <row r="1712" ht="15.75" customHeight="1">
      <c r="A1712" s="2">
        <f>IFERROR(__xludf.DUMMYFUNCTION("""COMPUTED_VALUE"""),45455.0)</f>
        <v>45455</v>
      </c>
      <c r="B1712" s="2" t="str">
        <f>IFERROR(__xludf.DUMMYFUNCTION("""COMPUTED_VALUE"""),"NOTES")</f>
        <v>NOTES</v>
      </c>
      <c r="C1712" s="2"/>
    </row>
    <row r="1713" ht="15.75" customHeight="1">
      <c r="A1713" s="2">
        <f>IFERROR(__xludf.DUMMYFUNCTION("""COMPUTED_VALUE"""),45462.0)</f>
        <v>45462</v>
      </c>
      <c r="B1713" s="2" t="str">
        <f>IFERROR(__xludf.DUMMYFUNCTION("""COMPUTED_VALUE"""),"# of Sandwiches")</f>
        <v># of Sandwiches</v>
      </c>
      <c r="C1713" s="2">
        <f>IFERROR(__xludf.DUMMYFUNCTION("""COMPUTED_VALUE"""),8527.0)</f>
        <v>8527</v>
      </c>
    </row>
    <row r="1714" ht="15.75" customHeight="1">
      <c r="A1714" s="2">
        <f>IFERROR(__xludf.DUMMYFUNCTION("""COMPUTED_VALUE"""),45462.0)</f>
        <v>45462</v>
      </c>
      <c r="B1714" s="2" t="str">
        <f>IFERROR(__xludf.DUMMYFUNCTION("""COMPUTED_VALUE"""),"ALPHARETTA")</f>
        <v>ALPHARETTA</v>
      </c>
      <c r="C1714" s="2">
        <f>IFERROR(__xludf.DUMMYFUNCTION("""COMPUTED_VALUE"""),1218.0)</f>
        <v>1218</v>
      </c>
    </row>
    <row r="1715" ht="15.75" customHeight="1">
      <c r="A1715" s="2">
        <f>IFERROR(__xludf.DUMMYFUNCTION("""COMPUTED_VALUE"""),45462.0)</f>
        <v>45462</v>
      </c>
      <c r="B1715" s="2" t="str">
        <f>IFERROR(__xludf.DUMMYFUNCTION("""COMPUTED_VALUE"""),"PREVIOUS BUCKHEAD")</f>
        <v>PREVIOUS BUCKHEAD</v>
      </c>
      <c r="C1715" s="2"/>
    </row>
    <row r="1716" ht="15.75" customHeight="1">
      <c r="A1716" s="2">
        <f>IFERROR(__xludf.DUMMYFUNCTION("""COMPUTED_VALUE"""),45462.0)</f>
        <v>45462</v>
      </c>
      <c r="B1716" s="2" t="str">
        <f>IFERROR(__xludf.DUMMYFUNCTION("""COMPUTED_VALUE"""),"PREVIOUS OAK GROVE")</f>
        <v>PREVIOUS OAK GROVE</v>
      </c>
      <c r="C1716" s="2"/>
    </row>
    <row r="1717" ht="15.75" customHeight="1">
      <c r="A1717" s="2">
        <f>IFERROR(__xludf.DUMMYFUNCTION("""COMPUTED_VALUE"""),45462.0)</f>
        <v>45462</v>
      </c>
      <c r="B1717" s="2" t="str">
        <f>IFERROR(__xludf.DUMMYFUNCTION("""COMPUTED_VALUE"""),"DUNWOODY/PTC ")</f>
        <v>DUNWOODY/PTC </v>
      </c>
      <c r="C1717" s="2">
        <f>IFERROR(__xludf.DUMMYFUNCTION("""COMPUTED_VALUE"""),1980.0)</f>
        <v>1980</v>
      </c>
    </row>
    <row r="1718" ht="15.75" customHeight="1">
      <c r="A1718" s="2">
        <f>IFERROR(__xludf.DUMMYFUNCTION("""COMPUTED_VALUE"""),45462.0)</f>
        <v>45462</v>
      </c>
      <c r="B1718" s="2" t="str">
        <f>IFERROR(__xludf.DUMMYFUNCTION("""COMPUTED_VALUE"""),"E COBB/ROSWELL")</f>
        <v>E COBB/ROSWELL</v>
      </c>
      <c r="C1718" s="2">
        <f>IFERROR(__xludf.DUMMYFUNCTION("""COMPUTED_VALUE"""),1695.0)</f>
        <v>1695</v>
      </c>
    </row>
    <row r="1719" ht="15.75" customHeight="1">
      <c r="A1719" s="2">
        <f>IFERROR(__xludf.DUMMYFUNCTION("""COMPUTED_VALUE"""),45462.0)</f>
        <v>45462</v>
      </c>
      <c r="B1719" s="2" t="str">
        <f>IFERROR(__xludf.DUMMYFUNCTION("""COMPUTED_VALUE"""),"DECATUR")</f>
        <v>DECATUR</v>
      </c>
      <c r="C1719" s="2">
        <f>IFERROR(__xludf.DUMMYFUNCTION("""COMPUTED_VALUE"""),74.0)</f>
        <v>74</v>
      </c>
    </row>
    <row r="1720" ht="15.75" customHeight="1">
      <c r="A1720" s="2">
        <f>IFERROR(__xludf.DUMMYFUNCTION("""COMPUTED_VALUE"""),45462.0)</f>
        <v>45462</v>
      </c>
      <c r="B1720" s="2" t="str">
        <f>IFERROR(__xludf.DUMMYFUNCTION("""COMPUTED_VALUE"""),"P'TREE CORNERS ")</f>
        <v>P'TREE CORNERS </v>
      </c>
      <c r="C1720" s="2"/>
    </row>
    <row r="1721" ht="15.75" customHeight="1">
      <c r="A1721" s="2">
        <f>IFERROR(__xludf.DUMMYFUNCTION("""COMPUTED_VALUE"""),45462.0)</f>
        <v>45462</v>
      </c>
      <c r="B1721" s="2" t="str">
        <f>IFERROR(__xludf.DUMMYFUNCTION("""COMPUTED_VALUE"""),"UGA/Athens")</f>
        <v>UGA/Athens</v>
      </c>
      <c r="C1721" s="2"/>
    </row>
    <row r="1722" ht="15.75" customHeight="1">
      <c r="A1722" s="2">
        <f>IFERROR(__xludf.DUMMYFUNCTION("""COMPUTED_VALUE"""),45462.0)</f>
        <v>45462</v>
      </c>
      <c r="B1722" s="2" t="str">
        <f>IFERROR(__xludf.DUMMYFUNCTION("""COMPUTED_VALUE"""),"SANDY SPRINGS ")</f>
        <v>SANDY SPRINGS </v>
      </c>
      <c r="C1722" s="2">
        <f>IFERROR(__xludf.DUMMYFUNCTION("""COMPUTED_VALUE"""),1088.0)</f>
        <v>1088</v>
      </c>
    </row>
    <row r="1723" ht="15.75" customHeight="1">
      <c r="A1723" s="2">
        <f>IFERROR(__xludf.DUMMYFUNCTION("""COMPUTED_VALUE"""),45462.0)</f>
        <v>45462</v>
      </c>
      <c r="B1723" s="2" t="str">
        <f>IFERROR(__xludf.DUMMYFUNCTION("""COMPUTED_VALUE"""),"INTOWN/DRUID HILLS ")</f>
        <v>INTOWN/DRUID HILLS </v>
      </c>
      <c r="C1723" s="2">
        <f>IFERROR(__xludf.DUMMYFUNCTION("""COMPUTED_VALUE"""),586.0)</f>
        <v>586</v>
      </c>
    </row>
    <row r="1724" ht="15.75" customHeight="1">
      <c r="A1724" s="2">
        <f>IFERROR(__xludf.DUMMYFUNCTION("""COMPUTED_VALUE"""),45462.0)</f>
        <v>45462</v>
      </c>
      <c r="B1724" s="2" t="str">
        <f>IFERROR(__xludf.DUMMYFUNCTION("""COMPUTED_VALUE"""),"SNELLVILLE")</f>
        <v>SNELLVILLE</v>
      </c>
      <c r="C1724" s="2">
        <f>IFERROR(__xludf.DUMMYFUNCTION("""COMPUTED_VALUE"""),0.0)</f>
        <v>0</v>
      </c>
    </row>
    <row r="1725" ht="15.75" customHeight="1">
      <c r="A1725" s="2">
        <f>IFERROR(__xludf.DUMMYFUNCTION("""COMPUTED_VALUE"""),45462.0)</f>
        <v>45462</v>
      </c>
      <c r="B1725" s="2" t="str">
        <f>IFERROR(__xludf.DUMMYFUNCTION("""COMPUTED_VALUE"""),"GROUPS")</f>
        <v>GROUPS</v>
      </c>
      <c r="C1725" s="2"/>
    </row>
    <row r="1726" ht="15.75" customHeight="1">
      <c r="A1726" s="2">
        <f>IFERROR(__xludf.DUMMYFUNCTION("""COMPUTED_VALUE"""),45462.0)</f>
        <v>45462</v>
      </c>
      <c r="B1726" s="2" t="str">
        <f>IFERROR(__xludf.DUMMYFUNCTION("""COMPUTED_VALUE"""),"Previous Woodstock")</f>
        <v>Previous Woodstock</v>
      </c>
      <c r="C1726" s="2"/>
    </row>
    <row r="1727" ht="15.75" customHeight="1">
      <c r="A1727" s="2">
        <f>IFERROR(__xludf.DUMMYFUNCTION("""COMPUTED_VALUE"""),45462.0)</f>
        <v>45462</v>
      </c>
      <c r="B1727" s="2" t="str">
        <f>IFERROR(__xludf.DUMMYFUNCTION("""COMPUTED_VALUE"""),"Previous Lenox/Brookhaven")</f>
        <v>Previous Lenox/Brookhaven</v>
      </c>
      <c r="C1727" s="2"/>
    </row>
    <row r="1728" ht="15.75" customHeight="1">
      <c r="A1728" s="2">
        <f>IFERROR(__xludf.DUMMYFUNCTION("""COMPUTED_VALUE"""),45462.0)</f>
        <v>45462</v>
      </c>
      <c r="B1728" s="2" t="str">
        <f>IFERROR(__xludf.DUMMYFUNCTION("""COMPUTED_VALUE"""),"Previous New Chastain")</f>
        <v>Previous New Chastain</v>
      </c>
      <c r="C1728" s="2"/>
    </row>
    <row r="1729" ht="15.75" customHeight="1">
      <c r="A1729" s="2">
        <f>IFERROR(__xludf.DUMMYFUNCTION("""COMPUTED_VALUE"""),45462.0)</f>
        <v>45462</v>
      </c>
      <c r="B1729" s="2" t="str">
        <f>IFERROR(__xludf.DUMMYFUNCTION("""COMPUTED_VALUE"""),"Previous Glenwood Park")</f>
        <v>Previous Glenwood Park</v>
      </c>
      <c r="C1729" s="2"/>
    </row>
    <row r="1730" ht="15.75" customHeight="1">
      <c r="A1730" s="2">
        <f>IFERROR(__xludf.DUMMYFUNCTION("""COMPUTED_VALUE"""),45462.0)</f>
        <v>45462</v>
      </c>
      <c r="B1730" s="2" t="str">
        <f>IFERROR(__xludf.DUMMYFUNCTION("""COMPUTED_VALUE"""),"FLOWERY BRANCH")</f>
        <v>FLOWERY BRANCH</v>
      </c>
      <c r="C1730" s="2">
        <f>IFERROR(__xludf.DUMMYFUNCTION("""COMPUTED_VALUE"""),454.0)</f>
        <v>454</v>
      </c>
    </row>
    <row r="1731" ht="15.75" customHeight="1">
      <c r="A1731" s="2">
        <f>IFERROR(__xludf.DUMMYFUNCTION("""COMPUTED_VALUE"""),45462.0)</f>
        <v>45462</v>
      </c>
      <c r="B1731" s="2" t="str">
        <f>IFERROR(__xludf.DUMMYFUNCTION("""COMPUTED_VALUE"""),"GROUPS ")</f>
        <v>GROUPS </v>
      </c>
      <c r="C1731" s="2">
        <f>IFERROR(__xludf.DUMMYFUNCTION("""COMPUTED_VALUE"""),1432.0)</f>
        <v>1432</v>
      </c>
    </row>
    <row r="1732" ht="15.75" customHeight="1">
      <c r="A1732" s="2">
        <f>IFERROR(__xludf.DUMMYFUNCTION("""COMPUTED_VALUE"""),45462.0)</f>
        <v>45462</v>
      </c>
      <c r="B1732" s="2" t="str">
        <f>IFERROR(__xludf.DUMMYFUNCTION("""COMPUTED_VALUE"""),"TOTAL")</f>
        <v>TOTAL</v>
      </c>
      <c r="C1732" s="2"/>
    </row>
    <row r="1733" ht="15.75" customHeight="1">
      <c r="A1733" s="2">
        <f>IFERROR(__xludf.DUMMYFUNCTION("""COMPUTED_VALUE"""),45462.0)</f>
        <v>45462</v>
      </c>
      <c r="B1733" s="2" t="str">
        <f>IFERROR(__xludf.DUMMYFUNCTION("""COMPUTED_VALUE"""),"Collective Learning")</f>
        <v>Collective Learning</v>
      </c>
      <c r="C1733" s="2"/>
    </row>
    <row r="1734" ht="15.75" customHeight="1">
      <c r="A1734" s="2">
        <f>IFERROR(__xludf.DUMMYFUNCTION("""COMPUTED_VALUE"""),45462.0)</f>
        <v>45462</v>
      </c>
      <c r="B1734" s="2" t="str">
        <f>IFERROR(__xludf.DUMMYFUNCTION("""COMPUTED_VALUE"""),"NOTES")</f>
        <v>NOTES</v>
      </c>
      <c r="C1734" s="2"/>
    </row>
    <row r="1735" ht="15.75" customHeight="1">
      <c r="A1735" s="2">
        <f>IFERROR(__xludf.DUMMYFUNCTION("""COMPUTED_VALUE"""),45469.0)</f>
        <v>45469</v>
      </c>
      <c r="B1735" s="2" t="str">
        <f>IFERROR(__xludf.DUMMYFUNCTION("""COMPUTED_VALUE"""),"# of Sandwiches")</f>
        <v># of Sandwiches</v>
      </c>
      <c r="C1735" s="2">
        <f>IFERROR(__xludf.DUMMYFUNCTION("""COMPUTED_VALUE"""),8987.0)</f>
        <v>8987</v>
      </c>
    </row>
    <row r="1736" ht="15.75" customHeight="1">
      <c r="A1736" s="2">
        <f>IFERROR(__xludf.DUMMYFUNCTION("""COMPUTED_VALUE"""),45469.0)</f>
        <v>45469</v>
      </c>
      <c r="B1736" s="2" t="str">
        <f>IFERROR(__xludf.DUMMYFUNCTION("""COMPUTED_VALUE"""),"ALPHARETTA")</f>
        <v>ALPHARETTA</v>
      </c>
      <c r="C1736" s="2">
        <f>IFERROR(__xludf.DUMMYFUNCTION("""COMPUTED_VALUE"""),1198.0)</f>
        <v>1198</v>
      </c>
    </row>
    <row r="1737" ht="15.75" customHeight="1">
      <c r="A1737" s="2">
        <f>IFERROR(__xludf.DUMMYFUNCTION("""COMPUTED_VALUE"""),45469.0)</f>
        <v>45469</v>
      </c>
      <c r="B1737" s="2" t="str">
        <f>IFERROR(__xludf.DUMMYFUNCTION("""COMPUTED_VALUE"""),"PREVIOUS BUCKHEAD")</f>
        <v>PREVIOUS BUCKHEAD</v>
      </c>
      <c r="C1737" s="2"/>
    </row>
    <row r="1738" ht="15.75" customHeight="1">
      <c r="A1738" s="2">
        <f>IFERROR(__xludf.DUMMYFUNCTION("""COMPUTED_VALUE"""),45469.0)</f>
        <v>45469</v>
      </c>
      <c r="B1738" s="2" t="str">
        <f>IFERROR(__xludf.DUMMYFUNCTION("""COMPUTED_VALUE"""),"PREVIOUS OAK GROVE")</f>
        <v>PREVIOUS OAK GROVE</v>
      </c>
      <c r="C1738" s="2"/>
    </row>
    <row r="1739" ht="15.75" customHeight="1">
      <c r="A1739" s="2">
        <f>IFERROR(__xludf.DUMMYFUNCTION("""COMPUTED_VALUE"""),45469.0)</f>
        <v>45469</v>
      </c>
      <c r="B1739" s="2" t="str">
        <f>IFERROR(__xludf.DUMMYFUNCTION("""COMPUTED_VALUE"""),"DUNWOODY/PTC ")</f>
        <v>DUNWOODY/PTC </v>
      </c>
      <c r="C1739" s="2">
        <f>IFERROR(__xludf.DUMMYFUNCTION("""COMPUTED_VALUE"""),1272.0)</f>
        <v>1272</v>
      </c>
    </row>
    <row r="1740" ht="15.75" customHeight="1">
      <c r="A1740" s="2">
        <f>IFERROR(__xludf.DUMMYFUNCTION("""COMPUTED_VALUE"""),45469.0)</f>
        <v>45469</v>
      </c>
      <c r="B1740" s="2" t="str">
        <f>IFERROR(__xludf.DUMMYFUNCTION("""COMPUTED_VALUE"""),"E COBB/ROSWELL")</f>
        <v>E COBB/ROSWELL</v>
      </c>
      <c r="C1740" s="2">
        <f>IFERROR(__xludf.DUMMYFUNCTION("""COMPUTED_VALUE"""),1715.0)</f>
        <v>1715</v>
      </c>
    </row>
    <row r="1741" ht="15.75" customHeight="1">
      <c r="A1741" s="2">
        <f>IFERROR(__xludf.DUMMYFUNCTION("""COMPUTED_VALUE"""),45469.0)</f>
        <v>45469</v>
      </c>
      <c r="B1741" s="2" t="str">
        <f>IFERROR(__xludf.DUMMYFUNCTION("""COMPUTED_VALUE"""),"DECATUR")</f>
        <v>DECATUR</v>
      </c>
      <c r="C1741" s="2">
        <f>IFERROR(__xludf.DUMMYFUNCTION("""COMPUTED_VALUE"""),0.0)</f>
        <v>0</v>
      </c>
    </row>
    <row r="1742" ht="15.75" customHeight="1">
      <c r="A1742" s="2">
        <f>IFERROR(__xludf.DUMMYFUNCTION("""COMPUTED_VALUE"""),45469.0)</f>
        <v>45469</v>
      </c>
      <c r="B1742" s="2" t="str">
        <f>IFERROR(__xludf.DUMMYFUNCTION("""COMPUTED_VALUE"""),"P'TREE CORNERS ")</f>
        <v>P'TREE CORNERS </v>
      </c>
      <c r="C1742" s="2"/>
    </row>
    <row r="1743" ht="15.75" customHeight="1">
      <c r="A1743" s="2">
        <f>IFERROR(__xludf.DUMMYFUNCTION("""COMPUTED_VALUE"""),45469.0)</f>
        <v>45469</v>
      </c>
      <c r="B1743" s="2" t="str">
        <f>IFERROR(__xludf.DUMMYFUNCTION("""COMPUTED_VALUE"""),"UGA/Athens")</f>
        <v>UGA/Athens</v>
      </c>
      <c r="C1743" s="2"/>
    </row>
    <row r="1744" ht="15.75" customHeight="1">
      <c r="A1744" s="2">
        <f>IFERROR(__xludf.DUMMYFUNCTION("""COMPUTED_VALUE"""),45469.0)</f>
        <v>45469</v>
      </c>
      <c r="B1744" s="2" t="str">
        <f>IFERROR(__xludf.DUMMYFUNCTION("""COMPUTED_VALUE"""),"SANDY SPRINGS ")</f>
        <v>SANDY SPRINGS </v>
      </c>
      <c r="C1744" s="2">
        <f>IFERROR(__xludf.DUMMYFUNCTION("""COMPUTED_VALUE"""),789.0)</f>
        <v>789</v>
      </c>
    </row>
    <row r="1745" ht="15.75" customHeight="1">
      <c r="A1745" s="2">
        <f>IFERROR(__xludf.DUMMYFUNCTION("""COMPUTED_VALUE"""),45469.0)</f>
        <v>45469</v>
      </c>
      <c r="B1745" s="2" t="str">
        <f>IFERROR(__xludf.DUMMYFUNCTION("""COMPUTED_VALUE"""),"INTOWN/DRUID HILLS ")</f>
        <v>INTOWN/DRUID HILLS </v>
      </c>
      <c r="C1745" s="2">
        <f>IFERROR(__xludf.DUMMYFUNCTION("""COMPUTED_VALUE"""),766.0)</f>
        <v>766</v>
      </c>
    </row>
    <row r="1746" ht="15.75" customHeight="1">
      <c r="A1746" s="2">
        <f>IFERROR(__xludf.DUMMYFUNCTION("""COMPUTED_VALUE"""),45469.0)</f>
        <v>45469</v>
      </c>
      <c r="B1746" s="2" t="str">
        <f>IFERROR(__xludf.DUMMYFUNCTION("""COMPUTED_VALUE"""),"SNELLVILLE")</f>
        <v>SNELLVILLE</v>
      </c>
      <c r="C1746" s="2">
        <f>IFERROR(__xludf.DUMMYFUNCTION("""COMPUTED_VALUE"""),0.0)</f>
        <v>0</v>
      </c>
    </row>
    <row r="1747" ht="15.75" customHeight="1">
      <c r="A1747" s="2">
        <f>IFERROR(__xludf.DUMMYFUNCTION("""COMPUTED_VALUE"""),45469.0)</f>
        <v>45469</v>
      </c>
      <c r="B1747" s="2" t="str">
        <f>IFERROR(__xludf.DUMMYFUNCTION("""COMPUTED_VALUE"""),"GROUPS")</f>
        <v>GROUPS</v>
      </c>
      <c r="C1747" s="2"/>
    </row>
    <row r="1748" ht="15.75" customHeight="1">
      <c r="A1748" s="2">
        <f>IFERROR(__xludf.DUMMYFUNCTION("""COMPUTED_VALUE"""),45469.0)</f>
        <v>45469</v>
      </c>
      <c r="B1748" s="2" t="str">
        <f>IFERROR(__xludf.DUMMYFUNCTION("""COMPUTED_VALUE"""),"Previous Woodstock")</f>
        <v>Previous Woodstock</v>
      </c>
      <c r="C1748" s="2"/>
    </row>
    <row r="1749" ht="15.75" customHeight="1">
      <c r="A1749" s="2">
        <f>IFERROR(__xludf.DUMMYFUNCTION("""COMPUTED_VALUE"""),45469.0)</f>
        <v>45469</v>
      </c>
      <c r="B1749" s="2" t="str">
        <f>IFERROR(__xludf.DUMMYFUNCTION("""COMPUTED_VALUE"""),"Previous Lenox/Brookhaven")</f>
        <v>Previous Lenox/Brookhaven</v>
      </c>
      <c r="C1749" s="2"/>
    </row>
    <row r="1750" ht="15.75" customHeight="1">
      <c r="A1750" s="2">
        <f>IFERROR(__xludf.DUMMYFUNCTION("""COMPUTED_VALUE"""),45469.0)</f>
        <v>45469</v>
      </c>
      <c r="B1750" s="2" t="str">
        <f>IFERROR(__xludf.DUMMYFUNCTION("""COMPUTED_VALUE"""),"Previous New Chastain")</f>
        <v>Previous New Chastain</v>
      </c>
      <c r="C1750" s="2"/>
    </row>
    <row r="1751" ht="15.75" customHeight="1">
      <c r="A1751" s="2">
        <f>IFERROR(__xludf.DUMMYFUNCTION("""COMPUTED_VALUE"""),45469.0)</f>
        <v>45469</v>
      </c>
      <c r="B1751" s="2" t="str">
        <f>IFERROR(__xludf.DUMMYFUNCTION("""COMPUTED_VALUE"""),"Previous Glenwood Park")</f>
        <v>Previous Glenwood Park</v>
      </c>
      <c r="C1751" s="2"/>
    </row>
    <row r="1752" ht="15.75" customHeight="1">
      <c r="A1752" s="2">
        <f>IFERROR(__xludf.DUMMYFUNCTION("""COMPUTED_VALUE"""),45469.0)</f>
        <v>45469</v>
      </c>
      <c r="B1752" s="2" t="str">
        <f>IFERROR(__xludf.DUMMYFUNCTION("""COMPUTED_VALUE"""),"FLOWERY BRANCH")</f>
        <v>FLOWERY BRANCH</v>
      </c>
      <c r="C1752" s="2">
        <f>IFERROR(__xludf.DUMMYFUNCTION("""COMPUTED_VALUE"""),275.0)</f>
        <v>275</v>
      </c>
    </row>
    <row r="1753" ht="15.75" customHeight="1">
      <c r="A1753" s="2">
        <f>IFERROR(__xludf.DUMMYFUNCTION("""COMPUTED_VALUE"""),45469.0)</f>
        <v>45469</v>
      </c>
      <c r="B1753" s="2" t="str">
        <f>IFERROR(__xludf.DUMMYFUNCTION("""COMPUTED_VALUE"""),"GROUPS ")</f>
        <v>GROUPS </v>
      </c>
      <c r="C1753" s="2">
        <f>IFERROR(__xludf.DUMMYFUNCTION("""COMPUTED_VALUE"""),2972.0)</f>
        <v>2972</v>
      </c>
    </row>
    <row r="1754" ht="15.75" customHeight="1">
      <c r="A1754" s="2">
        <f>IFERROR(__xludf.DUMMYFUNCTION("""COMPUTED_VALUE"""),45469.0)</f>
        <v>45469</v>
      </c>
      <c r="B1754" s="2" t="str">
        <f>IFERROR(__xludf.DUMMYFUNCTION("""COMPUTED_VALUE"""),"TOTAL")</f>
        <v>TOTAL</v>
      </c>
      <c r="C1754" s="2"/>
    </row>
    <row r="1755" ht="15.75" customHeight="1">
      <c r="A1755" s="2">
        <f>IFERROR(__xludf.DUMMYFUNCTION("""COMPUTED_VALUE"""),45469.0)</f>
        <v>45469</v>
      </c>
      <c r="B1755" s="2" t="str">
        <f>IFERROR(__xludf.DUMMYFUNCTION("""COMPUTED_VALUE"""),"Collective Learning")</f>
        <v>Collective Learning</v>
      </c>
      <c r="C1755" s="2"/>
    </row>
    <row r="1756" ht="15.75" customHeight="1">
      <c r="A1756" s="2">
        <f>IFERROR(__xludf.DUMMYFUNCTION("""COMPUTED_VALUE"""),45469.0)</f>
        <v>45469</v>
      </c>
      <c r="B1756" s="2" t="str">
        <f>IFERROR(__xludf.DUMMYFUNCTION("""COMPUTED_VALUE"""),"NOTES")</f>
        <v>NOTES</v>
      </c>
      <c r="C1756" s="2"/>
    </row>
    <row r="1757" ht="15.75" customHeight="1">
      <c r="A1757" s="2">
        <f>IFERROR(__xludf.DUMMYFUNCTION("""COMPUTED_VALUE"""),45483.0)</f>
        <v>45483</v>
      </c>
      <c r="B1757" s="2" t="str">
        <f>IFERROR(__xludf.DUMMYFUNCTION("""COMPUTED_VALUE"""),"# of Sandwiches")</f>
        <v># of Sandwiches</v>
      </c>
      <c r="C1757" s="2">
        <f>IFERROR(__xludf.DUMMYFUNCTION("""COMPUTED_VALUE"""),9810.0)</f>
        <v>9810</v>
      </c>
    </row>
    <row r="1758" ht="15.75" customHeight="1">
      <c r="A1758" s="2">
        <f>IFERROR(__xludf.DUMMYFUNCTION("""COMPUTED_VALUE"""),45483.0)</f>
        <v>45483</v>
      </c>
      <c r="B1758" s="2" t="str">
        <f>IFERROR(__xludf.DUMMYFUNCTION("""COMPUTED_VALUE"""),"ALPHARETTA")</f>
        <v>ALPHARETTA</v>
      </c>
      <c r="C1758" s="2">
        <f>IFERROR(__xludf.DUMMYFUNCTION("""COMPUTED_VALUE"""),1134.0)</f>
        <v>1134</v>
      </c>
    </row>
    <row r="1759" ht="15.75" customHeight="1">
      <c r="A1759" s="2">
        <f>IFERROR(__xludf.DUMMYFUNCTION("""COMPUTED_VALUE"""),45483.0)</f>
        <v>45483</v>
      </c>
      <c r="B1759" s="2" t="str">
        <f>IFERROR(__xludf.DUMMYFUNCTION("""COMPUTED_VALUE"""),"PREVIOUS BUCKHEAD")</f>
        <v>PREVIOUS BUCKHEAD</v>
      </c>
      <c r="C1759" s="2"/>
    </row>
    <row r="1760" ht="15.75" customHeight="1">
      <c r="A1760" s="2">
        <f>IFERROR(__xludf.DUMMYFUNCTION("""COMPUTED_VALUE"""),45483.0)</f>
        <v>45483</v>
      </c>
      <c r="B1760" s="2" t="str">
        <f>IFERROR(__xludf.DUMMYFUNCTION("""COMPUTED_VALUE"""),"PREVIOUS OAK GROVE")</f>
        <v>PREVIOUS OAK GROVE</v>
      </c>
      <c r="C1760" s="2"/>
    </row>
    <row r="1761" ht="15.75" customHeight="1">
      <c r="A1761" s="2">
        <f>IFERROR(__xludf.DUMMYFUNCTION("""COMPUTED_VALUE"""),45483.0)</f>
        <v>45483</v>
      </c>
      <c r="B1761" s="2" t="str">
        <f>IFERROR(__xludf.DUMMYFUNCTION("""COMPUTED_VALUE"""),"DUNWOODY/PTC ")</f>
        <v>DUNWOODY/PTC </v>
      </c>
      <c r="C1761" s="2">
        <f>IFERROR(__xludf.DUMMYFUNCTION("""COMPUTED_VALUE"""),1681.0)</f>
        <v>1681</v>
      </c>
    </row>
    <row r="1762" ht="15.75" customHeight="1">
      <c r="A1762" s="2">
        <f>IFERROR(__xludf.DUMMYFUNCTION("""COMPUTED_VALUE"""),45483.0)</f>
        <v>45483</v>
      </c>
      <c r="B1762" s="2" t="str">
        <f>IFERROR(__xludf.DUMMYFUNCTION("""COMPUTED_VALUE"""),"E COBB/ROSWELL")</f>
        <v>E COBB/ROSWELL</v>
      </c>
      <c r="C1762" s="2">
        <f>IFERROR(__xludf.DUMMYFUNCTION("""COMPUTED_VALUE"""),2170.0)</f>
        <v>2170</v>
      </c>
    </row>
    <row r="1763" ht="15.75" customHeight="1">
      <c r="A1763" s="2">
        <f>IFERROR(__xludf.DUMMYFUNCTION("""COMPUTED_VALUE"""),45483.0)</f>
        <v>45483</v>
      </c>
      <c r="B1763" s="2" t="str">
        <f>IFERROR(__xludf.DUMMYFUNCTION("""COMPUTED_VALUE"""),"DECATUR")</f>
        <v>DECATUR</v>
      </c>
      <c r="C1763" s="2">
        <f>IFERROR(__xludf.DUMMYFUNCTION("""COMPUTED_VALUE"""),0.0)</f>
        <v>0</v>
      </c>
    </row>
    <row r="1764" ht="15.75" customHeight="1">
      <c r="A1764" s="2">
        <f>IFERROR(__xludf.DUMMYFUNCTION("""COMPUTED_VALUE"""),45483.0)</f>
        <v>45483</v>
      </c>
      <c r="B1764" s="2" t="str">
        <f>IFERROR(__xludf.DUMMYFUNCTION("""COMPUTED_VALUE"""),"P'TREE CORNERS ")</f>
        <v>P'TREE CORNERS </v>
      </c>
      <c r="C1764" s="2"/>
    </row>
    <row r="1765" ht="15.75" customHeight="1">
      <c r="A1765" s="2">
        <f>IFERROR(__xludf.DUMMYFUNCTION("""COMPUTED_VALUE"""),45483.0)</f>
        <v>45483</v>
      </c>
      <c r="B1765" s="2" t="str">
        <f>IFERROR(__xludf.DUMMYFUNCTION("""COMPUTED_VALUE"""),"UGA/Athens")</f>
        <v>UGA/Athens</v>
      </c>
      <c r="C1765" s="2"/>
    </row>
    <row r="1766" ht="15.75" customHeight="1">
      <c r="A1766" s="2">
        <f>IFERROR(__xludf.DUMMYFUNCTION("""COMPUTED_VALUE"""),45483.0)</f>
        <v>45483</v>
      </c>
      <c r="B1766" s="2" t="str">
        <f>IFERROR(__xludf.DUMMYFUNCTION("""COMPUTED_VALUE"""),"SANDY SPRINGS ")</f>
        <v>SANDY SPRINGS </v>
      </c>
      <c r="C1766" s="2">
        <f>IFERROR(__xludf.DUMMYFUNCTION("""COMPUTED_VALUE"""),583.0)</f>
        <v>583</v>
      </c>
    </row>
    <row r="1767" ht="15.75" customHeight="1">
      <c r="A1767" s="2">
        <f>IFERROR(__xludf.DUMMYFUNCTION("""COMPUTED_VALUE"""),45483.0)</f>
        <v>45483</v>
      </c>
      <c r="B1767" s="2" t="str">
        <f>IFERROR(__xludf.DUMMYFUNCTION("""COMPUTED_VALUE"""),"INTOWN/DRUID HILLS ")</f>
        <v>INTOWN/DRUID HILLS </v>
      </c>
      <c r="C1767" s="2">
        <f>IFERROR(__xludf.DUMMYFUNCTION("""COMPUTED_VALUE"""),784.0)</f>
        <v>784</v>
      </c>
    </row>
    <row r="1768" ht="15.75" customHeight="1">
      <c r="A1768" s="2">
        <f>IFERROR(__xludf.DUMMYFUNCTION("""COMPUTED_VALUE"""),45483.0)</f>
        <v>45483</v>
      </c>
      <c r="B1768" s="2" t="str">
        <f>IFERROR(__xludf.DUMMYFUNCTION("""COMPUTED_VALUE"""),"SNELLVILLE")</f>
        <v>SNELLVILLE</v>
      </c>
      <c r="C1768" s="2">
        <f>IFERROR(__xludf.DUMMYFUNCTION("""COMPUTED_VALUE"""),0.0)</f>
        <v>0</v>
      </c>
    </row>
    <row r="1769" ht="15.75" customHeight="1">
      <c r="A1769" s="2">
        <f>IFERROR(__xludf.DUMMYFUNCTION("""COMPUTED_VALUE"""),45483.0)</f>
        <v>45483</v>
      </c>
      <c r="B1769" s="2" t="str">
        <f>IFERROR(__xludf.DUMMYFUNCTION("""COMPUTED_VALUE"""),"GROUPS")</f>
        <v>GROUPS</v>
      </c>
      <c r="C1769" s="2"/>
    </row>
    <row r="1770" ht="15.75" customHeight="1">
      <c r="A1770" s="2">
        <f>IFERROR(__xludf.DUMMYFUNCTION("""COMPUTED_VALUE"""),45483.0)</f>
        <v>45483</v>
      </c>
      <c r="B1770" s="2" t="str">
        <f>IFERROR(__xludf.DUMMYFUNCTION("""COMPUTED_VALUE"""),"Previous Woodstock")</f>
        <v>Previous Woodstock</v>
      </c>
      <c r="C1770" s="2"/>
    </row>
    <row r="1771" ht="15.75" customHeight="1">
      <c r="A1771" s="2">
        <f>IFERROR(__xludf.DUMMYFUNCTION("""COMPUTED_VALUE"""),45483.0)</f>
        <v>45483</v>
      </c>
      <c r="B1771" s="2" t="str">
        <f>IFERROR(__xludf.DUMMYFUNCTION("""COMPUTED_VALUE"""),"Previous Lenox/Brookhaven")</f>
        <v>Previous Lenox/Brookhaven</v>
      </c>
      <c r="C1771" s="2"/>
    </row>
    <row r="1772" ht="15.75" customHeight="1">
      <c r="A1772" s="2">
        <f>IFERROR(__xludf.DUMMYFUNCTION("""COMPUTED_VALUE"""),45483.0)</f>
        <v>45483</v>
      </c>
      <c r="B1772" s="2" t="str">
        <f>IFERROR(__xludf.DUMMYFUNCTION("""COMPUTED_VALUE"""),"Previous New Chastain")</f>
        <v>Previous New Chastain</v>
      </c>
      <c r="C1772" s="2"/>
    </row>
    <row r="1773" ht="15.75" customHeight="1">
      <c r="A1773" s="2">
        <f>IFERROR(__xludf.DUMMYFUNCTION("""COMPUTED_VALUE"""),45483.0)</f>
        <v>45483</v>
      </c>
      <c r="B1773" s="2" t="str">
        <f>IFERROR(__xludf.DUMMYFUNCTION("""COMPUTED_VALUE"""),"Previous Glenwood Park")</f>
        <v>Previous Glenwood Park</v>
      </c>
      <c r="C1773" s="2"/>
    </row>
    <row r="1774" ht="15.75" customHeight="1">
      <c r="A1774" s="2">
        <f>IFERROR(__xludf.DUMMYFUNCTION("""COMPUTED_VALUE"""),45483.0)</f>
        <v>45483</v>
      </c>
      <c r="B1774" s="2" t="str">
        <f>IFERROR(__xludf.DUMMYFUNCTION("""COMPUTED_VALUE"""),"FLOWERY BRANCH")</f>
        <v>FLOWERY BRANCH</v>
      </c>
      <c r="C1774" s="2">
        <f>IFERROR(__xludf.DUMMYFUNCTION("""COMPUTED_VALUE"""),426.0)</f>
        <v>426</v>
      </c>
    </row>
    <row r="1775" ht="15.75" customHeight="1">
      <c r="A1775" s="2">
        <f>IFERROR(__xludf.DUMMYFUNCTION("""COMPUTED_VALUE"""),45483.0)</f>
        <v>45483</v>
      </c>
      <c r="B1775" s="2" t="str">
        <f>IFERROR(__xludf.DUMMYFUNCTION("""COMPUTED_VALUE"""),"GROUPS ")</f>
        <v>GROUPS </v>
      </c>
      <c r="C1775" s="2">
        <f>IFERROR(__xludf.DUMMYFUNCTION("""COMPUTED_VALUE"""),3032.0)</f>
        <v>3032</v>
      </c>
    </row>
    <row r="1776" ht="15.75" customHeight="1">
      <c r="A1776" s="2">
        <f>IFERROR(__xludf.DUMMYFUNCTION("""COMPUTED_VALUE"""),45483.0)</f>
        <v>45483</v>
      </c>
      <c r="B1776" s="2" t="str">
        <f>IFERROR(__xludf.DUMMYFUNCTION("""COMPUTED_VALUE"""),"TOTAL")</f>
        <v>TOTAL</v>
      </c>
      <c r="C1776" s="2"/>
    </row>
    <row r="1777" ht="15.75" customHeight="1">
      <c r="A1777" s="2">
        <f>IFERROR(__xludf.DUMMYFUNCTION("""COMPUTED_VALUE"""),45483.0)</f>
        <v>45483</v>
      </c>
      <c r="B1777" s="2" t="str">
        <f>IFERROR(__xludf.DUMMYFUNCTION("""COMPUTED_VALUE"""),"Collective Learning")</f>
        <v>Collective Learning</v>
      </c>
      <c r="C1777" s="2"/>
    </row>
    <row r="1778" ht="15.75" customHeight="1">
      <c r="A1778" s="2">
        <f>IFERROR(__xludf.DUMMYFUNCTION("""COMPUTED_VALUE"""),45483.0)</f>
        <v>45483</v>
      </c>
      <c r="B1778" s="2" t="str">
        <f>IFERROR(__xludf.DUMMYFUNCTION("""COMPUTED_VALUE"""),"NOTES")</f>
        <v>NOTES</v>
      </c>
      <c r="C1778" s="2"/>
    </row>
    <row r="1779" ht="15.75" customHeight="1">
      <c r="A1779" s="2">
        <f>IFERROR(__xludf.DUMMYFUNCTION("""COMPUTED_VALUE"""),45490.0)</f>
        <v>45490</v>
      </c>
      <c r="B1779" s="2" t="str">
        <f>IFERROR(__xludf.DUMMYFUNCTION("""COMPUTED_VALUE"""),"# of Sandwiches")</f>
        <v># of Sandwiches</v>
      </c>
      <c r="C1779" s="2">
        <f>IFERROR(__xludf.DUMMYFUNCTION("""COMPUTED_VALUE"""),11526.0)</f>
        <v>11526</v>
      </c>
    </row>
    <row r="1780" ht="15.75" customHeight="1">
      <c r="A1780" s="2">
        <f>IFERROR(__xludf.DUMMYFUNCTION("""COMPUTED_VALUE"""),45490.0)</f>
        <v>45490</v>
      </c>
      <c r="B1780" s="2" t="str">
        <f>IFERROR(__xludf.DUMMYFUNCTION("""COMPUTED_VALUE"""),"ALPHARETTA")</f>
        <v>ALPHARETTA</v>
      </c>
      <c r="C1780" s="2">
        <f>IFERROR(__xludf.DUMMYFUNCTION("""COMPUTED_VALUE"""),3333.0)</f>
        <v>3333</v>
      </c>
    </row>
    <row r="1781" ht="15.75" customHeight="1">
      <c r="A1781" s="2">
        <f>IFERROR(__xludf.DUMMYFUNCTION("""COMPUTED_VALUE"""),45490.0)</f>
        <v>45490</v>
      </c>
      <c r="B1781" s="2" t="str">
        <f>IFERROR(__xludf.DUMMYFUNCTION("""COMPUTED_VALUE"""),"PREVIOUS BUCKHEAD")</f>
        <v>PREVIOUS BUCKHEAD</v>
      </c>
      <c r="C1781" s="2"/>
    </row>
    <row r="1782" ht="15.75" customHeight="1">
      <c r="A1782" s="2">
        <f>IFERROR(__xludf.DUMMYFUNCTION("""COMPUTED_VALUE"""),45490.0)</f>
        <v>45490</v>
      </c>
      <c r="B1782" s="2" t="str">
        <f>IFERROR(__xludf.DUMMYFUNCTION("""COMPUTED_VALUE"""),"PREVIOUS OAK GROVE")</f>
        <v>PREVIOUS OAK GROVE</v>
      </c>
      <c r="C1782" s="2"/>
    </row>
    <row r="1783" ht="15.75" customHeight="1">
      <c r="A1783" s="2">
        <f>IFERROR(__xludf.DUMMYFUNCTION("""COMPUTED_VALUE"""),45490.0)</f>
        <v>45490</v>
      </c>
      <c r="B1783" s="2" t="str">
        <f>IFERROR(__xludf.DUMMYFUNCTION("""COMPUTED_VALUE"""),"DUNWOODY/PTC ")</f>
        <v>DUNWOODY/PTC </v>
      </c>
      <c r="C1783" s="2">
        <f>IFERROR(__xludf.DUMMYFUNCTION("""COMPUTED_VALUE"""),1513.0)</f>
        <v>1513</v>
      </c>
    </row>
    <row r="1784" ht="15.75" customHeight="1">
      <c r="A1784" s="2">
        <f>IFERROR(__xludf.DUMMYFUNCTION("""COMPUTED_VALUE"""),45490.0)</f>
        <v>45490</v>
      </c>
      <c r="B1784" s="2" t="str">
        <f>IFERROR(__xludf.DUMMYFUNCTION("""COMPUTED_VALUE"""),"E COBB/ROSWELL")</f>
        <v>E COBB/ROSWELL</v>
      </c>
      <c r="C1784" s="2">
        <f>IFERROR(__xludf.DUMMYFUNCTION("""COMPUTED_VALUE"""),1820.0)</f>
        <v>1820</v>
      </c>
    </row>
    <row r="1785" ht="15.75" customHeight="1">
      <c r="A1785" s="2">
        <f>IFERROR(__xludf.DUMMYFUNCTION("""COMPUTED_VALUE"""),45490.0)</f>
        <v>45490</v>
      </c>
      <c r="B1785" s="2" t="str">
        <f>IFERROR(__xludf.DUMMYFUNCTION("""COMPUTED_VALUE"""),"DECATUR")</f>
        <v>DECATUR</v>
      </c>
      <c r="C1785" s="2">
        <f>IFERROR(__xludf.DUMMYFUNCTION("""COMPUTED_VALUE"""),101.0)</f>
        <v>101</v>
      </c>
    </row>
    <row r="1786" ht="15.75" customHeight="1">
      <c r="A1786" s="2">
        <f>IFERROR(__xludf.DUMMYFUNCTION("""COMPUTED_VALUE"""),45490.0)</f>
        <v>45490</v>
      </c>
      <c r="B1786" s="2" t="str">
        <f>IFERROR(__xludf.DUMMYFUNCTION("""COMPUTED_VALUE"""),"P'TREE CORNERS ")</f>
        <v>P'TREE CORNERS </v>
      </c>
      <c r="C1786" s="2"/>
    </row>
    <row r="1787" ht="15.75" customHeight="1">
      <c r="A1787" s="2">
        <f>IFERROR(__xludf.DUMMYFUNCTION("""COMPUTED_VALUE"""),45490.0)</f>
        <v>45490</v>
      </c>
      <c r="B1787" s="2" t="str">
        <f>IFERROR(__xludf.DUMMYFUNCTION("""COMPUTED_VALUE"""),"UGA/Athens")</f>
        <v>UGA/Athens</v>
      </c>
      <c r="C1787" s="2"/>
    </row>
    <row r="1788" ht="15.75" customHeight="1">
      <c r="A1788" s="2">
        <f>IFERROR(__xludf.DUMMYFUNCTION("""COMPUTED_VALUE"""),45490.0)</f>
        <v>45490</v>
      </c>
      <c r="B1788" s="2" t="str">
        <f>IFERROR(__xludf.DUMMYFUNCTION("""COMPUTED_VALUE"""),"SANDY SPRINGS ")</f>
        <v>SANDY SPRINGS </v>
      </c>
      <c r="C1788" s="2">
        <f>IFERROR(__xludf.DUMMYFUNCTION("""COMPUTED_VALUE"""),632.0)</f>
        <v>632</v>
      </c>
    </row>
    <row r="1789" ht="15.75" customHeight="1">
      <c r="A1789" s="2">
        <f>IFERROR(__xludf.DUMMYFUNCTION("""COMPUTED_VALUE"""),45490.0)</f>
        <v>45490</v>
      </c>
      <c r="B1789" s="2" t="str">
        <f>IFERROR(__xludf.DUMMYFUNCTION("""COMPUTED_VALUE"""),"INTOWN/DRUID HILLS ")</f>
        <v>INTOWN/DRUID HILLS </v>
      </c>
      <c r="C1789" s="2">
        <f>IFERROR(__xludf.DUMMYFUNCTION("""COMPUTED_VALUE"""),1425.0)</f>
        <v>1425</v>
      </c>
    </row>
    <row r="1790" ht="15.75" customHeight="1">
      <c r="A1790" s="2">
        <f>IFERROR(__xludf.DUMMYFUNCTION("""COMPUTED_VALUE"""),45490.0)</f>
        <v>45490</v>
      </c>
      <c r="B1790" s="2" t="str">
        <f>IFERROR(__xludf.DUMMYFUNCTION("""COMPUTED_VALUE"""),"SNELLVILLE")</f>
        <v>SNELLVILLE</v>
      </c>
      <c r="C1790" s="2">
        <f>IFERROR(__xludf.DUMMYFUNCTION("""COMPUTED_VALUE"""),0.0)</f>
        <v>0</v>
      </c>
    </row>
    <row r="1791" ht="15.75" customHeight="1">
      <c r="A1791" s="2">
        <f>IFERROR(__xludf.DUMMYFUNCTION("""COMPUTED_VALUE"""),45490.0)</f>
        <v>45490</v>
      </c>
      <c r="B1791" s="2" t="str">
        <f>IFERROR(__xludf.DUMMYFUNCTION("""COMPUTED_VALUE"""),"GROUPS")</f>
        <v>GROUPS</v>
      </c>
      <c r="C1791" s="2"/>
    </row>
    <row r="1792" ht="15.75" customHeight="1">
      <c r="A1792" s="2">
        <f>IFERROR(__xludf.DUMMYFUNCTION("""COMPUTED_VALUE"""),45490.0)</f>
        <v>45490</v>
      </c>
      <c r="B1792" s="2" t="str">
        <f>IFERROR(__xludf.DUMMYFUNCTION("""COMPUTED_VALUE"""),"Previous Woodstock")</f>
        <v>Previous Woodstock</v>
      </c>
      <c r="C1792" s="2"/>
    </row>
    <row r="1793" ht="15.75" customHeight="1">
      <c r="A1793" s="2">
        <f>IFERROR(__xludf.DUMMYFUNCTION("""COMPUTED_VALUE"""),45490.0)</f>
        <v>45490</v>
      </c>
      <c r="B1793" s="2" t="str">
        <f>IFERROR(__xludf.DUMMYFUNCTION("""COMPUTED_VALUE"""),"Previous Lenox/Brookhaven")</f>
        <v>Previous Lenox/Brookhaven</v>
      </c>
      <c r="C1793" s="2"/>
    </row>
    <row r="1794" ht="15.75" customHeight="1">
      <c r="A1794" s="2">
        <f>IFERROR(__xludf.DUMMYFUNCTION("""COMPUTED_VALUE"""),45490.0)</f>
        <v>45490</v>
      </c>
      <c r="B1794" s="2" t="str">
        <f>IFERROR(__xludf.DUMMYFUNCTION("""COMPUTED_VALUE"""),"Previous New Chastain")</f>
        <v>Previous New Chastain</v>
      </c>
      <c r="C1794" s="2"/>
    </row>
    <row r="1795" ht="15.75" customHeight="1">
      <c r="A1795" s="2">
        <f>IFERROR(__xludf.DUMMYFUNCTION("""COMPUTED_VALUE"""),45490.0)</f>
        <v>45490</v>
      </c>
      <c r="B1795" s="2" t="str">
        <f>IFERROR(__xludf.DUMMYFUNCTION("""COMPUTED_VALUE"""),"Previous Glenwood Park")</f>
        <v>Previous Glenwood Park</v>
      </c>
      <c r="C1795" s="2"/>
    </row>
    <row r="1796" ht="15.75" customHeight="1">
      <c r="A1796" s="2">
        <f>IFERROR(__xludf.DUMMYFUNCTION("""COMPUTED_VALUE"""),45490.0)</f>
        <v>45490</v>
      </c>
      <c r="B1796" s="2" t="str">
        <f>IFERROR(__xludf.DUMMYFUNCTION("""COMPUTED_VALUE"""),"FLOWERY BRANCH")</f>
        <v>FLOWERY BRANCH</v>
      </c>
      <c r="C1796" s="2">
        <f>IFERROR(__xludf.DUMMYFUNCTION("""COMPUTED_VALUE"""),226.0)</f>
        <v>226</v>
      </c>
    </row>
    <row r="1797" ht="15.75" customHeight="1">
      <c r="A1797" s="2">
        <f>IFERROR(__xludf.DUMMYFUNCTION("""COMPUTED_VALUE"""),45490.0)</f>
        <v>45490</v>
      </c>
      <c r="B1797" s="2" t="str">
        <f>IFERROR(__xludf.DUMMYFUNCTION("""COMPUTED_VALUE"""),"GROUPS ")</f>
        <v>GROUPS </v>
      </c>
      <c r="C1797" s="2">
        <f>IFERROR(__xludf.DUMMYFUNCTION("""COMPUTED_VALUE"""),2476.0)</f>
        <v>2476</v>
      </c>
    </row>
    <row r="1798" ht="15.75" customHeight="1">
      <c r="A1798" s="2">
        <f>IFERROR(__xludf.DUMMYFUNCTION("""COMPUTED_VALUE"""),45490.0)</f>
        <v>45490</v>
      </c>
      <c r="B1798" s="2" t="str">
        <f>IFERROR(__xludf.DUMMYFUNCTION("""COMPUTED_VALUE"""),"TOTAL")</f>
        <v>TOTAL</v>
      </c>
      <c r="C1798" s="2"/>
    </row>
    <row r="1799" ht="15.75" customHeight="1">
      <c r="A1799" s="2">
        <f>IFERROR(__xludf.DUMMYFUNCTION("""COMPUTED_VALUE"""),45490.0)</f>
        <v>45490</v>
      </c>
      <c r="B1799" s="2" t="str">
        <f>IFERROR(__xludf.DUMMYFUNCTION("""COMPUTED_VALUE"""),"Collective Learning")</f>
        <v>Collective Learning</v>
      </c>
      <c r="C1799" s="2"/>
    </row>
    <row r="1800" ht="15.75" customHeight="1">
      <c r="A1800" s="2">
        <f>IFERROR(__xludf.DUMMYFUNCTION("""COMPUTED_VALUE"""),45490.0)</f>
        <v>45490</v>
      </c>
      <c r="B1800" s="2" t="str">
        <f>IFERROR(__xludf.DUMMYFUNCTION("""COMPUTED_VALUE"""),"NOTES")</f>
        <v>NOTES</v>
      </c>
      <c r="C1800" s="2"/>
    </row>
    <row r="1801" ht="15.75" customHeight="1">
      <c r="A1801" s="2">
        <f>IFERROR(__xludf.DUMMYFUNCTION("""COMPUTED_VALUE"""),45497.0)</f>
        <v>45497</v>
      </c>
      <c r="B1801" s="2" t="str">
        <f>IFERROR(__xludf.DUMMYFUNCTION("""COMPUTED_VALUE"""),"# of Sandwiches")</f>
        <v># of Sandwiches</v>
      </c>
      <c r="C1801" s="2">
        <f>IFERROR(__xludf.DUMMYFUNCTION("""COMPUTED_VALUE"""),9588.0)</f>
        <v>9588</v>
      </c>
    </row>
    <row r="1802" ht="15.75" customHeight="1">
      <c r="A1802" s="2">
        <f>IFERROR(__xludf.DUMMYFUNCTION("""COMPUTED_VALUE"""),45497.0)</f>
        <v>45497</v>
      </c>
      <c r="B1802" s="2" t="str">
        <f>IFERROR(__xludf.DUMMYFUNCTION("""COMPUTED_VALUE"""),"ALPHARETTA")</f>
        <v>ALPHARETTA</v>
      </c>
      <c r="C1802" s="2">
        <f>IFERROR(__xludf.DUMMYFUNCTION("""COMPUTED_VALUE"""),871.0)</f>
        <v>871</v>
      </c>
    </row>
    <row r="1803" ht="15.75" customHeight="1">
      <c r="A1803" s="2">
        <f>IFERROR(__xludf.DUMMYFUNCTION("""COMPUTED_VALUE"""),45497.0)</f>
        <v>45497</v>
      </c>
      <c r="B1803" s="2" t="str">
        <f>IFERROR(__xludf.DUMMYFUNCTION("""COMPUTED_VALUE"""),"PREVIOUS BUCKHEAD")</f>
        <v>PREVIOUS BUCKHEAD</v>
      </c>
      <c r="C1803" s="2"/>
    </row>
    <row r="1804" ht="15.75" customHeight="1">
      <c r="A1804" s="2">
        <f>IFERROR(__xludf.DUMMYFUNCTION("""COMPUTED_VALUE"""),45497.0)</f>
        <v>45497</v>
      </c>
      <c r="B1804" s="2" t="str">
        <f>IFERROR(__xludf.DUMMYFUNCTION("""COMPUTED_VALUE"""),"PREVIOUS OAK GROVE")</f>
        <v>PREVIOUS OAK GROVE</v>
      </c>
      <c r="C1804" s="2"/>
    </row>
    <row r="1805" ht="15.75" customHeight="1">
      <c r="A1805" s="2">
        <f>IFERROR(__xludf.DUMMYFUNCTION("""COMPUTED_VALUE"""),45497.0)</f>
        <v>45497</v>
      </c>
      <c r="B1805" s="2" t="str">
        <f>IFERROR(__xludf.DUMMYFUNCTION("""COMPUTED_VALUE"""),"DUNWOODY/PTC ")</f>
        <v>DUNWOODY/PTC </v>
      </c>
      <c r="C1805" s="2">
        <f>IFERROR(__xludf.DUMMYFUNCTION("""COMPUTED_VALUE"""),1989.0)</f>
        <v>1989</v>
      </c>
    </row>
    <row r="1806" ht="15.75" customHeight="1">
      <c r="A1806" s="2">
        <f>IFERROR(__xludf.DUMMYFUNCTION("""COMPUTED_VALUE"""),45497.0)</f>
        <v>45497</v>
      </c>
      <c r="B1806" s="2" t="str">
        <f>IFERROR(__xludf.DUMMYFUNCTION("""COMPUTED_VALUE"""),"E COBB/ROSWELL")</f>
        <v>E COBB/ROSWELL</v>
      </c>
      <c r="C1806" s="2">
        <f>IFERROR(__xludf.DUMMYFUNCTION("""COMPUTED_VALUE"""),1962.0)</f>
        <v>1962</v>
      </c>
    </row>
    <row r="1807" ht="15.75" customHeight="1">
      <c r="A1807" s="2">
        <f>IFERROR(__xludf.DUMMYFUNCTION("""COMPUTED_VALUE"""),45497.0)</f>
        <v>45497</v>
      </c>
      <c r="B1807" s="2" t="str">
        <f>IFERROR(__xludf.DUMMYFUNCTION("""COMPUTED_VALUE"""),"DECATUR")</f>
        <v>DECATUR</v>
      </c>
      <c r="C1807" s="2">
        <f>IFERROR(__xludf.DUMMYFUNCTION("""COMPUTED_VALUE"""),54.0)</f>
        <v>54</v>
      </c>
    </row>
    <row r="1808" ht="15.75" customHeight="1">
      <c r="A1808" s="2">
        <f>IFERROR(__xludf.DUMMYFUNCTION("""COMPUTED_VALUE"""),45497.0)</f>
        <v>45497</v>
      </c>
      <c r="B1808" s="2" t="str">
        <f>IFERROR(__xludf.DUMMYFUNCTION("""COMPUTED_VALUE"""),"P'TREE CORNERS ")</f>
        <v>P'TREE CORNERS </v>
      </c>
      <c r="C1808" s="2"/>
    </row>
    <row r="1809" ht="15.75" customHeight="1">
      <c r="A1809" s="2">
        <f>IFERROR(__xludf.DUMMYFUNCTION("""COMPUTED_VALUE"""),45497.0)</f>
        <v>45497</v>
      </c>
      <c r="B1809" s="2" t="str">
        <f>IFERROR(__xludf.DUMMYFUNCTION("""COMPUTED_VALUE"""),"UGA/Athens")</f>
        <v>UGA/Athens</v>
      </c>
      <c r="C1809" s="2"/>
    </row>
    <row r="1810" ht="15.75" customHeight="1">
      <c r="A1810" s="2">
        <f>IFERROR(__xludf.DUMMYFUNCTION("""COMPUTED_VALUE"""),45497.0)</f>
        <v>45497</v>
      </c>
      <c r="B1810" s="2" t="str">
        <f>IFERROR(__xludf.DUMMYFUNCTION("""COMPUTED_VALUE"""),"SANDY SPRINGS ")</f>
        <v>SANDY SPRINGS </v>
      </c>
      <c r="C1810" s="2">
        <f>IFERROR(__xludf.DUMMYFUNCTION("""COMPUTED_VALUE"""),889.0)</f>
        <v>889</v>
      </c>
    </row>
    <row r="1811" ht="15.75" customHeight="1">
      <c r="A1811" s="2">
        <f>IFERROR(__xludf.DUMMYFUNCTION("""COMPUTED_VALUE"""),45497.0)</f>
        <v>45497</v>
      </c>
      <c r="B1811" s="2" t="str">
        <f>IFERROR(__xludf.DUMMYFUNCTION("""COMPUTED_VALUE"""),"INTOWN/DRUID HILLS ")</f>
        <v>INTOWN/DRUID HILLS </v>
      </c>
      <c r="C1811" s="2">
        <f>IFERROR(__xludf.DUMMYFUNCTION("""COMPUTED_VALUE"""),932.0)</f>
        <v>932</v>
      </c>
    </row>
    <row r="1812" ht="15.75" customHeight="1">
      <c r="A1812" s="2">
        <f>IFERROR(__xludf.DUMMYFUNCTION("""COMPUTED_VALUE"""),45497.0)</f>
        <v>45497</v>
      </c>
      <c r="B1812" s="2" t="str">
        <f>IFERROR(__xludf.DUMMYFUNCTION("""COMPUTED_VALUE"""),"SNELLVILLE")</f>
        <v>SNELLVILLE</v>
      </c>
      <c r="C1812" s="2">
        <f>IFERROR(__xludf.DUMMYFUNCTION("""COMPUTED_VALUE"""),0.0)</f>
        <v>0</v>
      </c>
    </row>
    <row r="1813" ht="15.75" customHeight="1">
      <c r="A1813" s="2">
        <f>IFERROR(__xludf.DUMMYFUNCTION("""COMPUTED_VALUE"""),45497.0)</f>
        <v>45497</v>
      </c>
      <c r="B1813" s="2" t="str">
        <f>IFERROR(__xludf.DUMMYFUNCTION("""COMPUTED_VALUE"""),"GROUPS")</f>
        <v>GROUPS</v>
      </c>
      <c r="C1813" s="2"/>
    </row>
    <row r="1814" ht="15.75" customHeight="1">
      <c r="A1814" s="2">
        <f>IFERROR(__xludf.DUMMYFUNCTION("""COMPUTED_VALUE"""),45497.0)</f>
        <v>45497</v>
      </c>
      <c r="B1814" s="2" t="str">
        <f>IFERROR(__xludf.DUMMYFUNCTION("""COMPUTED_VALUE"""),"Previous Woodstock")</f>
        <v>Previous Woodstock</v>
      </c>
      <c r="C1814" s="2"/>
    </row>
    <row r="1815" ht="15.75" customHeight="1">
      <c r="A1815" s="2">
        <f>IFERROR(__xludf.DUMMYFUNCTION("""COMPUTED_VALUE"""),45497.0)</f>
        <v>45497</v>
      </c>
      <c r="B1815" s="2" t="str">
        <f>IFERROR(__xludf.DUMMYFUNCTION("""COMPUTED_VALUE"""),"Previous Lenox/Brookhaven")</f>
        <v>Previous Lenox/Brookhaven</v>
      </c>
      <c r="C1815" s="2"/>
    </row>
    <row r="1816" ht="15.75" customHeight="1">
      <c r="A1816" s="2">
        <f>IFERROR(__xludf.DUMMYFUNCTION("""COMPUTED_VALUE"""),45497.0)</f>
        <v>45497</v>
      </c>
      <c r="B1816" s="2" t="str">
        <f>IFERROR(__xludf.DUMMYFUNCTION("""COMPUTED_VALUE"""),"Previous New Chastain")</f>
        <v>Previous New Chastain</v>
      </c>
      <c r="C1816" s="2"/>
    </row>
    <row r="1817" ht="15.75" customHeight="1">
      <c r="A1817" s="2">
        <f>IFERROR(__xludf.DUMMYFUNCTION("""COMPUTED_VALUE"""),45497.0)</f>
        <v>45497</v>
      </c>
      <c r="B1817" s="2" t="str">
        <f>IFERROR(__xludf.DUMMYFUNCTION("""COMPUTED_VALUE"""),"Previous Glenwood Park")</f>
        <v>Previous Glenwood Park</v>
      </c>
      <c r="C1817" s="2"/>
    </row>
    <row r="1818" ht="15.75" customHeight="1">
      <c r="A1818" s="2">
        <f>IFERROR(__xludf.DUMMYFUNCTION("""COMPUTED_VALUE"""),45497.0)</f>
        <v>45497</v>
      </c>
      <c r="B1818" s="2" t="str">
        <f>IFERROR(__xludf.DUMMYFUNCTION("""COMPUTED_VALUE"""),"FLOWERY BRANCH")</f>
        <v>FLOWERY BRANCH</v>
      </c>
      <c r="C1818" s="2">
        <f>IFERROR(__xludf.DUMMYFUNCTION("""COMPUTED_VALUE"""),191.0)</f>
        <v>191</v>
      </c>
    </row>
    <row r="1819" ht="15.75" customHeight="1">
      <c r="A1819" s="2">
        <f>IFERROR(__xludf.DUMMYFUNCTION("""COMPUTED_VALUE"""),45497.0)</f>
        <v>45497</v>
      </c>
      <c r="B1819" s="2" t="str">
        <f>IFERROR(__xludf.DUMMYFUNCTION("""COMPUTED_VALUE"""),"GROUPS ")</f>
        <v>GROUPS </v>
      </c>
      <c r="C1819" s="2">
        <f>IFERROR(__xludf.DUMMYFUNCTION("""COMPUTED_VALUE"""),2700.0)</f>
        <v>2700</v>
      </c>
    </row>
    <row r="1820" ht="15.75" customHeight="1">
      <c r="A1820" s="2">
        <f>IFERROR(__xludf.DUMMYFUNCTION("""COMPUTED_VALUE"""),45497.0)</f>
        <v>45497</v>
      </c>
      <c r="B1820" s="2" t="str">
        <f>IFERROR(__xludf.DUMMYFUNCTION("""COMPUTED_VALUE"""),"TOTAL")</f>
        <v>TOTAL</v>
      </c>
      <c r="C1820" s="2"/>
    </row>
    <row r="1821" ht="15.75" customHeight="1">
      <c r="A1821" s="2">
        <f>IFERROR(__xludf.DUMMYFUNCTION("""COMPUTED_VALUE"""),45497.0)</f>
        <v>45497</v>
      </c>
      <c r="B1821" s="2" t="str">
        <f>IFERROR(__xludf.DUMMYFUNCTION("""COMPUTED_VALUE"""),"Collective Learning")</f>
        <v>Collective Learning</v>
      </c>
      <c r="C1821" s="2"/>
    </row>
    <row r="1822" ht="15.75" customHeight="1">
      <c r="A1822" s="2">
        <f>IFERROR(__xludf.DUMMYFUNCTION("""COMPUTED_VALUE"""),45497.0)</f>
        <v>45497</v>
      </c>
      <c r="B1822" s="2" t="str">
        <f>IFERROR(__xludf.DUMMYFUNCTION("""COMPUTED_VALUE"""),"NOTES")</f>
        <v>NOTES</v>
      </c>
      <c r="C1822" s="2"/>
    </row>
    <row r="1823" ht="15.75" customHeight="1">
      <c r="A1823" s="2">
        <f>IFERROR(__xludf.DUMMYFUNCTION("""COMPUTED_VALUE"""),45504.0)</f>
        <v>45504</v>
      </c>
      <c r="B1823" s="2" t="str">
        <f>IFERROR(__xludf.DUMMYFUNCTION("""COMPUTED_VALUE"""),"# of Sandwiches")</f>
        <v># of Sandwiches</v>
      </c>
      <c r="C1823" s="2">
        <f>IFERROR(__xludf.DUMMYFUNCTION("""COMPUTED_VALUE"""),9917.0)</f>
        <v>9917</v>
      </c>
    </row>
    <row r="1824" ht="15.75" customHeight="1">
      <c r="A1824" s="2">
        <f>IFERROR(__xludf.DUMMYFUNCTION("""COMPUTED_VALUE"""),45504.0)</f>
        <v>45504</v>
      </c>
      <c r="B1824" s="2" t="str">
        <f>IFERROR(__xludf.DUMMYFUNCTION("""COMPUTED_VALUE"""),"ALPHARETTA")</f>
        <v>ALPHARETTA</v>
      </c>
      <c r="C1824" s="2">
        <f>IFERROR(__xludf.DUMMYFUNCTION("""COMPUTED_VALUE"""),2154.0)</f>
        <v>2154</v>
      </c>
    </row>
    <row r="1825" ht="15.75" customHeight="1">
      <c r="A1825" s="2">
        <f>IFERROR(__xludf.DUMMYFUNCTION("""COMPUTED_VALUE"""),45504.0)</f>
        <v>45504</v>
      </c>
      <c r="B1825" s="2" t="str">
        <f>IFERROR(__xludf.DUMMYFUNCTION("""COMPUTED_VALUE"""),"PREVIOUS BUCKHEAD")</f>
        <v>PREVIOUS BUCKHEAD</v>
      </c>
      <c r="C1825" s="2"/>
    </row>
    <row r="1826" ht="15.75" customHeight="1">
      <c r="A1826" s="2">
        <f>IFERROR(__xludf.DUMMYFUNCTION("""COMPUTED_VALUE"""),45504.0)</f>
        <v>45504</v>
      </c>
      <c r="B1826" s="2" t="str">
        <f>IFERROR(__xludf.DUMMYFUNCTION("""COMPUTED_VALUE"""),"PREVIOUS OAK GROVE")</f>
        <v>PREVIOUS OAK GROVE</v>
      </c>
      <c r="C1826" s="2"/>
    </row>
    <row r="1827" ht="15.75" customHeight="1">
      <c r="A1827" s="2">
        <f>IFERROR(__xludf.DUMMYFUNCTION("""COMPUTED_VALUE"""),45504.0)</f>
        <v>45504</v>
      </c>
      <c r="B1827" s="2" t="str">
        <f>IFERROR(__xludf.DUMMYFUNCTION("""COMPUTED_VALUE"""),"DUNWOODY/PTC ")</f>
        <v>DUNWOODY/PTC </v>
      </c>
      <c r="C1827" s="2">
        <f>IFERROR(__xludf.DUMMYFUNCTION("""COMPUTED_VALUE"""),1460.0)</f>
        <v>1460</v>
      </c>
    </row>
    <row r="1828" ht="15.75" customHeight="1">
      <c r="A1828" s="2">
        <f>IFERROR(__xludf.DUMMYFUNCTION("""COMPUTED_VALUE"""),45504.0)</f>
        <v>45504</v>
      </c>
      <c r="B1828" s="2" t="str">
        <f>IFERROR(__xludf.DUMMYFUNCTION("""COMPUTED_VALUE"""),"E COBB/ROSWELL")</f>
        <v>E COBB/ROSWELL</v>
      </c>
      <c r="C1828" s="2">
        <f>IFERROR(__xludf.DUMMYFUNCTION("""COMPUTED_VALUE"""),1499.0)</f>
        <v>1499</v>
      </c>
    </row>
    <row r="1829" ht="15.75" customHeight="1">
      <c r="A1829" s="2">
        <f>IFERROR(__xludf.DUMMYFUNCTION("""COMPUTED_VALUE"""),45504.0)</f>
        <v>45504</v>
      </c>
      <c r="B1829" s="2" t="str">
        <f>IFERROR(__xludf.DUMMYFUNCTION("""COMPUTED_VALUE"""),"DECATUR")</f>
        <v>DECATUR</v>
      </c>
      <c r="C1829" s="2">
        <f>IFERROR(__xludf.DUMMYFUNCTION("""COMPUTED_VALUE"""),162.0)</f>
        <v>162</v>
      </c>
    </row>
    <row r="1830" ht="15.75" customHeight="1">
      <c r="A1830" s="2">
        <f>IFERROR(__xludf.DUMMYFUNCTION("""COMPUTED_VALUE"""),45504.0)</f>
        <v>45504</v>
      </c>
      <c r="B1830" s="2" t="str">
        <f>IFERROR(__xludf.DUMMYFUNCTION("""COMPUTED_VALUE"""),"P'TREE CORNERS ")</f>
        <v>P'TREE CORNERS </v>
      </c>
      <c r="C1830" s="2"/>
    </row>
    <row r="1831" ht="15.75" customHeight="1">
      <c r="A1831" s="2">
        <f>IFERROR(__xludf.DUMMYFUNCTION("""COMPUTED_VALUE"""),45504.0)</f>
        <v>45504</v>
      </c>
      <c r="B1831" s="2" t="str">
        <f>IFERROR(__xludf.DUMMYFUNCTION("""COMPUTED_VALUE"""),"UGA/Athens")</f>
        <v>UGA/Athens</v>
      </c>
      <c r="C1831" s="2"/>
    </row>
    <row r="1832" ht="15.75" customHeight="1">
      <c r="A1832" s="2">
        <f>IFERROR(__xludf.DUMMYFUNCTION("""COMPUTED_VALUE"""),45504.0)</f>
        <v>45504</v>
      </c>
      <c r="B1832" s="2" t="str">
        <f>IFERROR(__xludf.DUMMYFUNCTION("""COMPUTED_VALUE"""),"SANDY SPRINGS ")</f>
        <v>SANDY SPRINGS </v>
      </c>
      <c r="C1832" s="2">
        <f>IFERROR(__xludf.DUMMYFUNCTION("""COMPUTED_VALUE"""),890.0)</f>
        <v>890</v>
      </c>
    </row>
    <row r="1833" ht="15.75" customHeight="1">
      <c r="A1833" s="2">
        <f>IFERROR(__xludf.DUMMYFUNCTION("""COMPUTED_VALUE"""),45504.0)</f>
        <v>45504</v>
      </c>
      <c r="B1833" s="2" t="str">
        <f>IFERROR(__xludf.DUMMYFUNCTION("""COMPUTED_VALUE"""),"INTOWN/DRUID HILLS ")</f>
        <v>INTOWN/DRUID HILLS </v>
      </c>
      <c r="C1833" s="2">
        <f>IFERROR(__xludf.DUMMYFUNCTION("""COMPUTED_VALUE"""),1607.0)</f>
        <v>1607</v>
      </c>
    </row>
    <row r="1834" ht="15.75" customHeight="1">
      <c r="A1834" s="2">
        <f>IFERROR(__xludf.DUMMYFUNCTION("""COMPUTED_VALUE"""),45504.0)</f>
        <v>45504</v>
      </c>
      <c r="B1834" s="2" t="str">
        <f>IFERROR(__xludf.DUMMYFUNCTION("""COMPUTED_VALUE"""),"SNELLVILLE")</f>
        <v>SNELLVILLE</v>
      </c>
      <c r="C1834" s="2">
        <f>IFERROR(__xludf.DUMMYFUNCTION("""COMPUTED_VALUE"""),0.0)</f>
        <v>0</v>
      </c>
    </row>
    <row r="1835" ht="15.75" customHeight="1">
      <c r="A1835" s="2">
        <f>IFERROR(__xludf.DUMMYFUNCTION("""COMPUTED_VALUE"""),45504.0)</f>
        <v>45504</v>
      </c>
      <c r="B1835" s="2" t="str">
        <f>IFERROR(__xludf.DUMMYFUNCTION("""COMPUTED_VALUE"""),"GROUPS")</f>
        <v>GROUPS</v>
      </c>
      <c r="C1835" s="2"/>
    </row>
    <row r="1836" ht="15.75" customHeight="1">
      <c r="A1836" s="2">
        <f>IFERROR(__xludf.DUMMYFUNCTION("""COMPUTED_VALUE"""),45504.0)</f>
        <v>45504</v>
      </c>
      <c r="B1836" s="2" t="str">
        <f>IFERROR(__xludf.DUMMYFUNCTION("""COMPUTED_VALUE"""),"Previous Woodstock")</f>
        <v>Previous Woodstock</v>
      </c>
      <c r="C1836" s="2"/>
    </row>
    <row r="1837" ht="15.75" customHeight="1">
      <c r="A1837" s="2">
        <f>IFERROR(__xludf.DUMMYFUNCTION("""COMPUTED_VALUE"""),45504.0)</f>
        <v>45504</v>
      </c>
      <c r="B1837" s="2" t="str">
        <f>IFERROR(__xludf.DUMMYFUNCTION("""COMPUTED_VALUE"""),"Previous Lenox/Brookhaven")</f>
        <v>Previous Lenox/Brookhaven</v>
      </c>
      <c r="C1837" s="2"/>
    </row>
    <row r="1838" ht="15.75" customHeight="1">
      <c r="A1838" s="2">
        <f>IFERROR(__xludf.DUMMYFUNCTION("""COMPUTED_VALUE"""),45504.0)</f>
        <v>45504</v>
      </c>
      <c r="B1838" s="2" t="str">
        <f>IFERROR(__xludf.DUMMYFUNCTION("""COMPUTED_VALUE"""),"Previous New Chastain")</f>
        <v>Previous New Chastain</v>
      </c>
      <c r="C1838" s="2"/>
    </row>
    <row r="1839" ht="15.75" customHeight="1">
      <c r="A1839" s="2">
        <f>IFERROR(__xludf.DUMMYFUNCTION("""COMPUTED_VALUE"""),45504.0)</f>
        <v>45504</v>
      </c>
      <c r="B1839" s="2" t="str">
        <f>IFERROR(__xludf.DUMMYFUNCTION("""COMPUTED_VALUE"""),"Previous Glenwood Park")</f>
        <v>Previous Glenwood Park</v>
      </c>
      <c r="C1839" s="2"/>
    </row>
    <row r="1840" ht="15.75" customHeight="1">
      <c r="A1840" s="2">
        <f>IFERROR(__xludf.DUMMYFUNCTION("""COMPUTED_VALUE"""),45504.0)</f>
        <v>45504</v>
      </c>
      <c r="B1840" s="2" t="str">
        <f>IFERROR(__xludf.DUMMYFUNCTION("""COMPUTED_VALUE"""),"FLOWERY BRANCH")</f>
        <v>FLOWERY BRANCH</v>
      </c>
      <c r="C1840" s="2">
        <f>IFERROR(__xludf.DUMMYFUNCTION("""COMPUTED_VALUE"""),132.0)</f>
        <v>132</v>
      </c>
    </row>
    <row r="1841" ht="15.75" customHeight="1">
      <c r="A1841" s="2">
        <f>IFERROR(__xludf.DUMMYFUNCTION("""COMPUTED_VALUE"""),45504.0)</f>
        <v>45504</v>
      </c>
      <c r="B1841" s="2" t="str">
        <f>IFERROR(__xludf.DUMMYFUNCTION("""COMPUTED_VALUE"""),"GROUPS ")</f>
        <v>GROUPS </v>
      </c>
      <c r="C1841" s="2">
        <f>IFERROR(__xludf.DUMMYFUNCTION("""COMPUTED_VALUE"""),2013.0)</f>
        <v>2013</v>
      </c>
    </row>
    <row r="1842" ht="15.75" customHeight="1">
      <c r="A1842" s="2">
        <f>IFERROR(__xludf.DUMMYFUNCTION("""COMPUTED_VALUE"""),45504.0)</f>
        <v>45504</v>
      </c>
      <c r="B1842" s="2" t="str">
        <f>IFERROR(__xludf.DUMMYFUNCTION("""COMPUTED_VALUE"""),"TOTAL")</f>
        <v>TOTAL</v>
      </c>
      <c r="C1842" s="2"/>
    </row>
    <row r="1843" ht="15.75" customHeight="1">
      <c r="A1843" s="2">
        <f>IFERROR(__xludf.DUMMYFUNCTION("""COMPUTED_VALUE"""),45504.0)</f>
        <v>45504</v>
      </c>
      <c r="B1843" s="2" t="str">
        <f>IFERROR(__xludf.DUMMYFUNCTION("""COMPUTED_VALUE"""),"Collective Learning")</f>
        <v>Collective Learning</v>
      </c>
      <c r="C1843" s="2"/>
    </row>
    <row r="1844" ht="15.75" customHeight="1">
      <c r="A1844" s="2">
        <f>IFERROR(__xludf.DUMMYFUNCTION("""COMPUTED_VALUE"""),45504.0)</f>
        <v>45504</v>
      </c>
      <c r="B1844" s="2" t="str">
        <f>IFERROR(__xludf.DUMMYFUNCTION("""COMPUTED_VALUE"""),"NOTES")</f>
        <v>NOTES</v>
      </c>
      <c r="C1844" s="2"/>
    </row>
    <row r="1845" ht="15.75" customHeight="1">
      <c r="A1845" s="2">
        <f>IFERROR(__xludf.DUMMYFUNCTION("""COMPUTED_VALUE"""),45511.0)</f>
        <v>45511</v>
      </c>
      <c r="B1845" s="2" t="str">
        <f>IFERROR(__xludf.DUMMYFUNCTION("""COMPUTED_VALUE"""),"# of Sandwiches")</f>
        <v># of Sandwiches</v>
      </c>
      <c r="C1845" s="2">
        <f>IFERROR(__xludf.DUMMYFUNCTION("""COMPUTED_VALUE"""),10953.0)</f>
        <v>10953</v>
      </c>
    </row>
    <row r="1846" ht="15.75" customHeight="1">
      <c r="A1846" s="2">
        <f>IFERROR(__xludf.DUMMYFUNCTION("""COMPUTED_VALUE"""),45511.0)</f>
        <v>45511</v>
      </c>
      <c r="B1846" s="2" t="str">
        <f>IFERROR(__xludf.DUMMYFUNCTION("""COMPUTED_VALUE"""),"ALPHARETTA")</f>
        <v>ALPHARETTA</v>
      </c>
      <c r="C1846" s="2">
        <f>IFERROR(__xludf.DUMMYFUNCTION("""COMPUTED_VALUE"""),1704.0)</f>
        <v>1704</v>
      </c>
    </row>
    <row r="1847" ht="15.75" customHeight="1">
      <c r="A1847" s="2">
        <f>IFERROR(__xludf.DUMMYFUNCTION("""COMPUTED_VALUE"""),45511.0)</f>
        <v>45511</v>
      </c>
      <c r="B1847" s="2" t="str">
        <f>IFERROR(__xludf.DUMMYFUNCTION("""COMPUTED_VALUE"""),"PREVIOUS BUCKHEAD")</f>
        <v>PREVIOUS BUCKHEAD</v>
      </c>
      <c r="C1847" s="2"/>
    </row>
    <row r="1848" ht="15.75" customHeight="1">
      <c r="A1848" s="2">
        <f>IFERROR(__xludf.DUMMYFUNCTION("""COMPUTED_VALUE"""),45511.0)</f>
        <v>45511</v>
      </c>
      <c r="B1848" s="2" t="str">
        <f>IFERROR(__xludf.DUMMYFUNCTION("""COMPUTED_VALUE"""),"PREVIOUS OAK GROVE")</f>
        <v>PREVIOUS OAK GROVE</v>
      </c>
      <c r="C1848" s="2"/>
    </row>
    <row r="1849" ht="15.75" customHeight="1">
      <c r="A1849" s="2">
        <f>IFERROR(__xludf.DUMMYFUNCTION("""COMPUTED_VALUE"""),45511.0)</f>
        <v>45511</v>
      </c>
      <c r="B1849" s="2" t="str">
        <f>IFERROR(__xludf.DUMMYFUNCTION("""COMPUTED_VALUE"""),"DUNWOODY/PTC ")</f>
        <v>DUNWOODY/PTC </v>
      </c>
      <c r="C1849" s="2">
        <f>IFERROR(__xludf.DUMMYFUNCTION("""COMPUTED_VALUE"""),1012.0)</f>
        <v>1012</v>
      </c>
    </row>
    <row r="1850" ht="15.75" customHeight="1">
      <c r="A1850" s="2">
        <f>IFERROR(__xludf.DUMMYFUNCTION("""COMPUTED_VALUE"""),45511.0)</f>
        <v>45511</v>
      </c>
      <c r="B1850" s="2" t="str">
        <f>IFERROR(__xludf.DUMMYFUNCTION("""COMPUTED_VALUE"""),"E COBB/ROSWELL")</f>
        <v>E COBB/ROSWELL</v>
      </c>
      <c r="C1850" s="2">
        <f>IFERROR(__xludf.DUMMYFUNCTION("""COMPUTED_VALUE"""),1455.0)</f>
        <v>1455</v>
      </c>
    </row>
    <row r="1851" ht="15.75" customHeight="1">
      <c r="A1851" s="2">
        <f>IFERROR(__xludf.DUMMYFUNCTION("""COMPUTED_VALUE"""),45511.0)</f>
        <v>45511</v>
      </c>
      <c r="B1851" s="2" t="str">
        <f>IFERROR(__xludf.DUMMYFUNCTION("""COMPUTED_VALUE"""),"DECATUR")</f>
        <v>DECATUR</v>
      </c>
      <c r="C1851" s="2">
        <f>IFERROR(__xludf.DUMMYFUNCTION("""COMPUTED_VALUE"""),54.0)</f>
        <v>54</v>
      </c>
    </row>
    <row r="1852" ht="15.75" customHeight="1">
      <c r="A1852" s="2">
        <f>IFERROR(__xludf.DUMMYFUNCTION("""COMPUTED_VALUE"""),45511.0)</f>
        <v>45511</v>
      </c>
      <c r="B1852" s="2" t="str">
        <f>IFERROR(__xludf.DUMMYFUNCTION("""COMPUTED_VALUE"""),"P'TREE CORNERS ")</f>
        <v>P'TREE CORNERS </v>
      </c>
      <c r="C1852" s="2"/>
    </row>
    <row r="1853" ht="15.75" customHeight="1">
      <c r="A1853" s="2">
        <f>IFERROR(__xludf.DUMMYFUNCTION("""COMPUTED_VALUE"""),45511.0)</f>
        <v>45511</v>
      </c>
      <c r="B1853" s="2" t="str">
        <f>IFERROR(__xludf.DUMMYFUNCTION("""COMPUTED_VALUE"""),"UGA/Athens")</f>
        <v>UGA/Athens</v>
      </c>
      <c r="C1853" s="2"/>
    </row>
    <row r="1854" ht="15.75" customHeight="1">
      <c r="A1854" s="2">
        <f>IFERROR(__xludf.DUMMYFUNCTION("""COMPUTED_VALUE"""),45511.0)</f>
        <v>45511</v>
      </c>
      <c r="B1854" s="2" t="str">
        <f>IFERROR(__xludf.DUMMYFUNCTION("""COMPUTED_VALUE"""),"SANDY SPRINGS ")</f>
        <v>SANDY SPRINGS </v>
      </c>
      <c r="C1854" s="2">
        <f>IFERROR(__xludf.DUMMYFUNCTION("""COMPUTED_VALUE"""),1074.0)</f>
        <v>1074</v>
      </c>
    </row>
    <row r="1855" ht="15.75" customHeight="1">
      <c r="A1855" s="2">
        <f>IFERROR(__xludf.DUMMYFUNCTION("""COMPUTED_VALUE"""),45511.0)</f>
        <v>45511</v>
      </c>
      <c r="B1855" s="2" t="str">
        <f>IFERROR(__xludf.DUMMYFUNCTION("""COMPUTED_VALUE"""),"INTOWN/DRUID HILLS ")</f>
        <v>INTOWN/DRUID HILLS </v>
      </c>
      <c r="C1855" s="2">
        <f>IFERROR(__xludf.DUMMYFUNCTION("""COMPUTED_VALUE"""),428.0)</f>
        <v>428</v>
      </c>
    </row>
    <row r="1856" ht="15.75" customHeight="1">
      <c r="A1856" s="2">
        <f>IFERROR(__xludf.DUMMYFUNCTION("""COMPUTED_VALUE"""),45511.0)</f>
        <v>45511</v>
      </c>
      <c r="B1856" s="2" t="str">
        <f>IFERROR(__xludf.DUMMYFUNCTION("""COMPUTED_VALUE"""),"SNELLVILLE")</f>
        <v>SNELLVILLE</v>
      </c>
      <c r="C1856" s="2">
        <f>IFERROR(__xludf.DUMMYFUNCTION("""COMPUTED_VALUE"""),0.0)</f>
        <v>0</v>
      </c>
    </row>
    <row r="1857" ht="15.75" customHeight="1">
      <c r="A1857" s="2">
        <f>IFERROR(__xludf.DUMMYFUNCTION("""COMPUTED_VALUE"""),45511.0)</f>
        <v>45511</v>
      </c>
      <c r="B1857" s="2" t="str">
        <f>IFERROR(__xludf.DUMMYFUNCTION("""COMPUTED_VALUE"""),"GROUPS")</f>
        <v>GROUPS</v>
      </c>
      <c r="C1857" s="2"/>
    </row>
    <row r="1858" ht="15.75" customHeight="1">
      <c r="A1858" s="2">
        <f>IFERROR(__xludf.DUMMYFUNCTION("""COMPUTED_VALUE"""),45511.0)</f>
        <v>45511</v>
      </c>
      <c r="B1858" s="2" t="str">
        <f>IFERROR(__xludf.DUMMYFUNCTION("""COMPUTED_VALUE"""),"Previous Woodstock")</f>
        <v>Previous Woodstock</v>
      </c>
      <c r="C1858" s="2"/>
    </row>
    <row r="1859" ht="15.75" customHeight="1">
      <c r="A1859" s="2">
        <f>IFERROR(__xludf.DUMMYFUNCTION("""COMPUTED_VALUE"""),45511.0)</f>
        <v>45511</v>
      </c>
      <c r="B1859" s="2" t="str">
        <f>IFERROR(__xludf.DUMMYFUNCTION("""COMPUTED_VALUE"""),"Previous Lenox/Brookhaven")</f>
        <v>Previous Lenox/Brookhaven</v>
      </c>
      <c r="C1859" s="2"/>
    </row>
    <row r="1860" ht="15.75" customHeight="1">
      <c r="A1860" s="2">
        <f>IFERROR(__xludf.DUMMYFUNCTION("""COMPUTED_VALUE"""),45511.0)</f>
        <v>45511</v>
      </c>
      <c r="B1860" s="2" t="str">
        <f>IFERROR(__xludf.DUMMYFUNCTION("""COMPUTED_VALUE"""),"Previous New Chastain")</f>
        <v>Previous New Chastain</v>
      </c>
      <c r="C1860" s="2"/>
    </row>
    <row r="1861" ht="15.75" customHeight="1">
      <c r="A1861" s="2">
        <f>IFERROR(__xludf.DUMMYFUNCTION("""COMPUTED_VALUE"""),45511.0)</f>
        <v>45511</v>
      </c>
      <c r="B1861" s="2" t="str">
        <f>IFERROR(__xludf.DUMMYFUNCTION("""COMPUTED_VALUE"""),"Previous Glenwood Park")</f>
        <v>Previous Glenwood Park</v>
      </c>
      <c r="C1861" s="2"/>
    </row>
    <row r="1862" ht="15.75" customHeight="1">
      <c r="A1862" s="2">
        <f>IFERROR(__xludf.DUMMYFUNCTION("""COMPUTED_VALUE"""),45511.0)</f>
        <v>45511</v>
      </c>
      <c r="B1862" s="2" t="str">
        <f>IFERROR(__xludf.DUMMYFUNCTION("""COMPUTED_VALUE"""),"FLOWERY BRANCH")</f>
        <v>FLOWERY BRANCH</v>
      </c>
      <c r="C1862" s="2">
        <f>IFERROR(__xludf.DUMMYFUNCTION("""COMPUTED_VALUE"""),226.0)</f>
        <v>226</v>
      </c>
    </row>
    <row r="1863" ht="15.75" customHeight="1">
      <c r="A1863" s="2">
        <f>IFERROR(__xludf.DUMMYFUNCTION("""COMPUTED_VALUE"""),45511.0)</f>
        <v>45511</v>
      </c>
      <c r="B1863" s="2" t="str">
        <f>IFERROR(__xludf.DUMMYFUNCTION("""COMPUTED_VALUE"""),"GROUPS ")</f>
        <v>GROUPS </v>
      </c>
      <c r="C1863" s="2">
        <f>IFERROR(__xludf.DUMMYFUNCTION("""COMPUTED_VALUE"""),5000.0)</f>
        <v>5000</v>
      </c>
    </row>
    <row r="1864" ht="15.75" customHeight="1">
      <c r="A1864" s="2">
        <f>IFERROR(__xludf.DUMMYFUNCTION("""COMPUTED_VALUE"""),45511.0)</f>
        <v>45511</v>
      </c>
      <c r="B1864" s="2" t="str">
        <f>IFERROR(__xludf.DUMMYFUNCTION("""COMPUTED_VALUE"""),"TOTAL")</f>
        <v>TOTAL</v>
      </c>
      <c r="C1864" s="2"/>
    </row>
    <row r="1865" ht="15.75" customHeight="1">
      <c r="A1865" s="2">
        <f>IFERROR(__xludf.DUMMYFUNCTION("""COMPUTED_VALUE"""),45511.0)</f>
        <v>45511</v>
      </c>
      <c r="B1865" s="2" t="str">
        <f>IFERROR(__xludf.DUMMYFUNCTION("""COMPUTED_VALUE"""),"Collective Learning")</f>
        <v>Collective Learning</v>
      </c>
      <c r="C1865" s="2"/>
    </row>
    <row r="1866" ht="15.75" customHeight="1">
      <c r="A1866" s="2">
        <f>IFERROR(__xludf.DUMMYFUNCTION("""COMPUTED_VALUE"""),45511.0)</f>
        <v>45511</v>
      </c>
      <c r="B1866" s="2" t="str">
        <f>IFERROR(__xludf.DUMMYFUNCTION("""COMPUTED_VALUE"""),"NOTES")</f>
        <v>NOTES</v>
      </c>
      <c r="C1866" s="2"/>
    </row>
    <row r="1867" ht="15.75" customHeight="1">
      <c r="A1867" s="2">
        <f>IFERROR(__xludf.DUMMYFUNCTION("""COMPUTED_VALUE"""),45518.0)</f>
        <v>45518</v>
      </c>
      <c r="B1867" s="2" t="str">
        <f>IFERROR(__xludf.DUMMYFUNCTION("""COMPUTED_VALUE"""),"# of Sandwiches")</f>
        <v># of Sandwiches</v>
      </c>
      <c r="C1867" s="2">
        <f>IFERROR(__xludf.DUMMYFUNCTION("""COMPUTED_VALUE"""),6132.0)</f>
        <v>6132</v>
      </c>
    </row>
    <row r="1868" ht="15.75" customHeight="1">
      <c r="A1868" s="2">
        <f>IFERROR(__xludf.DUMMYFUNCTION("""COMPUTED_VALUE"""),45518.0)</f>
        <v>45518</v>
      </c>
      <c r="B1868" s="2" t="str">
        <f>IFERROR(__xludf.DUMMYFUNCTION("""COMPUTED_VALUE"""),"ALPHARETTA")</f>
        <v>ALPHARETTA</v>
      </c>
      <c r="C1868" s="2">
        <f>IFERROR(__xludf.DUMMYFUNCTION("""COMPUTED_VALUE"""),1074.0)</f>
        <v>1074</v>
      </c>
    </row>
    <row r="1869" ht="15.75" customHeight="1">
      <c r="A1869" s="2">
        <f>IFERROR(__xludf.DUMMYFUNCTION("""COMPUTED_VALUE"""),45518.0)</f>
        <v>45518</v>
      </c>
      <c r="B1869" s="2" t="str">
        <f>IFERROR(__xludf.DUMMYFUNCTION("""COMPUTED_VALUE"""),"PREVIOUS BUCKHEAD")</f>
        <v>PREVIOUS BUCKHEAD</v>
      </c>
      <c r="C1869" s="2"/>
    </row>
    <row r="1870" ht="15.75" customHeight="1">
      <c r="A1870" s="2">
        <f>IFERROR(__xludf.DUMMYFUNCTION("""COMPUTED_VALUE"""),45518.0)</f>
        <v>45518</v>
      </c>
      <c r="B1870" s="2" t="str">
        <f>IFERROR(__xludf.DUMMYFUNCTION("""COMPUTED_VALUE"""),"PREVIOUS OAK GROVE")</f>
        <v>PREVIOUS OAK GROVE</v>
      </c>
      <c r="C1870" s="2"/>
    </row>
    <row r="1871" ht="15.75" customHeight="1">
      <c r="A1871" s="2">
        <f>IFERROR(__xludf.DUMMYFUNCTION("""COMPUTED_VALUE"""),45518.0)</f>
        <v>45518</v>
      </c>
      <c r="B1871" s="2" t="str">
        <f>IFERROR(__xludf.DUMMYFUNCTION("""COMPUTED_VALUE"""),"DUNWOODY/PTC ")</f>
        <v>DUNWOODY/PTC </v>
      </c>
      <c r="C1871" s="2">
        <f>IFERROR(__xludf.DUMMYFUNCTION("""COMPUTED_VALUE"""),2154.0)</f>
        <v>2154</v>
      </c>
    </row>
    <row r="1872" ht="15.75" customHeight="1">
      <c r="A1872" s="2">
        <f>IFERROR(__xludf.DUMMYFUNCTION("""COMPUTED_VALUE"""),45518.0)</f>
        <v>45518</v>
      </c>
      <c r="B1872" s="2" t="str">
        <f>IFERROR(__xludf.DUMMYFUNCTION("""COMPUTED_VALUE"""),"E COBB/ROSWELL")</f>
        <v>E COBB/ROSWELL</v>
      </c>
      <c r="C1872" s="2">
        <f>IFERROR(__xludf.DUMMYFUNCTION("""COMPUTED_VALUE"""),1347.0)</f>
        <v>1347</v>
      </c>
    </row>
    <row r="1873" ht="15.75" customHeight="1">
      <c r="A1873" s="2">
        <f>IFERROR(__xludf.DUMMYFUNCTION("""COMPUTED_VALUE"""),45518.0)</f>
        <v>45518</v>
      </c>
      <c r="B1873" s="2" t="str">
        <f>IFERROR(__xludf.DUMMYFUNCTION("""COMPUTED_VALUE"""),"DECATUR")</f>
        <v>DECATUR</v>
      </c>
      <c r="C1873" s="2">
        <f>IFERROR(__xludf.DUMMYFUNCTION("""COMPUTED_VALUE"""),54.0)</f>
        <v>54</v>
      </c>
    </row>
    <row r="1874" ht="15.75" customHeight="1">
      <c r="A1874" s="2">
        <f>IFERROR(__xludf.DUMMYFUNCTION("""COMPUTED_VALUE"""),45518.0)</f>
        <v>45518</v>
      </c>
      <c r="B1874" s="2" t="str">
        <f>IFERROR(__xludf.DUMMYFUNCTION("""COMPUTED_VALUE"""),"P'TREE CORNERS ")</f>
        <v>P'TREE CORNERS </v>
      </c>
      <c r="C1874" s="2"/>
    </row>
    <row r="1875" ht="15.75" customHeight="1">
      <c r="A1875" s="2">
        <f>IFERROR(__xludf.DUMMYFUNCTION("""COMPUTED_VALUE"""),45518.0)</f>
        <v>45518</v>
      </c>
      <c r="B1875" s="2" t="str">
        <f>IFERROR(__xludf.DUMMYFUNCTION("""COMPUTED_VALUE"""),"UGA/Athens")</f>
        <v>UGA/Athens</v>
      </c>
      <c r="C1875" s="2"/>
    </row>
    <row r="1876" ht="15.75" customHeight="1">
      <c r="A1876" s="2">
        <f>IFERROR(__xludf.DUMMYFUNCTION("""COMPUTED_VALUE"""),45518.0)</f>
        <v>45518</v>
      </c>
      <c r="B1876" s="2" t="str">
        <f>IFERROR(__xludf.DUMMYFUNCTION("""COMPUTED_VALUE"""),"SANDY SPRINGS ")</f>
        <v>SANDY SPRINGS </v>
      </c>
      <c r="C1876" s="2">
        <f>IFERROR(__xludf.DUMMYFUNCTION("""COMPUTED_VALUE"""),356.0)</f>
        <v>356</v>
      </c>
    </row>
    <row r="1877" ht="15.75" customHeight="1">
      <c r="A1877" s="2">
        <f>IFERROR(__xludf.DUMMYFUNCTION("""COMPUTED_VALUE"""),45518.0)</f>
        <v>45518</v>
      </c>
      <c r="B1877" s="2" t="str">
        <f>IFERROR(__xludf.DUMMYFUNCTION("""COMPUTED_VALUE"""),"INTOWN/DRUID HILLS ")</f>
        <v>INTOWN/DRUID HILLS </v>
      </c>
      <c r="C1877" s="2">
        <f>IFERROR(__xludf.DUMMYFUNCTION("""COMPUTED_VALUE"""),547.0)</f>
        <v>547</v>
      </c>
    </row>
    <row r="1878" ht="15.75" customHeight="1">
      <c r="A1878" s="2">
        <f>IFERROR(__xludf.DUMMYFUNCTION("""COMPUTED_VALUE"""),45518.0)</f>
        <v>45518</v>
      </c>
      <c r="B1878" s="2" t="str">
        <f>IFERROR(__xludf.DUMMYFUNCTION("""COMPUTED_VALUE"""),"SNELLVILLE")</f>
        <v>SNELLVILLE</v>
      </c>
      <c r="C1878" s="2">
        <f>IFERROR(__xludf.DUMMYFUNCTION("""COMPUTED_VALUE"""),0.0)</f>
        <v>0</v>
      </c>
    </row>
    <row r="1879" ht="15.75" customHeight="1">
      <c r="A1879" s="2">
        <f>IFERROR(__xludf.DUMMYFUNCTION("""COMPUTED_VALUE"""),45518.0)</f>
        <v>45518</v>
      </c>
      <c r="B1879" s="2" t="str">
        <f>IFERROR(__xludf.DUMMYFUNCTION("""COMPUTED_VALUE"""),"GROUPS")</f>
        <v>GROUPS</v>
      </c>
      <c r="C1879" s="2"/>
    </row>
    <row r="1880" ht="15.75" customHeight="1">
      <c r="A1880" s="2">
        <f>IFERROR(__xludf.DUMMYFUNCTION("""COMPUTED_VALUE"""),45518.0)</f>
        <v>45518</v>
      </c>
      <c r="B1880" s="2" t="str">
        <f>IFERROR(__xludf.DUMMYFUNCTION("""COMPUTED_VALUE"""),"Previous Woodstock")</f>
        <v>Previous Woodstock</v>
      </c>
      <c r="C1880" s="2"/>
    </row>
    <row r="1881" ht="15.75" customHeight="1">
      <c r="A1881" s="2">
        <f>IFERROR(__xludf.DUMMYFUNCTION("""COMPUTED_VALUE"""),45518.0)</f>
        <v>45518</v>
      </c>
      <c r="B1881" s="2" t="str">
        <f>IFERROR(__xludf.DUMMYFUNCTION("""COMPUTED_VALUE"""),"Previous Lenox/Brookhaven")</f>
        <v>Previous Lenox/Brookhaven</v>
      </c>
      <c r="C1881" s="2"/>
    </row>
    <row r="1882" ht="15.75" customHeight="1">
      <c r="A1882" s="2">
        <f>IFERROR(__xludf.DUMMYFUNCTION("""COMPUTED_VALUE"""),45518.0)</f>
        <v>45518</v>
      </c>
      <c r="B1882" s="2" t="str">
        <f>IFERROR(__xludf.DUMMYFUNCTION("""COMPUTED_VALUE"""),"Previous New Chastain")</f>
        <v>Previous New Chastain</v>
      </c>
      <c r="C1882" s="2"/>
    </row>
    <row r="1883" ht="15.75" customHeight="1">
      <c r="A1883" s="2">
        <f>IFERROR(__xludf.DUMMYFUNCTION("""COMPUTED_VALUE"""),45518.0)</f>
        <v>45518</v>
      </c>
      <c r="B1883" s="2" t="str">
        <f>IFERROR(__xludf.DUMMYFUNCTION("""COMPUTED_VALUE"""),"Previous Glenwood Park")</f>
        <v>Previous Glenwood Park</v>
      </c>
      <c r="C1883" s="2"/>
    </row>
    <row r="1884" ht="15.75" customHeight="1">
      <c r="A1884" s="2">
        <f>IFERROR(__xludf.DUMMYFUNCTION("""COMPUTED_VALUE"""),45518.0)</f>
        <v>45518</v>
      </c>
      <c r="B1884" s="2" t="str">
        <f>IFERROR(__xludf.DUMMYFUNCTION("""COMPUTED_VALUE"""),"FLOWERY BRANCH")</f>
        <v>FLOWERY BRANCH</v>
      </c>
      <c r="C1884" s="2">
        <f>IFERROR(__xludf.DUMMYFUNCTION("""COMPUTED_VALUE"""),150.0)</f>
        <v>150</v>
      </c>
    </row>
    <row r="1885" ht="15.75" customHeight="1">
      <c r="A1885" s="2">
        <f>IFERROR(__xludf.DUMMYFUNCTION("""COMPUTED_VALUE"""),45518.0)</f>
        <v>45518</v>
      </c>
      <c r="B1885" s="2" t="str">
        <f>IFERROR(__xludf.DUMMYFUNCTION("""COMPUTED_VALUE"""),"GROUPS ")</f>
        <v>GROUPS </v>
      </c>
      <c r="C1885" s="2">
        <f>IFERROR(__xludf.DUMMYFUNCTION("""COMPUTED_VALUE"""),450.0)</f>
        <v>450</v>
      </c>
    </row>
    <row r="1886" ht="15.75" customHeight="1">
      <c r="A1886" s="2">
        <f>IFERROR(__xludf.DUMMYFUNCTION("""COMPUTED_VALUE"""),45518.0)</f>
        <v>45518</v>
      </c>
      <c r="B1886" s="2" t="str">
        <f>IFERROR(__xludf.DUMMYFUNCTION("""COMPUTED_VALUE"""),"TOTAL")</f>
        <v>TOTAL</v>
      </c>
      <c r="C1886" s="2"/>
    </row>
    <row r="1887" ht="15.75" customHeight="1">
      <c r="A1887" s="2">
        <f>IFERROR(__xludf.DUMMYFUNCTION("""COMPUTED_VALUE"""),45518.0)</f>
        <v>45518</v>
      </c>
      <c r="B1887" s="2" t="str">
        <f>IFERROR(__xludf.DUMMYFUNCTION("""COMPUTED_VALUE"""),"Collective Learning")</f>
        <v>Collective Learning</v>
      </c>
      <c r="C1887" s="2"/>
    </row>
    <row r="1888" ht="15.75" customHeight="1">
      <c r="A1888" s="2">
        <f>IFERROR(__xludf.DUMMYFUNCTION("""COMPUTED_VALUE"""),45518.0)</f>
        <v>45518</v>
      </c>
      <c r="B1888" s="2" t="str">
        <f>IFERROR(__xludf.DUMMYFUNCTION("""COMPUTED_VALUE"""),"NOTES")</f>
        <v>NOTES</v>
      </c>
      <c r="C1888" s="2"/>
    </row>
    <row r="1889" ht="15.75" customHeight="1">
      <c r="A1889" s="2">
        <f>IFERROR(__xludf.DUMMYFUNCTION("""COMPUTED_VALUE"""),45525.0)</f>
        <v>45525</v>
      </c>
      <c r="B1889" s="2" t="str">
        <f>IFERROR(__xludf.DUMMYFUNCTION("""COMPUTED_VALUE"""),"# of Sandwiches")</f>
        <v># of Sandwiches</v>
      </c>
      <c r="C1889" s="2">
        <f>IFERROR(__xludf.DUMMYFUNCTION("""COMPUTED_VALUE"""),7711.0)</f>
        <v>7711</v>
      </c>
    </row>
    <row r="1890" ht="15.75" customHeight="1">
      <c r="A1890" s="2">
        <f>IFERROR(__xludf.DUMMYFUNCTION("""COMPUTED_VALUE"""),45525.0)</f>
        <v>45525</v>
      </c>
      <c r="B1890" s="2" t="str">
        <f>IFERROR(__xludf.DUMMYFUNCTION("""COMPUTED_VALUE"""),"ALPHARETTA")</f>
        <v>ALPHARETTA</v>
      </c>
      <c r="C1890" s="2">
        <f>IFERROR(__xludf.DUMMYFUNCTION("""COMPUTED_VALUE"""),1018.0)</f>
        <v>1018</v>
      </c>
    </row>
    <row r="1891" ht="15.75" customHeight="1">
      <c r="A1891" s="2">
        <f>IFERROR(__xludf.DUMMYFUNCTION("""COMPUTED_VALUE"""),45525.0)</f>
        <v>45525</v>
      </c>
      <c r="B1891" s="2" t="str">
        <f>IFERROR(__xludf.DUMMYFUNCTION("""COMPUTED_VALUE"""),"PREVIOUS BUCKHEAD")</f>
        <v>PREVIOUS BUCKHEAD</v>
      </c>
      <c r="C1891" s="2"/>
    </row>
    <row r="1892" ht="15.75" customHeight="1">
      <c r="A1892" s="2">
        <f>IFERROR(__xludf.DUMMYFUNCTION("""COMPUTED_VALUE"""),45525.0)</f>
        <v>45525</v>
      </c>
      <c r="B1892" s="2" t="str">
        <f>IFERROR(__xludf.DUMMYFUNCTION("""COMPUTED_VALUE"""),"PREVIOUS OAK GROVE")</f>
        <v>PREVIOUS OAK GROVE</v>
      </c>
      <c r="C1892" s="2"/>
    </row>
    <row r="1893" ht="15.75" customHeight="1">
      <c r="A1893" s="2">
        <f>IFERROR(__xludf.DUMMYFUNCTION("""COMPUTED_VALUE"""),45525.0)</f>
        <v>45525</v>
      </c>
      <c r="B1893" s="2" t="str">
        <f>IFERROR(__xludf.DUMMYFUNCTION("""COMPUTED_VALUE"""),"DUNWOODY/PTC ")</f>
        <v>DUNWOODY/PTC </v>
      </c>
      <c r="C1893" s="2">
        <f>IFERROR(__xludf.DUMMYFUNCTION("""COMPUTED_VALUE"""),1698.0)</f>
        <v>1698</v>
      </c>
    </row>
    <row r="1894" ht="15.75" customHeight="1">
      <c r="A1894" s="2">
        <f>IFERROR(__xludf.DUMMYFUNCTION("""COMPUTED_VALUE"""),45525.0)</f>
        <v>45525</v>
      </c>
      <c r="B1894" s="2" t="str">
        <f>IFERROR(__xludf.DUMMYFUNCTION("""COMPUTED_VALUE"""),"E COBB/ROSWELL")</f>
        <v>E COBB/ROSWELL</v>
      </c>
      <c r="C1894" s="2">
        <f>IFERROR(__xludf.DUMMYFUNCTION("""COMPUTED_VALUE"""),1327.0)</f>
        <v>1327</v>
      </c>
    </row>
    <row r="1895" ht="15.75" customHeight="1">
      <c r="A1895" s="2">
        <f>IFERROR(__xludf.DUMMYFUNCTION("""COMPUTED_VALUE"""),45525.0)</f>
        <v>45525</v>
      </c>
      <c r="B1895" s="2" t="str">
        <f>IFERROR(__xludf.DUMMYFUNCTION("""COMPUTED_VALUE"""),"DECATUR")</f>
        <v>DECATUR</v>
      </c>
      <c r="C1895" s="2">
        <f>IFERROR(__xludf.DUMMYFUNCTION("""COMPUTED_VALUE"""),0.0)</f>
        <v>0</v>
      </c>
    </row>
    <row r="1896" ht="15.75" customHeight="1">
      <c r="A1896" s="2">
        <f>IFERROR(__xludf.DUMMYFUNCTION("""COMPUTED_VALUE"""),45525.0)</f>
        <v>45525</v>
      </c>
      <c r="B1896" s="2" t="str">
        <f>IFERROR(__xludf.DUMMYFUNCTION("""COMPUTED_VALUE"""),"P'TREE CORNERS ")</f>
        <v>P'TREE CORNERS </v>
      </c>
      <c r="C1896" s="2"/>
    </row>
    <row r="1897" ht="15.75" customHeight="1">
      <c r="A1897" s="2">
        <f>IFERROR(__xludf.DUMMYFUNCTION("""COMPUTED_VALUE"""),45525.0)</f>
        <v>45525</v>
      </c>
      <c r="B1897" s="2" t="str">
        <f>IFERROR(__xludf.DUMMYFUNCTION("""COMPUTED_VALUE"""),"UGA/Athens")</f>
        <v>UGA/Athens</v>
      </c>
      <c r="C1897" s="2"/>
    </row>
    <row r="1898" ht="15.75" customHeight="1">
      <c r="A1898" s="2">
        <f>IFERROR(__xludf.DUMMYFUNCTION("""COMPUTED_VALUE"""),45525.0)</f>
        <v>45525</v>
      </c>
      <c r="B1898" s="2" t="str">
        <f>IFERROR(__xludf.DUMMYFUNCTION("""COMPUTED_VALUE"""),"SANDY SPRINGS ")</f>
        <v>SANDY SPRINGS </v>
      </c>
      <c r="C1898" s="2">
        <f>IFERROR(__xludf.DUMMYFUNCTION("""COMPUTED_VALUE"""),445.0)</f>
        <v>445</v>
      </c>
    </row>
    <row r="1899" ht="15.75" customHeight="1">
      <c r="A1899" s="2">
        <f>IFERROR(__xludf.DUMMYFUNCTION("""COMPUTED_VALUE"""),45525.0)</f>
        <v>45525</v>
      </c>
      <c r="B1899" s="2" t="str">
        <f>IFERROR(__xludf.DUMMYFUNCTION("""COMPUTED_VALUE"""),"INTOWN/DRUID HILLS ")</f>
        <v>INTOWN/DRUID HILLS </v>
      </c>
      <c r="C1899" s="2">
        <f>IFERROR(__xludf.DUMMYFUNCTION("""COMPUTED_VALUE"""),722.0)</f>
        <v>722</v>
      </c>
    </row>
    <row r="1900" ht="15.75" customHeight="1">
      <c r="A1900" s="2">
        <f>IFERROR(__xludf.DUMMYFUNCTION("""COMPUTED_VALUE"""),45525.0)</f>
        <v>45525</v>
      </c>
      <c r="B1900" s="2" t="str">
        <f>IFERROR(__xludf.DUMMYFUNCTION("""COMPUTED_VALUE"""),"SNELLVILLE")</f>
        <v>SNELLVILLE</v>
      </c>
      <c r="C1900" s="2">
        <f>IFERROR(__xludf.DUMMYFUNCTION("""COMPUTED_VALUE"""),0.0)</f>
        <v>0</v>
      </c>
    </row>
    <row r="1901" ht="15.75" customHeight="1">
      <c r="A1901" s="2">
        <f>IFERROR(__xludf.DUMMYFUNCTION("""COMPUTED_VALUE"""),45525.0)</f>
        <v>45525</v>
      </c>
      <c r="B1901" s="2" t="str">
        <f>IFERROR(__xludf.DUMMYFUNCTION("""COMPUTED_VALUE"""),"GROUPS")</f>
        <v>GROUPS</v>
      </c>
      <c r="C1901" s="2"/>
    </row>
    <row r="1902" ht="15.75" customHeight="1">
      <c r="A1902" s="2">
        <f>IFERROR(__xludf.DUMMYFUNCTION("""COMPUTED_VALUE"""),45525.0)</f>
        <v>45525</v>
      </c>
      <c r="B1902" s="2" t="str">
        <f>IFERROR(__xludf.DUMMYFUNCTION("""COMPUTED_VALUE"""),"Previous Woodstock")</f>
        <v>Previous Woodstock</v>
      </c>
      <c r="C1902" s="2"/>
    </row>
    <row r="1903" ht="15.75" customHeight="1">
      <c r="A1903" s="2">
        <f>IFERROR(__xludf.DUMMYFUNCTION("""COMPUTED_VALUE"""),45525.0)</f>
        <v>45525</v>
      </c>
      <c r="B1903" s="2" t="str">
        <f>IFERROR(__xludf.DUMMYFUNCTION("""COMPUTED_VALUE"""),"Previous Lenox/Brookhaven")</f>
        <v>Previous Lenox/Brookhaven</v>
      </c>
      <c r="C1903" s="2"/>
    </row>
    <row r="1904" ht="15.75" customHeight="1">
      <c r="A1904" s="2">
        <f>IFERROR(__xludf.DUMMYFUNCTION("""COMPUTED_VALUE"""),45525.0)</f>
        <v>45525</v>
      </c>
      <c r="B1904" s="2" t="str">
        <f>IFERROR(__xludf.DUMMYFUNCTION("""COMPUTED_VALUE"""),"Previous New Chastain")</f>
        <v>Previous New Chastain</v>
      </c>
      <c r="C1904" s="2"/>
    </row>
    <row r="1905" ht="15.75" customHeight="1">
      <c r="A1905" s="2">
        <f>IFERROR(__xludf.DUMMYFUNCTION("""COMPUTED_VALUE"""),45525.0)</f>
        <v>45525</v>
      </c>
      <c r="B1905" s="2" t="str">
        <f>IFERROR(__xludf.DUMMYFUNCTION("""COMPUTED_VALUE"""),"Previous Glenwood Park")</f>
        <v>Previous Glenwood Park</v>
      </c>
      <c r="C1905" s="2"/>
    </row>
    <row r="1906" ht="15.75" customHeight="1">
      <c r="A1906" s="2">
        <f>IFERROR(__xludf.DUMMYFUNCTION("""COMPUTED_VALUE"""),45525.0)</f>
        <v>45525</v>
      </c>
      <c r="B1906" s="2" t="str">
        <f>IFERROR(__xludf.DUMMYFUNCTION("""COMPUTED_VALUE"""),"FLOWERY BRANCH")</f>
        <v>FLOWERY BRANCH</v>
      </c>
      <c r="C1906" s="2">
        <f>IFERROR(__xludf.DUMMYFUNCTION("""COMPUTED_VALUE"""),175.0)</f>
        <v>175</v>
      </c>
    </row>
    <row r="1907" ht="15.75" customHeight="1">
      <c r="A1907" s="2">
        <f>IFERROR(__xludf.DUMMYFUNCTION("""COMPUTED_VALUE"""),45525.0)</f>
        <v>45525</v>
      </c>
      <c r="B1907" s="2" t="str">
        <f>IFERROR(__xludf.DUMMYFUNCTION("""COMPUTED_VALUE"""),"GROUPS ")</f>
        <v>GROUPS </v>
      </c>
      <c r="C1907" s="2">
        <f>IFERROR(__xludf.DUMMYFUNCTION("""COMPUTED_VALUE"""),2326.0)</f>
        <v>2326</v>
      </c>
    </row>
    <row r="1908" ht="15.75" customHeight="1">
      <c r="A1908" s="2">
        <f>IFERROR(__xludf.DUMMYFUNCTION("""COMPUTED_VALUE"""),45525.0)</f>
        <v>45525</v>
      </c>
      <c r="B1908" s="2" t="str">
        <f>IFERROR(__xludf.DUMMYFUNCTION("""COMPUTED_VALUE"""),"TOTAL")</f>
        <v>TOTAL</v>
      </c>
      <c r="C1908" s="2"/>
    </row>
    <row r="1909" ht="15.75" customHeight="1">
      <c r="A1909" s="2">
        <f>IFERROR(__xludf.DUMMYFUNCTION("""COMPUTED_VALUE"""),45525.0)</f>
        <v>45525</v>
      </c>
      <c r="B1909" s="2" t="str">
        <f>IFERROR(__xludf.DUMMYFUNCTION("""COMPUTED_VALUE"""),"Collective Learning")</f>
        <v>Collective Learning</v>
      </c>
      <c r="C1909" s="2"/>
    </row>
    <row r="1910" ht="15.75" customHeight="1">
      <c r="A1910" s="2">
        <f>IFERROR(__xludf.DUMMYFUNCTION("""COMPUTED_VALUE"""),45525.0)</f>
        <v>45525</v>
      </c>
      <c r="B1910" s="2" t="str">
        <f>IFERROR(__xludf.DUMMYFUNCTION("""COMPUTED_VALUE"""),"NOTES")</f>
        <v>NOTES</v>
      </c>
      <c r="C1910" s="2"/>
    </row>
    <row r="1911" ht="15.75" customHeight="1">
      <c r="A1911" s="2">
        <f>IFERROR(__xludf.DUMMYFUNCTION("""COMPUTED_VALUE"""),45532.0)</f>
        <v>45532</v>
      </c>
      <c r="B1911" s="2" t="str">
        <f>IFERROR(__xludf.DUMMYFUNCTION("""COMPUTED_VALUE"""),"# of Sandwiches")</f>
        <v># of Sandwiches</v>
      </c>
      <c r="C1911" s="2">
        <f>IFERROR(__xludf.DUMMYFUNCTION("""COMPUTED_VALUE"""),6273.0)</f>
        <v>6273</v>
      </c>
    </row>
    <row r="1912" ht="15.75" customHeight="1">
      <c r="A1912" s="2">
        <f>IFERROR(__xludf.DUMMYFUNCTION("""COMPUTED_VALUE"""),45532.0)</f>
        <v>45532</v>
      </c>
      <c r="B1912" s="2" t="str">
        <f>IFERROR(__xludf.DUMMYFUNCTION("""COMPUTED_VALUE"""),"ALPHARETTA")</f>
        <v>ALPHARETTA</v>
      </c>
      <c r="C1912" s="2">
        <f>IFERROR(__xludf.DUMMYFUNCTION("""COMPUTED_VALUE"""),1766.0)</f>
        <v>1766</v>
      </c>
    </row>
    <row r="1913" ht="15.75" customHeight="1">
      <c r="A1913" s="2">
        <f>IFERROR(__xludf.DUMMYFUNCTION("""COMPUTED_VALUE"""),45532.0)</f>
        <v>45532</v>
      </c>
      <c r="B1913" s="2" t="str">
        <f>IFERROR(__xludf.DUMMYFUNCTION("""COMPUTED_VALUE"""),"PREVIOUS BUCKHEAD")</f>
        <v>PREVIOUS BUCKHEAD</v>
      </c>
      <c r="C1913" s="2"/>
    </row>
    <row r="1914" ht="15.75" customHeight="1">
      <c r="A1914" s="2">
        <f>IFERROR(__xludf.DUMMYFUNCTION("""COMPUTED_VALUE"""),45532.0)</f>
        <v>45532</v>
      </c>
      <c r="B1914" s="2" t="str">
        <f>IFERROR(__xludf.DUMMYFUNCTION("""COMPUTED_VALUE"""),"PREVIOUS OAK GROVE")</f>
        <v>PREVIOUS OAK GROVE</v>
      </c>
      <c r="C1914" s="2"/>
    </row>
    <row r="1915" ht="15.75" customHeight="1">
      <c r="A1915" s="2">
        <f>IFERROR(__xludf.DUMMYFUNCTION("""COMPUTED_VALUE"""),45532.0)</f>
        <v>45532</v>
      </c>
      <c r="B1915" s="2" t="str">
        <f>IFERROR(__xludf.DUMMYFUNCTION("""COMPUTED_VALUE"""),"DUNWOODY/PTC ")</f>
        <v>DUNWOODY/PTC </v>
      </c>
      <c r="C1915" s="2">
        <f>IFERROR(__xludf.DUMMYFUNCTION("""COMPUTED_VALUE"""),1322.0)</f>
        <v>1322</v>
      </c>
    </row>
    <row r="1916" ht="15.75" customHeight="1">
      <c r="A1916" s="2">
        <f>IFERROR(__xludf.DUMMYFUNCTION("""COMPUTED_VALUE"""),45532.0)</f>
        <v>45532</v>
      </c>
      <c r="B1916" s="2" t="str">
        <f>IFERROR(__xludf.DUMMYFUNCTION("""COMPUTED_VALUE"""),"E COBB/ROSWELL")</f>
        <v>E COBB/ROSWELL</v>
      </c>
      <c r="C1916" s="2">
        <f>IFERROR(__xludf.DUMMYFUNCTION("""COMPUTED_VALUE"""),1290.0)</f>
        <v>1290</v>
      </c>
    </row>
    <row r="1917" ht="15.75" customHeight="1">
      <c r="A1917" s="2">
        <f>IFERROR(__xludf.DUMMYFUNCTION("""COMPUTED_VALUE"""),45532.0)</f>
        <v>45532</v>
      </c>
      <c r="B1917" s="2" t="str">
        <f>IFERROR(__xludf.DUMMYFUNCTION("""COMPUTED_VALUE"""),"DECATUR")</f>
        <v>DECATUR</v>
      </c>
      <c r="C1917" s="2">
        <f>IFERROR(__xludf.DUMMYFUNCTION("""COMPUTED_VALUE"""),54.0)</f>
        <v>54</v>
      </c>
    </row>
    <row r="1918" ht="15.75" customHeight="1">
      <c r="A1918" s="2">
        <f>IFERROR(__xludf.DUMMYFUNCTION("""COMPUTED_VALUE"""),45532.0)</f>
        <v>45532</v>
      </c>
      <c r="B1918" s="2" t="str">
        <f>IFERROR(__xludf.DUMMYFUNCTION("""COMPUTED_VALUE"""),"P'TREE CORNERS ")</f>
        <v>P'TREE CORNERS </v>
      </c>
      <c r="C1918" s="2"/>
    </row>
    <row r="1919" ht="15.75" customHeight="1">
      <c r="A1919" s="2">
        <f>IFERROR(__xludf.DUMMYFUNCTION("""COMPUTED_VALUE"""),45532.0)</f>
        <v>45532</v>
      </c>
      <c r="B1919" s="2" t="str">
        <f>IFERROR(__xludf.DUMMYFUNCTION("""COMPUTED_VALUE"""),"UGA/Athens")</f>
        <v>UGA/Athens</v>
      </c>
      <c r="C1919" s="2"/>
    </row>
    <row r="1920" ht="15.75" customHeight="1">
      <c r="A1920" s="2">
        <f>IFERROR(__xludf.DUMMYFUNCTION("""COMPUTED_VALUE"""),45532.0)</f>
        <v>45532</v>
      </c>
      <c r="B1920" s="2" t="str">
        <f>IFERROR(__xludf.DUMMYFUNCTION("""COMPUTED_VALUE"""),"SANDY SPRINGS ")</f>
        <v>SANDY SPRINGS </v>
      </c>
      <c r="C1920" s="2">
        <f>IFERROR(__xludf.DUMMYFUNCTION("""COMPUTED_VALUE"""),545.0)</f>
        <v>545</v>
      </c>
    </row>
    <row r="1921" ht="15.75" customHeight="1">
      <c r="A1921" s="2">
        <f>IFERROR(__xludf.DUMMYFUNCTION("""COMPUTED_VALUE"""),45532.0)</f>
        <v>45532</v>
      </c>
      <c r="B1921" s="2" t="str">
        <f>IFERROR(__xludf.DUMMYFUNCTION("""COMPUTED_VALUE"""),"INTOWN/DRUID HILLS ")</f>
        <v>INTOWN/DRUID HILLS </v>
      </c>
      <c r="C1921" s="2">
        <f>IFERROR(__xludf.DUMMYFUNCTION("""COMPUTED_VALUE"""),846.0)</f>
        <v>846</v>
      </c>
    </row>
    <row r="1922" ht="15.75" customHeight="1">
      <c r="A1922" s="2">
        <f>IFERROR(__xludf.DUMMYFUNCTION("""COMPUTED_VALUE"""),45532.0)</f>
        <v>45532</v>
      </c>
      <c r="B1922" s="2" t="str">
        <f>IFERROR(__xludf.DUMMYFUNCTION("""COMPUTED_VALUE"""),"SNELLVILLE")</f>
        <v>SNELLVILLE</v>
      </c>
      <c r="C1922" s="2">
        <f>IFERROR(__xludf.DUMMYFUNCTION("""COMPUTED_VALUE"""),0.0)</f>
        <v>0</v>
      </c>
    </row>
    <row r="1923" ht="15.75" customHeight="1">
      <c r="A1923" s="2">
        <f>IFERROR(__xludf.DUMMYFUNCTION("""COMPUTED_VALUE"""),45532.0)</f>
        <v>45532</v>
      </c>
      <c r="B1923" s="2" t="str">
        <f>IFERROR(__xludf.DUMMYFUNCTION("""COMPUTED_VALUE"""),"GROUPS")</f>
        <v>GROUPS</v>
      </c>
      <c r="C1923" s="2"/>
    </row>
    <row r="1924" ht="15.75" customHeight="1">
      <c r="A1924" s="2">
        <f>IFERROR(__xludf.DUMMYFUNCTION("""COMPUTED_VALUE"""),45532.0)</f>
        <v>45532</v>
      </c>
      <c r="B1924" s="2" t="str">
        <f>IFERROR(__xludf.DUMMYFUNCTION("""COMPUTED_VALUE"""),"Previous Woodstock")</f>
        <v>Previous Woodstock</v>
      </c>
      <c r="C1924" s="2"/>
    </row>
    <row r="1925" ht="15.75" customHeight="1">
      <c r="A1925" s="2">
        <f>IFERROR(__xludf.DUMMYFUNCTION("""COMPUTED_VALUE"""),45532.0)</f>
        <v>45532</v>
      </c>
      <c r="B1925" s="2" t="str">
        <f>IFERROR(__xludf.DUMMYFUNCTION("""COMPUTED_VALUE"""),"Previous Lenox/Brookhaven")</f>
        <v>Previous Lenox/Brookhaven</v>
      </c>
      <c r="C1925" s="2"/>
    </row>
    <row r="1926" ht="15.75" customHeight="1">
      <c r="A1926" s="2">
        <f>IFERROR(__xludf.DUMMYFUNCTION("""COMPUTED_VALUE"""),45532.0)</f>
        <v>45532</v>
      </c>
      <c r="B1926" s="2" t="str">
        <f>IFERROR(__xludf.DUMMYFUNCTION("""COMPUTED_VALUE"""),"Previous New Chastain")</f>
        <v>Previous New Chastain</v>
      </c>
      <c r="C1926" s="2"/>
    </row>
    <row r="1927" ht="15.75" customHeight="1">
      <c r="A1927" s="2">
        <f>IFERROR(__xludf.DUMMYFUNCTION("""COMPUTED_VALUE"""),45532.0)</f>
        <v>45532</v>
      </c>
      <c r="B1927" s="2" t="str">
        <f>IFERROR(__xludf.DUMMYFUNCTION("""COMPUTED_VALUE"""),"Previous Glenwood Park")</f>
        <v>Previous Glenwood Park</v>
      </c>
      <c r="C1927" s="2"/>
    </row>
    <row r="1928" ht="15.75" customHeight="1">
      <c r="A1928" s="2">
        <f>IFERROR(__xludf.DUMMYFUNCTION("""COMPUTED_VALUE"""),45532.0)</f>
        <v>45532</v>
      </c>
      <c r="B1928" s="2" t="str">
        <f>IFERROR(__xludf.DUMMYFUNCTION("""COMPUTED_VALUE"""),"FLOWERY BRANCH")</f>
        <v>FLOWERY BRANCH</v>
      </c>
      <c r="C1928" s="2">
        <f>IFERROR(__xludf.DUMMYFUNCTION("""COMPUTED_VALUE"""),250.0)</f>
        <v>250</v>
      </c>
    </row>
    <row r="1929" ht="15.75" customHeight="1">
      <c r="A1929" s="2">
        <f>IFERROR(__xludf.DUMMYFUNCTION("""COMPUTED_VALUE"""),45532.0)</f>
        <v>45532</v>
      </c>
      <c r="B1929" s="2" t="str">
        <f>IFERROR(__xludf.DUMMYFUNCTION("""COMPUTED_VALUE"""),"GROUPS ")</f>
        <v>GROUPS </v>
      </c>
      <c r="C1929" s="2">
        <f>IFERROR(__xludf.DUMMYFUNCTION("""COMPUTED_VALUE"""),200.0)</f>
        <v>200</v>
      </c>
    </row>
    <row r="1930" ht="15.75" customHeight="1">
      <c r="A1930" s="2">
        <f>IFERROR(__xludf.DUMMYFUNCTION("""COMPUTED_VALUE"""),45532.0)</f>
        <v>45532</v>
      </c>
      <c r="B1930" s="2" t="str">
        <f>IFERROR(__xludf.DUMMYFUNCTION("""COMPUTED_VALUE"""),"TOTAL")</f>
        <v>TOTAL</v>
      </c>
      <c r="C1930" s="2"/>
    </row>
    <row r="1931" ht="15.75" customHeight="1">
      <c r="A1931" s="2">
        <f>IFERROR(__xludf.DUMMYFUNCTION("""COMPUTED_VALUE"""),45532.0)</f>
        <v>45532</v>
      </c>
      <c r="B1931" s="2" t="str">
        <f>IFERROR(__xludf.DUMMYFUNCTION("""COMPUTED_VALUE"""),"Collective Learning")</f>
        <v>Collective Learning</v>
      </c>
      <c r="C1931" s="2"/>
    </row>
    <row r="1932" ht="15.75" customHeight="1">
      <c r="A1932" s="2">
        <f>IFERROR(__xludf.DUMMYFUNCTION("""COMPUTED_VALUE"""),45532.0)</f>
        <v>45532</v>
      </c>
      <c r="B1932" s="2" t="str">
        <f>IFERROR(__xludf.DUMMYFUNCTION("""COMPUTED_VALUE"""),"NOTES")</f>
        <v>NOTES</v>
      </c>
      <c r="C1932" s="2"/>
    </row>
    <row r="1933" ht="15.75" customHeight="1">
      <c r="A1933" s="2">
        <f>IFERROR(__xludf.DUMMYFUNCTION("""COMPUTED_VALUE"""),45539.0)</f>
        <v>45539</v>
      </c>
      <c r="B1933" s="2" t="str">
        <f>IFERROR(__xludf.DUMMYFUNCTION("""COMPUTED_VALUE"""),"# of Sandwiches")</f>
        <v># of Sandwiches</v>
      </c>
      <c r="C1933" s="2">
        <f>IFERROR(__xludf.DUMMYFUNCTION("""COMPUTED_VALUE"""),6211.0)</f>
        <v>6211</v>
      </c>
    </row>
    <row r="1934" ht="15.75" customHeight="1">
      <c r="A1934" s="2">
        <f>IFERROR(__xludf.DUMMYFUNCTION("""COMPUTED_VALUE"""),45539.0)</f>
        <v>45539</v>
      </c>
      <c r="B1934" s="2" t="str">
        <f>IFERROR(__xludf.DUMMYFUNCTION("""COMPUTED_VALUE"""),"ALPHARETTA")</f>
        <v>ALPHARETTA</v>
      </c>
      <c r="C1934" s="2">
        <f>IFERROR(__xludf.DUMMYFUNCTION("""COMPUTED_VALUE"""),1210.0)</f>
        <v>1210</v>
      </c>
    </row>
    <row r="1935" ht="15.75" customHeight="1">
      <c r="A1935" s="2">
        <f>IFERROR(__xludf.DUMMYFUNCTION("""COMPUTED_VALUE"""),45539.0)</f>
        <v>45539</v>
      </c>
      <c r="B1935" s="2" t="str">
        <f>IFERROR(__xludf.DUMMYFUNCTION("""COMPUTED_VALUE"""),"PREVIOUS BUCKHEAD")</f>
        <v>PREVIOUS BUCKHEAD</v>
      </c>
      <c r="C1935" s="2"/>
    </row>
    <row r="1936" ht="15.75" customHeight="1">
      <c r="A1936" s="2">
        <f>IFERROR(__xludf.DUMMYFUNCTION("""COMPUTED_VALUE"""),45539.0)</f>
        <v>45539</v>
      </c>
      <c r="B1936" s="2" t="str">
        <f>IFERROR(__xludf.DUMMYFUNCTION("""COMPUTED_VALUE"""),"PREVIOUS OAK GROVE")</f>
        <v>PREVIOUS OAK GROVE</v>
      </c>
      <c r="C1936" s="2"/>
    </row>
    <row r="1937" ht="15.75" customHeight="1">
      <c r="A1937" s="2">
        <f>IFERROR(__xludf.DUMMYFUNCTION("""COMPUTED_VALUE"""),45539.0)</f>
        <v>45539</v>
      </c>
      <c r="B1937" s="2" t="str">
        <f>IFERROR(__xludf.DUMMYFUNCTION("""COMPUTED_VALUE"""),"DUNWOODY/PTC ")</f>
        <v>DUNWOODY/PTC </v>
      </c>
      <c r="C1937" s="2">
        <f>IFERROR(__xludf.DUMMYFUNCTION("""COMPUTED_VALUE"""),1184.0)</f>
        <v>1184</v>
      </c>
    </row>
    <row r="1938" ht="15.75" customHeight="1">
      <c r="A1938" s="2">
        <f>IFERROR(__xludf.DUMMYFUNCTION("""COMPUTED_VALUE"""),45539.0)</f>
        <v>45539</v>
      </c>
      <c r="B1938" s="2" t="str">
        <f>IFERROR(__xludf.DUMMYFUNCTION("""COMPUTED_VALUE"""),"E COBB/ROSWELL")</f>
        <v>E COBB/ROSWELL</v>
      </c>
      <c r="C1938" s="2">
        <f>IFERROR(__xludf.DUMMYFUNCTION("""COMPUTED_VALUE"""),1148.0)</f>
        <v>1148</v>
      </c>
    </row>
    <row r="1939" ht="15.75" customHeight="1">
      <c r="A1939" s="2">
        <f>IFERROR(__xludf.DUMMYFUNCTION("""COMPUTED_VALUE"""),45539.0)</f>
        <v>45539</v>
      </c>
      <c r="B1939" s="2" t="str">
        <f>IFERROR(__xludf.DUMMYFUNCTION("""COMPUTED_VALUE"""),"DECATUR")</f>
        <v>DECATUR</v>
      </c>
      <c r="C1939" s="2">
        <f>IFERROR(__xludf.DUMMYFUNCTION("""COMPUTED_VALUE"""),54.0)</f>
        <v>54</v>
      </c>
    </row>
    <row r="1940" ht="15.75" customHeight="1">
      <c r="A1940" s="2">
        <f>IFERROR(__xludf.DUMMYFUNCTION("""COMPUTED_VALUE"""),45539.0)</f>
        <v>45539</v>
      </c>
      <c r="B1940" s="2" t="str">
        <f>IFERROR(__xludf.DUMMYFUNCTION("""COMPUTED_VALUE"""),"P'TREE CORNERS ")</f>
        <v>P'TREE CORNERS </v>
      </c>
      <c r="C1940" s="2"/>
    </row>
    <row r="1941" ht="15.75" customHeight="1">
      <c r="A1941" s="2">
        <f>IFERROR(__xludf.DUMMYFUNCTION("""COMPUTED_VALUE"""),45539.0)</f>
        <v>45539</v>
      </c>
      <c r="B1941" s="2" t="str">
        <f>IFERROR(__xludf.DUMMYFUNCTION("""COMPUTED_VALUE"""),"UGA/Athens")</f>
        <v>UGA/Athens</v>
      </c>
      <c r="C1941" s="2"/>
    </row>
    <row r="1942" ht="15.75" customHeight="1">
      <c r="A1942" s="2">
        <f>IFERROR(__xludf.DUMMYFUNCTION("""COMPUTED_VALUE"""),45539.0)</f>
        <v>45539</v>
      </c>
      <c r="B1942" s="2" t="str">
        <f>IFERROR(__xludf.DUMMYFUNCTION("""COMPUTED_VALUE"""),"SANDY SPRINGS ")</f>
        <v>SANDY SPRINGS </v>
      </c>
      <c r="C1942" s="2">
        <f>IFERROR(__xludf.DUMMYFUNCTION("""COMPUTED_VALUE"""),434.0)</f>
        <v>434</v>
      </c>
    </row>
    <row r="1943" ht="15.75" customHeight="1">
      <c r="A1943" s="2">
        <f>IFERROR(__xludf.DUMMYFUNCTION("""COMPUTED_VALUE"""),45539.0)</f>
        <v>45539</v>
      </c>
      <c r="B1943" s="2" t="str">
        <f>IFERROR(__xludf.DUMMYFUNCTION("""COMPUTED_VALUE"""),"INTOWN/DRUID HILLS ")</f>
        <v>INTOWN/DRUID HILLS </v>
      </c>
      <c r="C1943" s="2">
        <f>IFERROR(__xludf.DUMMYFUNCTION("""COMPUTED_VALUE"""),567.0)</f>
        <v>567</v>
      </c>
    </row>
    <row r="1944" ht="15.75" customHeight="1">
      <c r="A1944" s="2">
        <f>IFERROR(__xludf.DUMMYFUNCTION("""COMPUTED_VALUE"""),45539.0)</f>
        <v>45539</v>
      </c>
      <c r="B1944" s="2" t="str">
        <f>IFERROR(__xludf.DUMMYFUNCTION("""COMPUTED_VALUE"""),"SNELLVILLE")</f>
        <v>SNELLVILLE</v>
      </c>
      <c r="C1944" s="2">
        <f>IFERROR(__xludf.DUMMYFUNCTION("""COMPUTED_VALUE"""),0.0)</f>
        <v>0</v>
      </c>
    </row>
    <row r="1945" ht="15.75" customHeight="1">
      <c r="A1945" s="2">
        <f>IFERROR(__xludf.DUMMYFUNCTION("""COMPUTED_VALUE"""),45539.0)</f>
        <v>45539</v>
      </c>
      <c r="B1945" s="2" t="str">
        <f>IFERROR(__xludf.DUMMYFUNCTION("""COMPUTED_VALUE"""),"GROUPS")</f>
        <v>GROUPS</v>
      </c>
      <c r="C1945" s="2"/>
    </row>
    <row r="1946" ht="15.75" customHeight="1">
      <c r="A1946" s="2">
        <f>IFERROR(__xludf.DUMMYFUNCTION("""COMPUTED_VALUE"""),45539.0)</f>
        <v>45539</v>
      </c>
      <c r="B1946" s="2" t="str">
        <f>IFERROR(__xludf.DUMMYFUNCTION("""COMPUTED_VALUE"""),"Previous Woodstock")</f>
        <v>Previous Woodstock</v>
      </c>
      <c r="C1946" s="2"/>
    </row>
    <row r="1947" ht="15.75" customHeight="1">
      <c r="A1947" s="2">
        <f>IFERROR(__xludf.DUMMYFUNCTION("""COMPUTED_VALUE"""),45539.0)</f>
        <v>45539</v>
      </c>
      <c r="B1947" s="2" t="str">
        <f>IFERROR(__xludf.DUMMYFUNCTION("""COMPUTED_VALUE"""),"Previous Lenox/Brookhaven")</f>
        <v>Previous Lenox/Brookhaven</v>
      </c>
      <c r="C1947" s="2"/>
    </row>
    <row r="1948" ht="15.75" customHeight="1">
      <c r="A1948" s="2">
        <f>IFERROR(__xludf.DUMMYFUNCTION("""COMPUTED_VALUE"""),45539.0)</f>
        <v>45539</v>
      </c>
      <c r="B1948" s="2" t="str">
        <f>IFERROR(__xludf.DUMMYFUNCTION("""COMPUTED_VALUE"""),"Previous New Chastain")</f>
        <v>Previous New Chastain</v>
      </c>
      <c r="C1948" s="2"/>
    </row>
    <row r="1949" ht="15.75" customHeight="1">
      <c r="A1949" s="2">
        <f>IFERROR(__xludf.DUMMYFUNCTION("""COMPUTED_VALUE"""),45539.0)</f>
        <v>45539</v>
      </c>
      <c r="B1949" s="2" t="str">
        <f>IFERROR(__xludf.DUMMYFUNCTION("""COMPUTED_VALUE"""),"Previous Glenwood Park")</f>
        <v>Previous Glenwood Park</v>
      </c>
      <c r="C1949" s="2"/>
    </row>
    <row r="1950" ht="15.75" customHeight="1">
      <c r="A1950" s="2">
        <f>IFERROR(__xludf.DUMMYFUNCTION("""COMPUTED_VALUE"""),45539.0)</f>
        <v>45539</v>
      </c>
      <c r="B1950" s="2" t="str">
        <f>IFERROR(__xludf.DUMMYFUNCTION("""COMPUTED_VALUE"""),"FLOWERY BRANCH")</f>
        <v>FLOWERY BRANCH</v>
      </c>
      <c r="C1950" s="2">
        <f>IFERROR(__xludf.DUMMYFUNCTION("""COMPUTED_VALUE"""),214.0)</f>
        <v>214</v>
      </c>
    </row>
    <row r="1951" ht="15.75" customHeight="1">
      <c r="A1951" s="2">
        <f>IFERROR(__xludf.DUMMYFUNCTION("""COMPUTED_VALUE"""),45539.0)</f>
        <v>45539</v>
      </c>
      <c r="B1951" s="2" t="str">
        <f>IFERROR(__xludf.DUMMYFUNCTION("""COMPUTED_VALUE"""),"GROUPS ")</f>
        <v>GROUPS </v>
      </c>
      <c r="C1951" s="2">
        <f>IFERROR(__xludf.DUMMYFUNCTION("""COMPUTED_VALUE"""),1400.0)</f>
        <v>1400</v>
      </c>
    </row>
    <row r="1952" ht="15.75" customHeight="1">
      <c r="A1952" s="2">
        <f>IFERROR(__xludf.DUMMYFUNCTION("""COMPUTED_VALUE"""),45539.0)</f>
        <v>45539</v>
      </c>
      <c r="B1952" s="2" t="str">
        <f>IFERROR(__xludf.DUMMYFUNCTION("""COMPUTED_VALUE"""),"TOTAL")</f>
        <v>TOTAL</v>
      </c>
      <c r="C1952" s="2"/>
    </row>
    <row r="1953" ht="15.75" customHeight="1">
      <c r="A1953" s="2">
        <f>IFERROR(__xludf.DUMMYFUNCTION("""COMPUTED_VALUE"""),45539.0)</f>
        <v>45539</v>
      </c>
      <c r="B1953" s="2" t="str">
        <f>IFERROR(__xludf.DUMMYFUNCTION("""COMPUTED_VALUE"""),"Collective Learning")</f>
        <v>Collective Learning</v>
      </c>
      <c r="C1953" s="2"/>
    </row>
    <row r="1954" ht="15.75" customHeight="1">
      <c r="A1954" s="2">
        <f>IFERROR(__xludf.DUMMYFUNCTION("""COMPUTED_VALUE"""),45539.0)</f>
        <v>45539</v>
      </c>
      <c r="B1954" s="2" t="str">
        <f>IFERROR(__xludf.DUMMYFUNCTION("""COMPUTED_VALUE"""),"NOTES")</f>
        <v>NOTES</v>
      </c>
      <c r="C1954" s="2"/>
    </row>
    <row r="1955" ht="15.75" customHeight="1">
      <c r="A1955" s="2">
        <f>IFERROR(__xludf.DUMMYFUNCTION("""COMPUTED_VALUE"""),45546.0)</f>
        <v>45546</v>
      </c>
      <c r="B1955" s="2" t="str">
        <f>IFERROR(__xludf.DUMMYFUNCTION("""COMPUTED_VALUE"""),"# of Sandwiches")</f>
        <v># of Sandwiches</v>
      </c>
      <c r="C1955" s="2">
        <f>IFERROR(__xludf.DUMMYFUNCTION("""COMPUTED_VALUE"""),8608.0)</f>
        <v>8608</v>
      </c>
    </row>
    <row r="1956" ht="15.75" customHeight="1">
      <c r="A1956" s="2">
        <f>IFERROR(__xludf.DUMMYFUNCTION("""COMPUTED_VALUE"""),45546.0)</f>
        <v>45546</v>
      </c>
      <c r="B1956" s="2" t="str">
        <f>IFERROR(__xludf.DUMMYFUNCTION("""COMPUTED_VALUE"""),"ALPHARETTA")</f>
        <v>ALPHARETTA</v>
      </c>
      <c r="C1956" s="2">
        <f>IFERROR(__xludf.DUMMYFUNCTION("""COMPUTED_VALUE"""),875.0)</f>
        <v>875</v>
      </c>
    </row>
    <row r="1957" ht="15.75" customHeight="1">
      <c r="A1957" s="2">
        <f>IFERROR(__xludf.DUMMYFUNCTION("""COMPUTED_VALUE"""),45546.0)</f>
        <v>45546</v>
      </c>
      <c r="B1957" s="2" t="str">
        <f>IFERROR(__xludf.DUMMYFUNCTION("""COMPUTED_VALUE"""),"PREVIOUS BUCKHEAD")</f>
        <v>PREVIOUS BUCKHEAD</v>
      </c>
      <c r="C1957" s="2"/>
    </row>
    <row r="1958" ht="15.75" customHeight="1">
      <c r="A1958" s="2">
        <f>IFERROR(__xludf.DUMMYFUNCTION("""COMPUTED_VALUE"""),45546.0)</f>
        <v>45546</v>
      </c>
      <c r="B1958" s="2" t="str">
        <f>IFERROR(__xludf.DUMMYFUNCTION("""COMPUTED_VALUE"""),"PREVIOUS OAK GROVE")</f>
        <v>PREVIOUS OAK GROVE</v>
      </c>
      <c r="C1958" s="2"/>
    </row>
    <row r="1959" ht="15.75" customHeight="1">
      <c r="A1959" s="2">
        <f>IFERROR(__xludf.DUMMYFUNCTION("""COMPUTED_VALUE"""),45546.0)</f>
        <v>45546</v>
      </c>
      <c r="B1959" s="2" t="str">
        <f>IFERROR(__xludf.DUMMYFUNCTION("""COMPUTED_VALUE"""),"DUNWOODY/PTC ")</f>
        <v>DUNWOODY/PTC </v>
      </c>
      <c r="C1959" s="2">
        <f>IFERROR(__xludf.DUMMYFUNCTION("""COMPUTED_VALUE"""),1143.0)</f>
        <v>1143</v>
      </c>
    </row>
    <row r="1960" ht="15.75" customHeight="1">
      <c r="A1960" s="2">
        <f>IFERROR(__xludf.DUMMYFUNCTION("""COMPUTED_VALUE"""),45546.0)</f>
        <v>45546</v>
      </c>
      <c r="B1960" s="2" t="str">
        <f>IFERROR(__xludf.DUMMYFUNCTION("""COMPUTED_VALUE"""),"E COBB/ROSWELL")</f>
        <v>E COBB/ROSWELL</v>
      </c>
      <c r="C1960" s="2">
        <f>IFERROR(__xludf.DUMMYFUNCTION("""COMPUTED_VALUE"""),1133.0)</f>
        <v>1133</v>
      </c>
    </row>
    <row r="1961" ht="15.75" customHeight="1">
      <c r="A1961" s="2">
        <f>IFERROR(__xludf.DUMMYFUNCTION("""COMPUTED_VALUE"""),45546.0)</f>
        <v>45546</v>
      </c>
      <c r="B1961" s="2" t="str">
        <f>IFERROR(__xludf.DUMMYFUNCTION("""COMPUTED_VALUE"""),"DECATUR")</f>
        <v>DECATUR</v>
      </c>
      <c r="C1961" s="2">
        <f>IFERROR(__xludf.DUMMYFUNCTION("""COMPUTED_VALUE"""),54.0)</f>
        <v>54</v>
      </c>
    </row>
    <row r="1962" ht="15.75" customHeight="1">
      <c r="A1962" s="2">
        <f>IFERROR(__xludf.DUMMYFUNCTION("""COMPUTED_VALUE"""),45546.0)</f>
        <v>45546</v>
      </c>
      <c r="B1962" s="2" t="str">
        <f>IFERROR(__xludf.DUMMYFUNCTION("""COMPUTED_VALUE"""),"P'TREE CORNERS ")</f>
        <v>P'TREE CORNERS </v>
      </c>
      <c r="C1962" s="2"/>
    </row>
    <row r="1963" ht="15.75" customHeight="1">
      <c r="A1963" s="2">
        <f>IFERROR(__xludf.DUMMYFUNCTION("""COMPUTED_VALUE"""),45546.0)</f>
        <v>45546</v>
      </c>
      <c r="B1963" s="2" t="str">
        <f>IFERROR(__xludf.DUMMYFUNCTION("""COMPUTED_VALUE"""),"UGA/Athens")</f>
        <v>UGA/Athens</v>
      </c>
      <c r="C1963" s="2"/>
    </row>
    <row r="1964" ht="15.75" customHeight="1">
      <c r="A1964" s="2">
        <f>IFERROR(__xludf.DUMMYFUNCTION("""COMPUTED_VALUE"""),45546.0)</f>
        <v>45546</v>
      </c>
      <c r="B1964" s="2" t="str">
        <f>IFERROR(__xludf.DUMMYFUNCTION("""COMPUTED_VALUE"""),"SANDY SPRINGS ")</f>
        <v>SANDY SPRINGS </v>
      </c>
      <c r="C1964" s="2">
        <f>IFERROR(__xludf.DUMMYFUNCTION("""COMPUTED_VALUE"""),721.0)</f>
        <v>721</v>
      </c>
    </row>
    <row r="1965" ht="15.75" customHeight="1">
      <c r="A1965" s="2">
        <f>IFERROR(__xludf.DUMMYFUNCTION("""COMPUTED_VALUE"""),45546.0)</f>
        <v>45546</v>
      </c>
      <c r="B1965" s="2" t="str">
        <f>IFERROR(__xludf.DUMMYFUNCTION("""COMPUTED_VALUE"""),"INTOWN/DRUID HILLS ")</f>
        <v>INTOWN/DRUID HILLS </v>
      </c>
      <c r="C1965" s="2">
        <f>IFERROR(__xludf.DUMMYFUNCTION("""COMPUTED_VALUE"""),1059.0)</f>
        <v>1059</v>
      </c>
    </row>
    <row r="1966" ht="15.75" customHeight="1">
      <c r="A1966" s="2">
        <f>IFERROR(__xludf.DUMMYFUNCTION("""COMPUTED_VALUE"""),45546.0)</f>
        <v>45546</v>
      </c>
      <c r="B1966" s="2" t="str">
        <f>IFERROR(__xludf.DUMMYFUNCTION("""COMPUTED_VALUE"""),"SNELLVILLE")</f>
        <v>SNELLVILLE</v>
      </c>
      <c r="C1966" s="2">
        <f>IFERROR(__xludf.DUMMYFUNCTION("""COMPUTED_VALUE"""),0.0)</f>
        <v>0</v>
      </c>
    </row>
    <row r="1967" ht="15.75" customHeight="1">
      <c r="A1967" s="2">
        <f>IFERROR(__xludf.DUMMYFUNCTION("""COMPUTED_VALUE"""),45546.0)</f>
        <v>45546</v>
      </c>
      <c r="B1967" s="2" t="str">
        <f>IFERROR(__xludf.DUMMYFUNCTION("""COMPUTED_VALUE"""),"GROUPS")</f>
        <v>GROUPS</v>
      </c>
      <c r="C1967" s="2"/>
    </row>
    <row r="1968" ht="15.75" customHeight="1">
      <c r="A1968" s="2">
        <f>IFERROR(__xludf.DUMMYFUNCTION("""COMPUTED_VALUE"""),45546.0)</f>
        <v>45546</v>
      </c>
      <c r="B1968" s="2" t="str">
        <f>IFERROR(__xludf.DUMMYFUNCTION("""COMPUTED_VALUE"""),"Previous Woodstock")</f>
        <v>Previous Woodstock</v>
      </c>
      <c r="C1968" s="2"/>
    </row>
    <row r="1969" ht="15.75" customHeight="1">
      <c r="A1969" s="2">
        <f>IFERROR(__xludf.DUMMYFUNCTION("""COMPUTED_VALUE"""),45546.0)</f>
        <v>45546</v>
      </c>
      <c r="B1969" s="2" t="str">
        <f>IFERROR(__xludf.DUMMYFUNCTION("""COMPUTED_VALUE"""),"Previous Lenox/Brookhaven")</f>
        <v>Previous Lenox/Brookhaven</v>
      </c>
      <c r="C1969" s="2"/>
    </row>
    <row r="1970" ht="15.75" customHeight="1">
      <c r="A1970" s="2">
        <f>IFERROR(__xludf.DUMMYFUNCTION("""COMPUTED_VALUE"""),45546.0)</f>
        <v>45546</v>
      </c>
      <c r="B1970" s="2" t="str">
        <f>IFERROR(__xludf.DUMMYFUNCTION("""COMPUTED_VALUE"""),"Previous New Chastain")</f>
        <v>Previous New Chastain</v>
      </c>
      <c r="C1970" s="2"/>
    </row>
    <row r="1971" ht="15.75" customHeight="1">
      <c r="A1971" s="2">
        <f>IFERROR(__xludf.DUMMYFUNCTION("""COMPUTED_VALUE"""),45546.0)</f>
        <v>45546</v>
      </c>
      <c r="B1971" s="2" t="str">
        <f>IFERROR(__xludf.DUMMYFUNCTION("""COMPUTED_VALUE"""),"Previous Glenwood Park")</f>
        <v>Previous Glenwood Park</v>
      </c>
      <c r="C1971" s="2"/>
    </row>
    <row r="1972" ht="15.75" customHeight="1">
      <c r="A1972" s="2">
        <f>IFERROR(__xludf.DUMMYFUNCTION("""COMPUTED_VALUE"""),45546.0)</f>
        <v>45546</v>
      </c>
      <c r="B1972" s="2" t="str">
        <f>IFERROR(__xludf.DUMMYFUNCTION("""COMPUTED_VALUE"""),"FLOWERY BRANCH")</f>
        <v>FLOWERY BRANCH</v>
      </c>
      <c r="C1972" s="2">
        <f>IFERROR(__xludf.DUMMYFUNCTION("""COMPUTED_VALUE"""),223.0)</f>
        <v>223</v>
      </c>
    </row>
    <row r="1973" ht="15.75" customHeight="1">
      <c r="A1973" s="2">
        <f>IFERROR(__xludf.DUMMYFUNCTION("""COMPUTED_VALUE"""),45546.0)</f>
        <v>45546</v>
      </c>
      <c r="B1973" s="2" t="str">
        <f>IFERROR(__xludf.DUMMYFUNCTION("""COMPUTED_VALUE"""),"GROUPS ")</f>
        <v>GROUPS </v>
      </c>
      <c r="C1973" s="2">
        <f>IFERROR(__xludf.DUMMYFUNCTION("""COMPUTED_VALUE"""),3400.0)</f>
        <v>3400</v>
      </c>
    </row>
    <row r="1974" ht="15.75" customHeight="1">
      <c r="A1974" s="2">
        <f>IFERROR(__xludf.DUMMYFUNCTION("""COMPUTED_VALUE"""),45546.0)</f>
        <v>45546</v>
      </c>
      <c r="B1974" s="2" t="str">
        <f>IFERROR(__xludf.DUMMYFUNCTION("""COMPUTED_VALUE"""),"TOTAL")</f>
        <v>TOTAL</v>
      </c>
      <c r="C1974" s="2"/>
    </row>
    <row r="1975" ht="15.75" customHeight="1">
      <c r="A1975" s="2">
        <f>IFERROR(__xludf.DUMMYFUNCTION("""COMPUTED_VALUE"""),45546.0)</f>
        <v>45546</v>
      </c>
      <c r="B1975" s="2" t="str">
        <f>IFERROR(__xludf.DUMMYFUNCTION("""COMPUTED_VALUE"""),"Collective Learning")</f>
        <v>Collective Learning</v>
      </c>
      <c r="C1975" s="2"/>
    </row>
    <row r="1976" ht="15.75" customHeight="1">
      <c r="A1976" s="2">
        <f>IFERROR(__xludf.DUMMYFUNCTION("""COMPUTED_VALUE"""),45546.0)</f>
        <v>45546</v>
      </c>
      <c r="B1976" s="2" t="str">
        <f>IFERROR(__xludf.DUMMYFUNCTION("""COMPUTED_VALUE"""),"NOTES")</f>
        <v>NOTES</v>
      </c>
      <c r="C1976" s="2"/>
    </row>
    <row r="1977" ht="15.75" customHeight="1">
      <c r="A1977" s="2">
        <f>IFERROR(__xludf.DUMMYFUNCTION("""COMPUTED_VALUE"""),45553.0)</f>
        <v>45553</v>
      </c>
      <c r="B1977" s="2" t="str">
        <f>IFERROR(__xludf.DUMMYFUNCTION("""COMPUTED_VALUE"""),"# of Sandwiches")</f>
        <v># of Sandwiches</v>
      </c>
      <c r="C1977" s="2">
        <f>IFERROR(__xludf.DUMMYFUNCTION("""COMPUTED_VALUE"""),8467.0)</f>
        <v>8467</v>
      </c>
    </row>
    <row r="1978" ht="15.75" customHeight="1">
      <c r="A1978" s="2">
        <f>IFERROR(__xludf.DUMMYFUNCTION("""COMPUTED_VALUE"""),45553.0)</f>
        <v>45553</v>
      </c>
      <c r="B1978" s="2" t="str">
        <f>IFERROR(__xludf.DUMMYFUNCTION("""COMPUTED_VALUE"""),"ALPHARETTA")</f>
        <v>ALPHARETTA</v>
      </c>
      <c r="C1978" s="2">
        <f>IFERROR(__xludf.DUMMYFUNCTION("""COMPUTED_VALUE"""),1640.0)</f>
        <v>1640</v>
      </c>
    </row>
    <row r="1979" ht="15.75" customHeight="1">
      <c r="A1979" s="2">
        <f>IFERROR(__xludf.DUMMYFUNCTION("""COMPUTED_VALUE"""),45553.0)</f>
        <v>45553</v>
      </c>
      <c r="B1979" s="2" t="str">
        <f>IFERROR(__xludf.DUMMYFUNCTION("""COMPUTED_VALUE"""),"PREVIOUS BUCKHEAD")</f>
        <v>PREVIOUS BUCKHEAD</v>
      </c>
      <c r="C1979" s="2"/>
    </row>
    <row r="1980" ht="15.75" customHeight="1">
      <c r="A1980" s="2">
        <f>IFERROR(__xludf.DUMMYFUNCTION("""COMPUTED_VALUE"""),45553.0)</f>
        <v>45553</v>
      </c>
      <c r="B1980" s="2" t="str">
        <f>IFERROR(__xludf.DUMMYFUNCTION("""COMPUTED_VALUE"""),"PREVIOUS OAK GROVE")</f>
        <v>PREVIOUS OAK GROVE</v>
      </c>
      <c r="C1980" s="2"/>
    </row>
    <row r="1981" ht="15.75" customHeight="1">
      <c r="A1981" s="2">
        <f>IFERROR(__xludf.DUMMYFUNCTION("""COMPUTED_VALUE"""),45553.0)</f>
        <v>45553</v>
      </c>
      <c r="B1981" s="2" t="str">
        <f>IFERROR(__xludf.DUMMYFUNCTION("""COMPUTED_VALUE"""),"DUNWOODY/PTC ")</f>
        <v>DUNWOODY/PTC </v>
      </c>
      <c r="C1981" s="2">
        <f>IFERROR(__xludf.DUMMYFUNCTION("""COMPUTED_VALUE"""),724.0)</f>
        <v>724</v>
      </c>
    </row>
    <row r="1982" ht="15.75" customHeight="1">
      <c r="A1982" s="2">
        <f>IFERROR(__xludf.DUMMYFUNCTION("""COMPUTED_VALUE"""),45553.0)</f>
        <v>45553</v>
      </c>
      <c r="B1982" s="2" t="str">
        <f>IFERROR(__xludf.DUMMYFUNCTION("""COMPUTED_VALUE"""),"E COBB/ROSWELL")</f>
        <v>E COBB/ROSWELL</v>
      </c>
      <c r="C1982" s="2">
        <f>IFERROR(__xludf.DUMMYFUNCTION("""COMPUTED_VALUE"""),1323.0)</f>
        <v>1323</v>
      </c>
    </row>
    <row r="1983" ht="15.75" customHeight="1">
      <c r="A1983" s="2">
        <f>IFERROR(__xludf.DUMMYFUNCTION("""COMPUTED_VALUE"""),45553.0)</f>
        <v>45553</v>
      </c>
      <c r="B1983" s="2" t="str">
        <f>IFERROR(__xludf.DUMMYFUNCTION("""COMPUTED_VALUE"""),"DECATUR")</f>
        <v>DECATUR</v>
      </c>
      <c r="C1983" s="2">
        <f>IFERROR(__xludf.DUMMYFUNCTION("""COMPUTED_VALUE"""),118.0)</f>
        <v>118</v>
      </c>
    </row>
    <row r="1984" ht="15.75" customHeight="1">
      <c r="A1984" s="2">
        <f>IFERROR(__xludf.DUMMYFUNCTION("""COMPUTED_VALUE"""),45553.0)</f>
        <v>45553</v>
      </c>
      <c r="B1984" s="2" t="str">
        <f>IFERROR(__xludf.DUMMYFUNCTION("""COMPUTED_VALUE"""),"P'TREE CORNERS ")</f>
        <v>P'TREE CORNERS </v>
      </c>
      <c r="C1984" s="2"/>
    </row>
    <row r="1985" ht="15.75" customHeight="1">
      <c r="A1985" s="2">
        <f>IFERROR(__xludf.DUMMYFUNCTION("""COMPUTED_VALUE"""),45553.0)</f>
        <v>45553</v>
      </c>
      <c r="B1985" s="2" t="str">
        <f>IFERROR(__xludf.DUMMYFUNCTION("""COMPUTED_VALUE"""),"UGA/Athens")</f>
        <v>UGA/Athens</v>
      </c>
      <c r="C1985" s="2"/>
    </row>
    <row r="1986" ht="15.75" customHeight="1">
      <c r="A1986" s="2">
        <f>IFERROR(__xludf.DUMMYFUNCTION("""COMPUTED_VALUE"""),45553.0)</f>
        <v>45553</v>
      </c>
      <c r="B1986" s="2" t="str">
        <f>IFERROR(__xludf.DUMMYFUNCTION("""COMPUTED_VALUE"""),"SANDY SPRINGS ")</f>
        <v>SANDY SPRINGS </v>
      </c>
      <c r="C1986" s="2">
        <f>IFERROR(__xludf.DUMMYFUNCTION("""COMPUTED_VALUE"""),747.0)</f>
        <v>747</v>
      </c>
    </row>
    <row r="1987" ht="15.75" customHeight="1">
      <c r="A1987" s="2">
        <f>IFERROR(__xludf.DUMMYFUNCTION("""COMPUTED_VALUE"""),45553.0)</f>
        <v>45553</v>
      </c>
      <c r="B1987" s="2" t="str">
        <f>IFERROR(__xludf.DUMMYFUNCTION("""COMPUTED_VALUE"""),"INTOWN/DRUID HILLS ")</f>
        <v>INTOWN/DRUID HILLS </v>
      </c>
      <c r="C1987" s="2">
        <f>IFERROR(__xludf.DUMMYFUNCTION("""COMPUTED_VALUE"""),406.0)</f>
        <v>406</v>
      </c>
    </row>
    <row r="1988" ht="15.75" customHeight="1">
      <c r="A1988" s="2">
        <f>IFERROR(__xludf.DUMMYFUNCTION("""COMPUTED_VALUE"""),45553.0)</f>
        <v>45553</v>
      </c>
      <c r="B1988" s="2" t="str">
        <f>IFERROR(__xludf.DUMMYFUNCTION("""COMPUTED_VALUE"""),"SNELLVILLE")</f>
        <v>SNELLVILLE</v>
      </c>
      <c r="C1988" s="2">
        <f>IFERROR(__xludf.DUMMYFUNCTION("""COMPUTED_VALUE"""),0.0)</f>
        <v>0</v>
      </c>
    </row>
    <row r="1989" ht="15.75" customHeight="1">
      <c r="A1989" s="2">
        <f>IFERROR(__xludf.DUMMYFUNCTION("""COMPUTED_VALUE"""),45553.0)</f>
        <v>45553</v>
      </c>
      <c r="B1989" s="2" t="str">
        <f>IFERROR(__xludf.DUMMYFUNCTION("""COMPUTED_VALUE"""),"GROUPS")</f>
        <v>GROUPS</v>
      </c>
      <c r="C1989" s="2"/>
    </row>
    <row r="1990" ht="15.75" customHeight="1">
      <c r="A1990" s="2">
        <f>IFERROR(__xludf.DUMMYFUNCTION("""COMPUTED_VALUE"""),45553.0)</f>
        <v>45553</v>
      </c>
      <c r="B1990" s="2" t="str">
        <f>IFERROR(__xludf.DUMMYFUNCTION("""COMPUTED_VALUE"""),"Previous Woodstock")</f>
        <v>Previous Woodstock</v>
      </c>
      <c r="C1990" s="2"/>
    </row>
    <row r="1991" ht="15.75" customHeight="1">
      <c r="A1991" s="2">
        <f>IFERROR(__xludf.DUMMYFUNCTION("""COMPUTED_VALUE"""),45553.0)</f>
        <v>45553</v>
      </c>
      <c r="B1991" s="2" t="str">
        <f>IFERROR(__xludf.DUMMYFUNCTION("""COMPUTED_VALUE"""),"Previous Lenox/Brookhaven")</f>
        <v>Previous Lenox/Brookhaven</v>
      </c>
      <c r="C1991" s="2"/>
    </row>
    <row r="1992" ht="15.75" customHeight="1">
      <c r="A1992" s="2">
        <f>IFERROR(__xludf.DUMMYFUNCTION("""COMPUTED_VALUE"""),45553.0)</f>
        <v>45553</v>
      </c>
      <c r="B1992" s="2" t="str">
        <f>IFERROR(__xludf.DUMMYFUNCTION("""COMPUTED_VALUE"""),"Previous New Chastain")</f>
        <v>Previous New Chastain</v>
      </c>
      <c r="C1992" s="2"/>
    </row>
    <row r="1993" ht="15.75" customHeight="1">
      <c r="A1993" s="2">
        <f>IFERROR(__xludf.DUMMYFUNCTION("""COMPUTED_VALUE"""),45553.0)</f>
        <v>45553</v>
      </c>
      <c r="B1993" s="2" t="str">
        <f>IFERROR(__xludf.DUMMYFUNCTION("""COMPUTED_VALUE"""),"Previous Glenwood Park")</f>
        <v>Previous Glenwood Park</v>
      </c>
      <c r="C1993" s="2"/>
    </row>
    <row r="1994" ht="15.75" customHeight="1">
      <c r="A1994" s="2">
        <f>IFERROR(__xludf.DUMMYFUNCTION("""COMPUTED_VALUE"""),45553.0)</f>
        <v>45553</v>
      </c>
      <c r="B1994" s="2" t="str">
        <f>IFERROR(__xludf.DUMMYFUNCTION("""COMPUTED_VALUE"""),"FLOWERY BRANCH")</f>
        <v>FLOWERY BRANCH</v>
      </c>
      <c r="C1994" s="2">
        <f>IFERROR(__xludf.DUMMYFUNCTION("""COMPUTED_VALUE"""),494.0)</f>
        <v>494</v>
      </c>
    </row>
    <row r="1995" ht="15.75" customHeight="1">
      <c r="A1995" s="2">
        <f>IFERROR(__xludf.DUMMYFUNCTION("""COMPUTED_VALUE"""),45553.0)</f>
        <v>45553</v>
      </c>
      <c r="B1995" s="2" t="str">
        <f>IFERROR(__xludf.DUMMYFUNCTION("""COMPUTED_VALUE"""),"GROUPS ")</f>
        <v>GROUPS </v>
      </c>
      <c r="C1995" s="2">
        <f>IFERROR(__xludf.DUMMYFUNCTION("""COMPUTED_VALUE"""),3015.0)</f>
        <v>3015</v>
      </c>
    </row>
    <row r="1996" ht="15.75" customHeight="1">
      <c r="A1996" s="2">
        <f>IFERROR(__xludf.DUMMYFUNCTION("""COMPUTED_VALUE"""),45553.0)</f>
        <v>45553</v>
      </c>
      <c r="B1996" s="2" t="str">
        <f>IFERROR(__xludf.DUMMYFUNCTION("""COMPUTED_VALUE"""),"TOTAL")</f>
        <v>TOTAL</v>
      </c>
      <c r="C1996" s="2"/>
    </row>
    <row r="1997" ht="15.75" customHeight="1">
      <c r="A1997" s="2">
        <f>IFERROR(__xludf.DUMMYFUNCTION("""COMPUTED_VALUE"""),45553.0)</f>
        <v>45553</v>
      </c>
      <c r="B1997" s="2" t="str">
        <f>IFERROR(__xludf.DUMMYFUNCTION("""COMPUTED_VALUE"""),"Collective Learning")</f>
        <v>Collective Learning</v>
      </c>
      <c r="C1997" s="2"/>
    </row>
    <row r="1998" ht="15.75" customHeight="1">
      <c r="A1998" s="2">
        <f>IFERROR(__xludf.DUMMYFUNCTION("""COMPUTED_VALUE"""),45553.0)</f>
        <v>45553</v>
      </c>
      <c r="B1998" s="2" t="str">
        <f>IFERROR(__xludf.DUMMYFUNCTION("""COMPUTED_VALUE"""),"NOTES")</f>
        <v>NOTES</v>
      </c>
      <c r="C1998" s="2"/>
    </row>
    <row r="1999" ht="15.75" customHeight="1">
      <c r="A1999" s="2">
        <f>IFERROR(__xludf.DUMMYFUNCTION("""COMPUTED_VALUE"""),45560.0)</f>
        <v>45560</v>
      </c>
      <c r="B1999" s="2" t="str">
        <f>IFERROR(__xludf.DUMMYFUNCTION("""COMPUTED_VALUE"""),"# of Sandwiches")</f>
        <v># of Sandwiches</v>
      </c>
      <c r="C1999" s="2">
        <f>IFERROR(__xludf.DUMMYFUNCTION("""COMPUTED_VALUE"""),12267.0)</f>
        <v>12267</v>
      </c>
    </row>
    <row r="2000" ht="15.75" customHeight="1">
      <c r="A2000" s="2">
        <f>IFERROR(__xludf.DUMMYFUNCTION("""COMPUTED_VALUE"""),45560.0)</f>
        <v>45560</v>
      </c>
      <c r="B2000" s="2" t="str">
        <f>IFERROR(__xludf.DUMMYFUNCTION("""COMPUTED_VALUE"""),"ALPHARETTA")</f>
        <v>ALPHARETTA</v>
      </c>
      <c r="C2000" s="2">
        <f>IFERROR(__xludf.DUMMYFUNCTION("""COMPUTED_VALUE"""),1946.0)</f>
        <v>1946</v>
      </c>
    </row>
    <row r="2001" ht="15.75" customHeight="1">
      <c r="A2001" s="2">
        <f>IFERROR(__xludf.DUMMYFUNCTION("""COMPUTED_VALUE"""),45560.0)</f>
        <v>45560</v>
      </c>
      <c r="B2001" s="2" t="str">
        <f>IFERROR(__xludf.DUMMYFUNCTION("""COMPUTED_VALUE"""),"PREVIOUS BUCKHEAD")</f>
        <v>PREVIOUS BUCKHEAD</v>
      </c>
      <c r="C2001" s="2"/>
    </row>
    <row r="2002" ht="15.75" customHeight="1">
      <c r="A2002" s="2">
        <f>IFERROR(__xludf.DUMMYFUNCTION("""COMPUTED_VALUE"""),45560.0)</f>
        <v>45560</v>
      </c>
      <c r="B2002" s="2" t="str">
        <f>IFERROR(__xludf.DUMMYFUNCTION("""COMPUTED_VALUE"""),"PREVIOUS OAK GROVE")</f>
        <v>PREVIOUS OAK GROVE</v>
      </c>
      <c r="C2002" s="2"/>
    </row>
    <row r="2003" ht="15.75" customHeight="1">
      <c r="A2003" s="2">
        <f>IFERROR(__xludf.DUMMYFUNCTION("""COMPUTED_VALUE"""),45560.0)</f>
        <v>45560</v>
      </c>
      <c r="B2003" s="2" t="str">
        <f>IFERROR(__xludf.DUMMYFUNCTION("""COMPUTED_VALUE"""),"DUNWOODY/PTC ")</f>
        <v>DUNWOODY/PTC </v>
      </c>
      <c r="C2003" s="2">
        <f>IFERROR(__xludf.DUMMYFUNCTION("""COMPUTED_VALUE"""),1836.0)</f>
        <v>1836</v>
      </c>
    </row>
    <row r="2004" ht="15.75" customHeight="1">
      <c r="A2004" s="2">
        <f>IFERROR(__xludf.DUMMYFUNCTION("""COMPUTED_VALUE"""),45560.0)</f>
        <v>45560</v>
      </c>
      <c r="B2004" s="2" t="str">
        <f>IFERROR(__xludf.DUMMYFUNCTION("""COMPUTED_VALUE"""),"E COBB/ROSWELL")</f>
        <v>E COBB/ROSWELL</v>
      </c>
      <c r="C2004" s="2">
        <f>IFERROR(__xludf.DUMMYFUNCTION("""COMPUTED_VALUE"""),989.0)</f>
        <v>989</v>
      </c>
    </row>
    <row r="2005" ht="15.75" customHeight="1">
      <c r="A2005" s="2">
        <f>IFERROR(__xludf.DUMMYFUNCTION("""COMPUTED_VALUE"""),45560.0)</f>
        <v>45560</v>
      </c>
      <c r="B2005" s="2" t="str">
        <f>IFERROR(__xludf.DUMMYFUNCTION("""COMPUTED_VALUE"""),"DECATUR")</f>
        <v>DECATUR</v>
      </c>
      <c r="C2005" s="2">
        <f>IFERROR(__xludf.DUMMYFUNCTION("""COMPUTED_VALUE"""),0.0)</f>
        <v>0</v>
      </c>
    </row>
    <row r="2006" ht="15.75" customHeight="1">
      <c r="A2006" s="2">
        <f>IFERROR(__xludf.DUMMYFUNCTION("""COMPUTED_VALUE"""),45560.0)</f>
        <v>45560</v>
      </c>
      <c r="B2006" s="2" t="str">
        <f>IFERROR(__xludf.DUMMYFUNCTION("""COMPUTED_VALUE"""),"P'TREE CORNERS ")</f>
        <v>P'TREE CORNERS </v>
      </c>
      <c r="C2006" s="2"/>
    </row>
    <row r="2007" ht="15.75" customHeight="1">
      <c r="A2007" s="2">
        <f>IFERROR(__xludf.DUMMYFUNCTION("""COMPUTED_VALUE"""),45560.0)</f>
        <v>45560</v>
      </c>
      <c r="B2007" s="2" t="str">
        <f>IFERROR(__xludf.DUMMYFUNCTION("""COMPUTED_VALUE"""),"UGA/Athens")</f>
        <v>UGA/Athens</v>
      </c>
      <c r="C2007" s="2"/>
    </row>
    <row r="2008" ht="15.75" customHeight="1">
      <c r="A2008" s="2">
        <f>IFERROR(__xludf.DUMMYFUNCTION("""COMPUTED_VALUE"""),45560.0)</f>
        <v>45560</v>
      </c>
      <c r="B2008" s="2" t="str">
        <f>IFERROR(__xludf.DUMMYFUNCTION("""COMPUTED_VALUE"""),"SANDY SPRINGS ")</f>
        <v>SANDY SPRINGS </v>
      </c>
      <c r="C2008" s="2">
        <f>IFERROR(__xludf.DUMMYFUNCTION("""COMPUTED_VALUE"""),510.0)</f>
        <v>510</v>
      </c>
    </row>
    <row r="2009" ht="15.75" customHeight="1">
      <c r="A2009" s="2">
        <f>IFERROR(__xludf.DUMMYFUNCTION("""COMPUTED_VALUE"""),45560.0)</f>
        <v>45560</v>
      </c>
      <c r="B2009" s="2" t="str">
        <f>IFERROR(__xludf.DUMMYFUNCTION("""COMPUTED_VALUE"""),"INTOWN/DRUID HILLS ")</f>
        <v>INTOWN/DRUID HILLS </v>
      </c>
      <c r="C2009" s="2">
        <f>IFERROR(__xludf.DUMMYFUNCTION("""COMPUTED_VALUE"""),791.0)</f>
        <v>791</v>
      </c>
    </row>
    <row r="2010" ht="15.75" customHeight="1">
      <c r="A2010" s="2">
        <f>IFERROR(__xludf.DUMMYFUNCTION("""COMPUTED_VALUE"""),45560.0)</f>
        <v>45560</v>
      </c>
      <c r="B2010" s="2" t="str">
        <f>IFERROR(__xludf.DUMMYFUNCTION("""COMPUTED_VALUE"""),"SNELLVILLE")</f>
        <v>SNELLVILLE</v>
      </c>
      <c r="C2010" s="2">
        <f>IFERROR(__xludf.DUMMYFUNCTION("""COMPUTED_VALUE"""),0.0)</f>
        <v>0</v>
      </c>
    </row>
    <row r="2011" ht="15.75" customHeight="1">
      <c r="A2011" s="2">
        <f>IFERROR(__xludf.DUMMYFUNCTION("""COMPUTED_VALUE"""),45560.0)</f>
        <v>45560</v>
      </c>
      <c r="B2011" s="2" t="str">
        <f>IFERROR(__xludf.DUMMYFUNCTION("""COMPUTED_VALUE"""),"GROUPS")</f>
        <v>GROUPS</v>
      </c>
      <c r="C2011" s="2"/>
    </row>
    <row r="2012" ht="15.75" customHeight="1">
      <c r="A2012" s="2">
        <f>IFERROR(__xludf.DUMMYFUNCTION("""COMPUTED_VALUE"""),45560.0)</f>
        <v>45560</v>
      </c>
      <c r="B2012" s="2" t="str">
        <f>IFERROR(__xludf.DUMMYFUNCTION("""COMPUTED_VALUE"""),"Previous Woodstock")</f>
        <v>Previous Woodstock</v>
      </c>
      <c r="C2012" s="2"/>
    </row>
    <row r="2013" ht="15.75" customHeight="1">
      <c r="A2013" s="2">
        <f>IFERROR(__xludf.DUMMYFUNCTION("""COMPUTED_VALUE"""),45560.0)</f>
        <v>45560</v>
      </c>
      <c r="B2013" s="2" t="str">
        <f>IFERROR(__xludf.DUMMYFUNCTION("""COMPUTED_VALUE"""),"Previous Lenox/Brookhaven")</f>
        <v>Previous Lenox/Brookhaven</v>
      </c>
      <c r="C2013" s="2"/>
    </row>
    <row r="2014" ht="15.75" customHeight="1">
      <c r="A2014" s="2">
        <f>IFERROR(__xludf.DUMMYFUNCTION("""COMPUTED_VALUE"""),45560.0)</f>
        <v>45560</v>
      </c>
      <c r="B2014" s="2" t="str">
        <f>IFERROR(__xludf.DUMMYFUNCTION("""COMPUTED_VALUE"""),"Previous New Chastain")</f>
        <v>Previous New Chastain</v>
      </c>
      <c r="C2014" s="2"/>
    </row>
    <row r="2015" ht="15.75" customHeight="1">
      <c r="A2015" s="2">
        <f>IFERROR(__xludf.DUMMYFUNCTION("""COMPUTED_VALUE"""),45560.0)</f>
        <v>45560</v>
      </c>
      <c r="B2015" s="2" t="str">
        <f>IFERROR(__xludf.DUMMYFUNCTION("""COMPUTED_VALUE"""),"Previous Glenwood Park")</f>
        <v>Previous Glenwood Park</v>
      </c>
      <c r="C2015" s="2"/>
    </row>
    <row r="2016" ht="15.75" customHeight="1">
      <c r="A2016" s="2">
        <f>IFERROR(__xludf.DUMMYFUNCTION("""COMPUTED_VALUE"""),45560.0)</f>
        <v>45560</v>
      </c>
      <c r="B2016" s="2" t="str">
        <f>IFERROR(__xludf.DUMMYFUNCTION("""COMPUTED_VALUE"""),"FLOWERY BRANCH")</f>
        <v>FLOWERY BRANCH</v>
      </c>
      <c r="C2016" s="2">
        <f>IFERROR(__xludf.DUMMYFUNCTION("""COMPUTED_VALUE"""),545.0)</f>
        <v>545</v>
      </c>
    </row>
    <row r="2017" ht="15.75" customHeight="1">
      <c r="A2017" s="2">
        <f>IFERROR(__xludf.DUMMYFUNCTION("""COMPUTED_VALUE"""),45560.0)</f>
        <v>45560</v>
      </c>
      <c r="B2017" s="2" t="str">
        <f>IFERROR(__xludf.DUMMYFUNCTION("""COMPUTED_VALUE"""),"GROUPS ")</f>
        <v>GROUPS </v>
      </c>
      <c r="C2017" s="2">
        <f>IFERROR(__xludf.DUMMYFUNCTION("""COMPUTED_VALUE"""),5650.0)</f>
        <v>5650</v>
      </c>
    </row>
    <row r="2018" ht="15.75" customHeight="1">
      <c r="A2018" s="2">
        <f>IFERROR(__xludf.DUMMYFUNCTION("""COMPUTED_VALUE"""),45560.0)</f>
        <v>45560</v>
      </c>
      <c r="B2018" s="2" t="str">
        <f>IFERROR(__xludf.DUMMYFUNCTION("""COMPUTED_VALUE"""),"TOTAL")</f>
        <v>TOTAL</v>
      </c>
      <c r="C2018" s="2"/>
    </row>
    <row r="2019" ht="15.75" customHeight="1">
      <c r="A2019" s="2">
        <f>IFERROR(__xludf.DUMMYFUNCTION("""COMPUTED_VALUE"""),45560.0)</f>
        <v>45560</v>
      </c>
      <c r="B2019" s="2" t="str">
        <f>IFERROR(__xludf.DUMMYFUNCTION("""COMPUTED_VALUE"""),"Collective Learning")</f>
        <v>Collective Learning</v>
      </c>
      <c r="C2019" s="2"/>
    </row>
    <row r="2020" ht="15.75" customHeight="1">
      <c r="A2020" s="2">
        <f>IFERROR(__xludf.DUMMYFUNCTION("""COMPUTED_VALUE"""),45560.0)</f>
        <v>45560</v>
      </c>
      <c r="B2020" s="2" t="str">
        <f>IFERROR(__xludf.DUMMYFUNCTION("""COMPUTED_VALUE"""),"NOTES")</f>
        <v>NOTES</v>
      </c>
      <c r="C2020" s="2"/>
    </row>
    <row r="2021" ht="15.75" customHeight="1">
      <c r="A2021" s="2">
        <f>IFERROR(__xludf.DUMMYFUNCTION("""COMPUTED_VALUE"""),45567.0)</f>
        <v>45567</v>
      </c>
      <c r="B2021" s="2" t="str">
        <f>IFERROR(__xludf.DUMMYFUNCTION("""COMPUTED_VALUE"""),"# of Sandwiches")</f>
        <v># of Sandwiches</v>
      </c>
      <c r="C2021" s="2">
        <f>IFERROR(__xludf.DUMMYFUNCTION("""COMPUTED_VALUE"""),14023.0)</f>
        <v>14023</v>
      </c>
    </row>
    <row r="2022" ht="15.75" customHeight="1">
      <c r="A2022" s="2">
        <f>IFERROR(__xludf.DUMMYFUNCTION("""COMPUTED_VALUE"""),45567.0)</f>
        <v>45567</v>
      </c>
      <c r="B2022" s="2" t="str">
        <f>IFERROR(__xludf.DUMMYFUNCTION("""COMPUTED_VALUE"""),"ALPHARETTA")</f>
        <v>ALPHARETTA</v>
      </c>
      <c r="C2022" s="2"/>
    </row>
    <row r="2023" ht="15.75" customHeight="1">
      <c r="A2023" s="2">
        <f>IFERROR(__xludf.DUMMYFUNCTION("""COMPUTED_VALUE"""),45567.0)</f>
        <v>45567</v>
      </c>
      <c r="B2023" s="2" t="str">
        <f>IFERROR(__xludf.DUMMYFUNCTION("""COMPUTED_VALUE"""),"PREVIOUS BUCKHEAD")</f>
        <v>PREVIOUS BUCKHEAD</v>
      </c>
      <c r="C2023" s="2"/>
    </row>
    <row r="2024" ht="15.75" customHeight="1">
      <c r="A2024" s="2">
        <f>IFERROR(__xludf.DUMMYFUNCTION("""COMPUTED_VALUE"""),45567.0)</f>
        <v>45567</v>
      </c>
      <c r="B2024" s="2" t="str">
        <f>IFERROR(__xludf.DUMMYFUNCTION("""COMPUTED_VALUE"""),"PREVIOUS OAK GROVE")</f>
        <v>PREVIOUS OAK GROVE</v>
      </c>
      <c r="C2024" s="2"/>
    </row>
    <row r="2025" ht="15.75" customHeight="1">
      <c r="A2025" s="2">
        <f>IFERROR(__xludf.DUMMYFUNCTION("""COMPUTED_VALUE"""),45567.0)</f>
        <v>45567</v>
      </c>
      <c r="B2025" s="2" t="str">
        <f>IFERROR(__xludf.DUMMYFUNCTION("""COMPUTED_VALUE"""),"DUNWOODY/PTC ")</f>
        <v>DUNWOODY/PTC </v>
      </c>
      <c r="C2025" s="2"/>
    </row>
    <row r="2026" ht="15.75" customHeight="1">
      <c r="A2026" s="2">
        <f>IFERROR(__xludf.DUMMYFUNCTION("""COMPUTED_VALUE"""),45567.0)</f>
        <v>45567</v>
      </c>
      <c r="B2026" s="2" t="str">
        <f>IFERROR(__xludf.DUMMYFUNCTION("""COMPUTED_VALUE"""),"E COBB/ROSWELL")</f>
        <v>E COBB/ROSWELL</v>
      </c>
      <c r="C2026" s="2"/>
    </row>
    <row r="2027" ht="15.75" customHeight="1">
      <c r="A2027" s="2">
        <f>IFERROR(__xludf.DUMMYFUNCTION("""COMPUTED_VALUE"""),45567.0)</f>
        <v>45567</v>
      </c>
      <c r="B2027" s="2" t="str">
        <f>IFERROR(__xludf.DUMMYFUNCTION("""COMPUTED_VALUE"""),"DECATUR")</f>
        <v>DECATUR</v>
      </c>
      <c r="C2027" s="2" t="str">
        <f>IFERROR(__xludf.DUMMYFUNCTION("""COMPUTED_VALUE"""),"*")</f>
        <v>*</v>
      </c>
    </row>
    <row r="2028" ht="15.75" customHeight="1">
      <c r="A2028" s="2">
        <f>IFERROR(__xludf.DUMMYFUNCTION("""COMPUTED_VALUE"""),45567.0)</f>
        <v>45567</v>
      </c>
      <c r="B2028" s="2" t="str">
        <f>IFERROR(__xludf.DUMMYFUNCTION("""COMPUTED_VALUE"""),"P'TREE CORNERS ")</f>
        <v>P'TREE CORNERS </v>
      </c>
      <c r="C2028" s="2"/>
    </row>
    <row r="2029" ht="15.75" customHeight="1">
      <c r="A2029" s="2">
        <f>IFERROR(__xludf.DUMMYFUNCTION("""COMPUTED_VALUE"""),45567.0)</f>
        <v>45567</v>
      </c>
      <c r="B2029" s="2" t="str">
        <f>IFERROR(__xludf.DUMMYFUNCTION("""COMPUTED_VALUE"""),"UGA/Athens")</f>
        <v>UGA/Athens</v>
      </c>
      <c r="C2029" s="2"/>
    </row>
    <row r="2030" ht="15.75" customHeight="1">
      <c r="A2030" s="2">
        <f>IFERROR(__xludf.DUMMYFUNCTION("""COMPUTED_VALUE"""),45567.0)</f>
        <v>45567</v>
      </c>
      <c r="B2030" s="2" t="str">
        <f>IFERROR(__xludf.DUMMYFUNCTION("""COMPUTED_VALUE"""),"SANDY SPRINGS ")</f>
        <v>SANDY SPRINGS </v>
      </c>
      <c r="C2030" s="2"/>
    </row>
    <row r="2031" ht="15.75" customHeight="1">
      <c r="A2031" s="2">
        <f>IFERROR(__xludf.DUMMYFUNCTION("""COMPUTED_VALUE"""),45567.0)</f>
        <v>45567</v>
      </c>
      <c r="B2031" s="2" t="str">
        <f>IFERROR(__xludf.DUMMYFUNCTION("""COMPUTED_VALUE"""),"INTOWN/DRUID HILLS ")</f>
        <v>INTOWN/DRUID HILLS </v>
      </c>
      <c r="C2031" s="2"/>
    </row>
    <row r="2032" ht="15.75" customHeight="1">
      <c r="A2032" s="2">
        <f>IFERROR(__xludf.DUMMYFUNCTION("""COMPUTED_VALUE"""),45567.0)</f>
        <v>45567</v>
      </c>
      <c r="B2032" s="2" t="str">
        <f>IFERROR(__xludf.DUMMYFUNCTION("""COMPUTED_VALUE"""),"SNELLVILLE")</f>
        <v>SNELLVILLE</v>
      </c>
      <c r="C2032" s="2">
        <f>IFERROR(__xludf.DUMMYFUNCTION("""COMPUTED_VALUE"""),0.0)</f>
        <v>0</v>
      </c>
    </row>
    <row r="2033" ht="15.75" customHeight="1">
      <c r="A2033" s="2">
        <f>IFERROR(__xludf.DUMMYFUNCTION("""COMPUTED_VALUE"""),45567.0)</f>
        <v>45567</v>
      </c>
      <c r="B2033" s="2" t="str">
        <f>IFERROR(__xludf.DUMMYFUNCTION("""COMPUTED_VALUE"""),"GROUPS")</f>
        <v>GROUPS</v>
      </c>
      <c r="C2033" s="2"/>
    </row>
    <row r="2034" ht="15.75" customHeight="1">
      <c r="A2034" s="2">
        <f>IFERROR(__xludf.DUMMYFUNCTION("""COMPUTED_VALUE"""),45567.0)</f>
        <v>45567</v>
      </c>
      <c r="B2034" s="2" t="str">
        <f>IFERROR(__xludf.DUMMYFUNCTION("""COMPUTED_VALUE"""),"Previous Woodstock")</f>
        <v>Previous Woodstock</v>
      </c>
      <c r="C2034" s="2"/>
    </row>
    <row r="2035" ht="15.75" customHeight="1">
      <c r="A2035" s="2">
        <f>IFERROR(__xludf.DUMMYFUNCTION("""COMPUTED_VALUE"""),45567.0)</f>
        <v>45567</v>
      </c>
      <c r="B2035" s="2" t="str">
        <f>IFERROR(__xludf.DUMMYFUNCTION("""COMPUTED_VALUE"""),"Previous Lenox/Brookhaven")</f>
        <v>Previous Lenox/Brookhaven</v>
      </c>
      <c r="C2035" s="2"/>
    </row>
    <row r="2036" ht="15.75" customHeight="1">
      <c r="A2036" s="2">
        <f>IFERROR(__xludf.DUMMYFUNCTION("""COMPUTED_VALUE"""),45567.0)</f>
        <v>45567</v>
      </c>
      <c r="B2036" s="2" t="str">
        <f>IFERROR(__xludf.DUMMYFUNCTION("""COMPUTED_VALUE"""),"Previous New Chastain")</f>
        <v>Previous New Chastain</v>
      </c>
      <c r="C2036" s="2"/>
    </row>
    <row r="2037" ht="15.75" customHeight="1">
      <c r="A2037" s="2">
        <f>IFERROR(__xludf.DUMMYFUNCTION("""COMPUTED_VALUE"""),45567.0)</f>
        <v>45567</v>
      </c>
      <c r="B2037" s="2" t="str">
        <f>IFERROR(__xludf.DUMMYFUNCTION("""COMPUTED_VALUE"""),"Previous Glenwood Park")</f>
        <v>Previous Glenwood Park</v>
      </c>
      <c r="C2037" s="2"/>
    </row>
    <row r="2038" ht="15.75" customHeight="1">
      <c r="A2038" s="2">
        <f>IFERROR(__xludf.DUMMYFUNCTION("""COMPUTED_VALUE"""),45567.0)</f>
        <v>45567</v>
      </c>
      <c r="B2038" s="2" t="str">
        <f>IFERROR(__xludf.DUMMYFUNCTION("""COMPUTED_VALUE"""),"FLOWERY BRANCH")</f>
        <v>FLOWERY BRANCH</v>
      </c>
      <c r="C2038" s="2"/>
    </row>
    <row r="2039" ht="15.75" customHeight="1">
      <c r="A2039" s="2">
        <f>IFERROR(__xludf.DUMMYFUNCTION("""COMPUTED_VALUE"""),45567.0)</f>
        <v>45567</v>
      </c>
      <c r="B2039" s="2" t="str">
        <f>IFERROR(__xludf.DUMMYFUNCTION("""COMPUTED_VALUE"""),"GROUPS ")</f>
        <v>GROUPS </v>
      </c>
      <c r="C2039" s="2">
        <f>IFERROR(__xludf.DUMMYFUNCTION("""COMPUTED_VALUE"""),14023.0)</f>
        <v>14023</v>
      </c>
    </row>
    <row r="2040" ht="15.75" customHeight="1">
      <c r="A2040" s="2">
        <f>IFERROR(__xludf.DUMMYFUNCTION("""COMPUTED_VALUE"""),45567.0)</f>
        <v>45567</v>
      </c>
      <c r="B2040" s="2" t="str">
        <f>IFERROR(__xludf.DUMMYFUNCTION("""COMPUTED_VALUE"""),"TOTAL")</f>
        <v>TOTAL</v>
      </c>
      <c r="C2040" s="2"/>
    </row>
    <row r="2041" ht="15.75" customHeight="1">
      <c r="A2041" s="2">
        <f>IFERROR(__xludf.DUMMYFUNCTION("""COMPUTED_VALUE"""),45567.0)</f>
        <v>45567</v>
      </c>
      <c r="B2041" s="2" t="str">
        <f>IFERROR(__xludf.DUMMYFUNCTION("""COMPUTED_VALUE"""),"Collective Learning")</f>
        <v>Collective Learning</v>
      </c>
      <c r="C2041" s="2"/>
    </row>
    <row r="2042" ht="15.75" customHeight="1">
      <c r="A2042" s="2">
        <f>IFERROR(__xludf.DUMMYFUNCTION("""COMPUTED_VALUE"""),45567.0)</f>
        <v>45567</v>
      </c>
      <c r="B2042" s="2" t="str">
        <f>IFERROR(__xludf.DUMMYFUNCTION("""COMPUTED_VALUE"""),"NOTES")</f>
        <v>NOTES</v>
      </c>
      <c r="C2042" s="2" t="str">
        <f>IFERROR(__xludf.DUMMYFUNCTION("""COMPUTED_VALUE"""),"Hurricane")</f>
        <v>Hurricane</v>
      </c>
    </row>
    <row r="2043" ht="15.75" customHeight="1">
      <c r="A2043" s="2">
        <f>IFERROR(__xludf.DUMMYFUNCTION("""COMPUTED_VALUE"""),45574.0)</f>
        <v>45574</v>
      </c>
      <c r="B2043" s="2" t="str">
        <f>IFERROR(__xludf.DUMMYFUNCTION("""COMPUTED_VALUE"""),"# of Sandwiches")</f>
        <v># of Sandwiches</v>
      </c>
      <c r="C2043" s="2">
        <f>IFERROR(__xludf.DUMMYFUNCTION("""COMPUTED_VALUE"""),6809.0)</f>
        <v>6809</v>
      </c>
    </row>
    <row r="2044" ht="15.75" customHeight="1">
      <c r="A2044" s="2">
        <f>IFERROR(__xludf.DUMMYFUNCTION("""COMPUTED_VALUE"""),45574.0)</f>
        <v>45574</v>
      </c>
      <c r="B2044" s="2" t="str">
        <f>IFERROR(__xludf.DUMMYFUNCTION("""COMPUTED_VALUE"""),"ALPHARETTA")</f>
        <v>ALPHARETTA</v>
      </c>
      <c r="C2044" s="2">
        <f>IFERROR(__xludf.DUMMYFUNCTION("""COMPUTED_VALUE"""),1493.0)</f>
        <v>1493</v>
      </c>
    </row>
    <row r="2045" ht="15.75" customHeight="1">
      <c r="A2045" s="2">
        <f>IFERROR(__xludf.DUMMYFUNCTION("""COMPUTED_VALUE"""),45574.0)</f>
        <v>45574</v>
      </c>
      <c r="B2045" s="2" t="str">
        <f>IFERROR(__xludf.DUMMYFUNCTION("""COMPUTED_VALUE"""),"PREVIOUS BUCKHEAD")</f>
        <v>PREVIOUS BUCKHEAD</v>
      </c>
      <c r="C2045" s="2"/>
    </row>
    <row r="2046" ht="15.75" customHeight="1">
      <c r="A2046" s="2">
        <f>IFERROR(__xludf.DUMMYFUNCTION("""COMPUTED_VALUE"""),45574.0)</f>
        <v>45574</v>
      </c>
      <c r="B2046" s="2" t="str">
        <f>IFERROR(__xludf.DUMMYFUNCTION("""COMPUTED_VALUE"""),"PREVIOUS OAK GROVE")</f>
        <v>PREVIOUS OAK GROVE</v>
      </c>
      <c r="C2046" s="2"/>
    </row>
    <row r="2047" ht="15.75" customHeight="1">
      <c r="A2047" s="2">
        <f>IFERROR(__xludf.DUMMYFUNCTION("""COMPUTED_VALUE"""),45574.0)</f>
        <v>45574</v>
      </c>
      <c r="B2047" s="2" t="str">
        <f>IFERROR(__xludf.DUMMYFUNCTION("""COMPUTED_VALUE"""),"DUNWOODY/PTC ")</f>
        <v>DUNWOODY/PTC </v>
      </c>
      <c r="C2047" s="2">
        <f>IFERROR(__xludf.DUMMYFUNCTION("""COMPUTED_VALUE"""),1284.0)</f>
        <v>1284</v>
      </c>
    </row>
    <row r="2048" ht="15.75" customHeight="1">
      <c r="A2048" s="2">
        <f>IFERROR(__xludf.DUMMYFUNCTION("""COMPUTED_VALUE"""),45574.0)</f>
        <v>45574</v>
      </c>
      <c r="B2048" s="2" t="str">
        <f>IFERROR(__xludf.DUMMYFUNCTION("""COMPUTED_VALUE"""),"E COBB/ROSWELL")</f>
        <v>E COBB/ROSWELL</v>
      </c>
      <c r="C2048" s="2">
        <f>IFERROR(__xludf.DUMMYFUNCTION("""COMPUTED_VALUE"""),919.0)</f>
        <v>919</v>
      </c>
    </row>
    <row r="2049" ht="15.75" customHeight="1">
      <c r="A2049" s="2">
        <f>IFERROR(__xludf.DUMMYFUNCTION("""COMPUTED_VALUE"""),45574.0)</f>
        <v>45574</v>
      </c>
      <c r="B2049" s="2" t="str">
        <f>IFERROR(__xludf.DUMMYFUNCTION("""COMPUTED_VALUE"""),"DECATUR")</f>
        <v>DECATUR</v>
      </c>
      <c r="C2049" s="2">
        <f>IFERROR(__xludf.DUMMYFUNCTION("""COMPUTED_VALUE"""),54.0)</f>
        <v>54</v>
      </c>
    </row>
    <row r="2050" ht="15.75" customHeight="1">
      <c r="A2050" s="2">
        <f>IFERROR(__xludf.DUMMYFUNCTION("""COMPUTED_VALUE"""),45574.0)</f>
        <v>45574</v>
      </c>
      <c r="B2050" s="2" t="str">
        <f>IFERROR(__xludf.DUMMYFUNCTION("""COMPUTED_VALUE"""),"P'TREE CORNERS ")</f>
        <v>P'TREE CORNERS </v>
      </c>
      <c r="C2050" s="2"/>
    </row>
    <row r="2051" ht="15.75" customHeight="1">
      <c r="A2051" s="2">
        <f>IFERROR(__xludf.DUMMYFUNCTION("""COMPUTED_VALUE"""),45574.0)</f>
        <v>45574</v>
      </c>
      <c r="B2051" s="2" t="str">
        <f>IFERROR(__xludf.DUMMYFUNCTION("""COMPUTED_VALUE"""),"UGA/Athens")</f>
        <v>UGA/Athens</v>
      </c>
      <c r="C2051" s="2"/>
    </row>
    <row r="2052" ht="15.75" customHeight="1">
      <c r="A2052" s="2">
        <f>IFERROR(__xludf.DUMMYFUNCTION("""COMPUTED_VALUE"""),45574.0)</f>
        <v>45574</v>
      </c>
      <c r="B2052" s="2" t="str">
        <f>IFERROR(__xludf.DUMMYFUNCTION("""COMPUTED_VALUE"""),"SANDY SPRINGS ")</f>
        <v>SANDY SPRINGS </v>
      </c>
      <c r="C2052" s="2">
        <f>IFERROR(__xludf.DUMMYFUNCTION("""COMPUTED_VALUE"""),344.0)</f>
        <v>344</v>
      </c>
    </row>
    <row r="2053" ht="15.75" customHeight="1">
      <c r="A2053" s="2">
        <f>IFERROR(__xludf.DUMMYFUNCTION("""COMPUTED_VALUE"""),45574.0)</f>
        <v>45574</v>
      </c>
      <c r="B2053" s="2" t="str">
        <f>IFERROR(__xludf.DUMMYFUNCTION("""COMPUTED_VALUE"""),"INTOWN/DRUID HILLS ")</f>
        <v>INTOWN/DRUID HILLS </v>
      </c>
      <c r="C2053" s="2">
        <f>IFERROR(__xludf.DUMMYFUNCTION("""COMPUTED_VALUE"""),555.0)</f>
        <v>555</v>
      </c>
    </row>
    <row r="2054" ht="15.75" customHeight="1">
      <c r="A2054" s="2">
        <f>IFERROR(__xludf.DUMMYFUNCTION("""COMPUTED_VALUE"""),45574.0)</f>
        <v>45574</v>
      </c>
      <c r="B2054" s="2" t="str">
        <f>IFERROR(__xludf.DUMMYFUNCTION("""COMPUTED_VALUE"""),"SNELLVILLE")</f>
        <v>SNELLVILLE</v>
      </c>
      <c r="C2054" s="2">
        <f>IFERROR(__xludf.DUMMYFUNCTION("""COMPUTED_VALUE"""),0.0)</f>
        <v>0</v>
      </c>
    </row>
    <row r="2055" ht="15.75" customHeight="1">
      <c r="A2055" s="2">
        <f>IFERROR(__xludf.DUMMYFUNCTION("""COMPUTED_VALUE"""),45574.0)</f>
        <v>45574</v>
      </c>
      <c r="B2055" s="2" t="str">
        <f>IFERROR(__xludf.DUMMYFUNCTION("""COMPUTED_VALUE"""),"GROUPS")</f>
        <v>GROUPS</v>
      </c>
      <c r="C2055" s="2"/>
    </row>
    <row r="2056" ht="15.75" customHeight="1">
      <c r="A2056" s="2">
        <f>IFERROR(__xludf.DUMMYFUNCTION("""COMPUTED_VALUE"""),45574.0)</f>
        <v>45574</v>
      </c>
      <c r="B2056" s="2" t="str">
        <f>IFERROR(__xludf.DUMMYFUNCTION("""COMPUTED_VALUE"""),"Previous Woodstock")</f>
        <v>Previous Woodstock</v>
      </c>
      <c r="C2056" s="2"/>
    </row>
    <row r="2057" ht="15.75" customHeight="1">
      <c r="A2057" s="2">
        <f>IFERROR(__xludf.DUMMYFUNCTION("""COMPUTED_VALUE"""),45574.0)</f>
        <v>45574</v>
      </c>
      <c r="B2057" s="2" t="str">
        <f>IFERROR(__xludf.DUMMYFUNCTION("""COMPUTED_VALUE"""),"Previous Lenox/Brookhaven")</f>
        <v>Previous Lenox/Brookhaven</v>
      </c>
      <c r="C2057" s="2"/>
    </row>
    <row r="2058" ht="15.75" customHeight="1">
      <c r="A2058" s="2">
        <f>IFERROR(__xludf.DUMMYFUNCTION("""COMPUTED_VALUE"""),45574.0)</f>
        <v>45574</v>
      </c>
      <c r="B2058" s="2" t="str">
        <f>IFERROR(__xludf.DUMMYFUNCTION("""COMPUTED_VALUE"""),"Previous New Chastain")</f>
        <v>Previous New Chastain</v>
      </c>
      <c r="C2058" s="2"/>
    </row>
    <row r="2059" ht="15.75" customHeight="1">
      <c r="A2059" s="2">
        <f>IFERROR(__xludf.DUMMYFUNCTION("""COMPUTED_VALUE"""),45574.0)</f>
        <v>45574</v>
      </c>
      <c r="B2059" s="2" t="str">
        <f>IFERROR(__xludf.DUMMYFUNCTION("""COMPUTED_VALUE"""),"Previous Glenwood Park")</f>
        <v>Previous Glenwood Park</v>
      </c>
      <c r="C2059" s="2"/>
    </row>
    <row r="2060" ht="15.75" customHeight="1">
      <c r="A2060" s="2">
        <f>IFERROR(__xludf.DUMMYFUNCTION("""COMPUTED_VALUE"""),45574.0)</f>
        <v>45574</v>
      </c>
      <c r="B2060" s="2" t="str">
        <f>IFERROR(__xludf.DUMMYFUNCTION("""COMPUTED_VALUE"""),"FLOWERY BRANCH")</f>
        <v>FLOWERY BRANCH</v>
      </c>
      <c r="C2060" s="2">
        <f>IFERROR(__xludf.DUMMYFUNCTION("""COMPUTED_VALUE"""),260.0)</f>
        <v>260</v>
      </c>
    </row>
    <row r="2061" ht="15.75" customHeight="1">
      <c r="A2061" s="2">
        <f>IFERROR(__xludf.DUMMYFUNCTION("""COMPUTED_VALUE"""),45574.0)</f>
        <v>45574</v>
      </c>
      <c r="B2061" s="2" t="str">
        <f>IFERROR(__xludf.DUMMYFUNCTION("""COMPUTED_VALUE"""),"GROUPS ")</f>
        <v>GROUPS </v>
      </c>
      <c r="C2061" s="2">
        <f>IFERROR(__xludf.DUMMYFUNCTION("""COMPUTED_VALUE"""),1900.0)</f>
        <v>1900</v>
      </c>
    </row>
    <row r="2062" ht="15.75" customHeight="1">
      <c r="A2062" s="2">
        <f>IFERROR(__xludf.DUMMYFUNCTION("""COMPUTED_VALUE"""),45574.0)</f>
        <v>45574</v>
      </c>
      <c r="B2062" s="2" t="str">
        <f>IFERROR(__xludf.DUMMYFUNCTION("""COMPUTED_VALUE"""),"TOTAL")</f>
        <v>TOTAL</v>
      </c>
      <c r="C2062" s="2"/>
    </row>
    <row r="2063" ht="15.75" customHeight="1">
      <c r="A2063" s="2">
        <f>IFERROR(__xludf.DUMMYFUNCTION("""COMPUTED_VALUE"""),45574.0)</f>
        <v>45574</v>
      </c>
      <c r="B2063" s="2" t="str">
        <f>IFERROR(__xludf.DUMMYFUNCTION("""COMPUTED_VALUE"""),"Collective Learning")</f>
        <v>Collective Learning</v>
      </c>
      <c r="C2063" s="2"/>
    </row>
    <row r="2064" ht="15.75" customHeight="1">
      <c r="A2064" s="2">
        <f>IFERROR(__xludf.DUMMYFUNCTION("""COMPUTED_VALUE"""),45574.0)</f>
        <v>45574</v>
      </c>
      <c r="B2064" s="2" t="str">
        <f>IFERROR(__xludf.DUMMYFUNCTION("""COMPUTED_VALUE"""),"NOTES")</f>
        <v>NOTES</v>
      </c>
      <c r="C2064" s="2"/>
    </row>
    <row r="2065" ht="15.75" customHeight="1">
      <c r="A2065" s="2">
        <f>IFERROR(__xludf.DUMMYFUNCTION("""COMPUTED_VALUE"""),45581.0)</f>
        <v>45581</v>
      </c>
      <c r="B2065" s="2" t="str">
        <f>IFERROR(__xludf.DUMMYFUNCTION("""COMPUTED_VALUE"""),"# of Sandwiches")</f>
        <v># of Sandwiches</v>
      </c>
      <c r="C2065" s="2">
        <f>IFERROR(__xludf.DUMMYFUNCTION("""COMPUTED_VALUE"""),9533.0)</f>
        <v>9533</v>
      </c>
    </row>
    <row r="2066" ht="15.75" customHeight="1">
      <c r="A2066" s="2">
        <f>IFERROR(__xludf.DUMMYFUNCTION("""COMPUTED_VALUE"""),45581.0)</f>
        <v>45581</v>
      </c>
      <c r="B2066" s="2" t="str">
        <f>IFERROR(__xludf.DUMMYFUNCTION("""COMPUTED_VALUE"""),"ALPHARETTA")</f>
        <v>ALPHARETTA</v>
      </c>
      <c r="C2066" s="2">
        <f>IFERROR(__xludf.DUMMYFUNCTION("""COMPUTED_VALUE"""),1032.0)</f>
        <v>1032</v>
      </c>
    </row>
    <row r="2067" ht="15.75" customHeight="1">
      <c r="A2067" s="2">
        <f>IFERROR(__xludf.DUMMYFUNCTION("""COMPUTED_VALUE"""),45581.0)</f>
        <v>45581</v>
      </c>
      <c r="B2067" s="2" t="str">
        <f>IFERROR(__xludf.DUMMYFUNCTION("""COMPUTED_VALUE"""),"PREVIOUS BUCKHEAD")</f>
        <v>PREVIOUS BUCKHEAD</v>
      </c>
      <c r="C2067" s="2"/>
    </row>
    <row r="2068" ht="15.75" customHeight="1">
      <c r="A2068" s="2">
        <f>IFERROR(__xludf.DUMMYFUNCTION("""COMPUTED_VALUE"""),45581.0)</f>
        <v>45581</v>
      </c>
      <c r="B2068" s="2" t="str">
        <f>IFERROR(__xludf.DUMMYFUNCTION("""COMPUTED_VALUE"""),"PREVIOUS OAK GROVE")</f>
        <v>PREVIOUS OAK GROVE</v>
      </c>
      <c r="C2068" s="2"/>
    </row>
    <row r="2069" ht="15.75" customHeight="1">
      <c r="A2069" s="2">
        <f>IFERROR(__xludf.DUMMYFUNCTION("""COMPUTED_VALUE"""),45581.0)</f>
        <v>45581</v>
      </c>
      <c r="B2069" s="2" t="str">
        <f>IFERROR(__xludf.DUMMYFUNCTION("""COMPUTED_VALUE"""),"DUNWOODY/PTC ")</f>
        <v>DUNWOODY/PTC </v>
      </c>
      <c r="C2069" s="2">
        <f>IFERROR(__xludf.DUMMYFUNCTION("""COMPUTED_VALUE"""),1377.0)</f>
        <v>1377</v>
      </c>
    </row>
    <row r="2070" ht="15.75" customHeight="1">
      <c r="A2070" s="2">
        <f>IFERROR(__xludf.DUMMYFUNCTION("""COMPUTED_VALUE"""),45581.0)</f>
        <v>45581</v>
      </c>
      <c r="B2070" s="2" t="str">
        <f>IFERROR(__xludf.DUMMYFUNCTION("""COMPUTED_VALUE"""),"E COBB/ROSWELL")</f>
        <v>E COBB/ROSWELL</v>
      </c>
      <c r="C2070" s="2">
        <f>IFERROR(__xludf.DUMMYFUNCTION("""COMPUTED_VALUE"""),1332.0)</f>
        <v>1332</v>
      </c>
    </row>
    <row r="2071" ht="15.75" customHeight="1">
      <c r="A2071" s="2">
        <f>IFERROR(__xludf.DUMMYFUNCTION("""COMPUTED_VALUE"""),45581.0)</f>
        <v>45581</v>
      </c>
      <c r="B2071" s="2" t="str">
        <f>IFERROR(__xludf.DUMMYFUNCTION("""COMPUTED_VALUE"""),"DECATUR")</f>
        <v>DECATUR</v>
      </c>
      <c r="C2071" s="2">
        <f>IFERROR(__xludf.DUMMYFUNCTION("""COMPUTED_VALUE"""),119.0)</f>
        <v>119</v>
      </c>
    </row>
    <row r="2072" ht="15.75" customHeight="1">
      <c r="A2072" s="2">
        <f>IFERROR(__xludf.DUMMYFUNCTION("""COMPUTED_VALUE"""),45581.0)</f>
        <v>45581</v>
      </c>
      <c r="B2072" s="2" t="str">
        <f>IFERROR(__xludf.DUMMYFUNCTION("""COMPUTED_VALUE"""),"P'TREE CORNERS ")</f>
        <v>P'TREE CORNERS </v>
      </c>
      <c r="C2072" s="2"/>
    </row>
    <row r="2073" ht="15.75" customHeight="1">
      <c r="A2073" s="2">
        <f>IFERROR(__xludf.DUMMYFUNCTION("""COMPUTED_VALUE"""),45581.0)</f>
        <v>45581</v>
      </c>
      <c r="B2073" s="2" t="str">
        <f>IFERROR(__xludf.DUMMYFUNCTION("""COMPUTED_VALUE"""),"UGA/Athens")</f>
        <v>UGA/Athens</v>
      </c>
      <c r="C2073" s="2"/>
    </row>
    <row r="2074" ht="15.75" customHeight="1">
      <c r="A2074" s="2">
        <f>IFERROR(__xludf.DUMMYFUNCTION("""COMPUTED_VALUE"""),45581.0)</f>
        <v>45581</v>
      </c>
      <c r="B2074" s="2" t="str">
        <f>IFERROR(__xludf.DUMMYFUNCTION("""COMPUTED_VALUE"""),"SANDY SPRINGS ")</f>
        <v>SANDY SPRINGS </v>
      </c>
      <c r="C2074" s="2">
        <f>IFERROR(__xludf.DUMMYFUNCTION("""COMPUTED_VALUE"""),431.0)</f>
        <v>431</v>
      </c>
    </row>
    <row r="2075" ht="15.75" customHeight="1">
      <c r="A2075" s="2">
        <f>IFERROR(__xludf.DUMMYFUNCTION("""COMPUTED_VALUE"""),45581.0)</f>
        <v>45581</v>
      </c>
      <c r="B2075" s="2" t="str">
        <f>IFERROR(__xludf.DUMMYFUNCTION("""COMPUTED_VALUE"""),"INTOWN/DRUID HILLS ")</f>
        <v>INTOWN/DRUID HILLS </v>
      </c>
      <c r="C2075" s="2">
        <f>IFERROR(__xludf.DUMMYFUNCTION("""COMPUTED_VALUE"""),1296.0)</f>
        <v>1296</v>
      </c>
    </row>
    <row r="2076" ht="15.75" customHeight="1">
      <c r="A2076" s="2">
        <f>IFERROR(__xludf.DUMMYFUNCTION("""COMPUTED_VALUE"""),45581.0)</f>
        <v>45581</v>
      </c>
      <c r="B2076" s="2" t="str">
        <f>IFERROR(__xludf.DUMMYFUNCTION("""COMPUTED_VALUE"""),"SNELLVILLE")</f>
        <v>SNELLVILLE</v>
      </c>
      <c r="C2076" s="2">
        <f>IFERROR(__xludf.DUMMYFUNCTION("""COMPUTED_VALUE"""),0.0)</f>
        <v>0</v>
      </c>
    </row>
    <row r="2077" ht="15.75" customHeight="1">
      <c r="A2077" s="2">
        <f>IFERROR(__xludf.DUMMYFUNCTION("""COMPUTED_VALUE"""),45581.0)</f>
        <v>45581</v>
      </c>
      <c r="B2077" s="2" t="str">
        <f>IFERROR(__xludf.DUMMYFUNCTION("""COMPUTED_VALUE"""),"GROUPS")</f>
        <v>GROUPS</v>
      </c>
      <c r="C2077" s="2"/>
    </row>
    <row r="2078" ht="15.75" customHeight="1">
      <c r="A2078" s="2">
        <f>IFERROR(__xludf.DUMMYFUNCTION("""COMPUTED_VALUE"""),45581.0)</f>
        <v>45581</v>
      </c>
      <c r="B2078" s="2" t="str">
        <f>IFERROR(__xludf.DUMMYFUNCTION("""COMPUTED_VALUE"""),"Previous Woodstock")</f>
        <v>Previous Woodstock</v>
      </c>
      <c r="C2078" s="2"/>
    </row>
    <row r="2079" ht="15.75" customHeight="1">
      <c r="A2079" s="2">
        <f>IFERROR(__xludf.DUMMYFUNCTION("""COMPUTED_VALUE"""),45581.0)</f>
        <v>45581</v>
      </c>
      <c r="B2079" s="2" t="str">
        <f>IFERROR(__xludf.DUMMYFUNCTION("""COMPUTED_VALUE"""),"Previous Lenox/Brookhaven")</f>
        <v>Previous Lenox/Brookhaven</v>
      </c>
      <c r="C2079" s="2"/>
    </row>
    <row r="2080" ht="15.75" customHeight="1">
      <c r="A2080" s="2">
        <f>IFERROR(__xludf.DUMMYFUNCTION("""COMPUTED_VALUE"""),45581.0)</f>
        <v>45581</v>
      </c>
      <c r="B2080" s="2" t="str">
        <f>IFERROR(__xludf.DUMMYFUNCTION("""COMPUTED_VALUE"""),"Previous New Chastain")</f>
        <v>Previous New Chastain</v>
      </c>
      <c r="C2080" s="2"/>
    </row>
    <row r="2081" ht="15.75" customHeight="1">
      <c r="A2081" s="2">
        <f>IFERROR(__xludf.DUMMYFUNCTION("""COMPUTED_VALUE"""),45581.0)</f>
        <v>45581</v>
      </c>
      <c r="B2081" s="2" t="str">
        <f>IFERROR(__xludf.DUMMYFUNCTION("""COMPUTED_VALUE"""),"Previous Glenwood Park")</f>
        <v>Previous Glenwood Park</v>
      </c>
      <c r="C2081" s="2"/>
    </row>
    <row r="2082" ht="15.75" customHeight="1">
      <c r="A2082" s="2">
        <f>IFERROR(__xludf.DUMMYFUNCTION("""COMPUTED_VALUE"""),45581.0)</f>
        <v>45581</v>
      </c>
      <c r="B2082" s="2" t="str">
        <f>IFERROR(__xludf.DUMMYFUNCTION("""COMPUTED_VALUE"""),"FLOWERY BRANCH")</f>
        <v>FLOWERY BRANCH</v>
      </c>
      <c r="C2082" s="2">
        <f>IFERROR(__xludf.DUMMYFUNCTION("""COMPUTED_VALUE"""),200.0)</f>
        <v>200</v>
      </c>
    </row>
    <row r="2083" ht="15.75" customHeight="1">
      <c r="A2083" s="2">
        <f>IFERROR(__xludf.DUMMYFUNCTION("""COMPUTED_VALUE"""),45581.0)</f>
        <v>45581</v>
      </c>
      <c r="B2083" s="2" t="str">
        <f>IFERROR(__xludf.DUMMYFUNCTION("""COMPUTED_VALUE"""),"GROUPS ")</f>
        <v>GROUPS </v>
      </c>
      <c r="C2083" s="2">
        <f>IFERROR(__xludf.DUMMYFUNCTION("""COMPUTED_VALUE"""),3746.0)</f>
        <v>3746</v>
      </c>
    </row>
    <row r="2084" ht="15.75" customHeight="1">
      <c r="A2084" s="2">
        <f>IFERROR(__xludf.DUMMYFUNCTION("""COMPUTED_VALUE"""),45581.0)</f>
        <v>45581</v>
      </c>
      <c r="B2084" s="2" t="str">
        <f>IFERROR(__xludf.DUMMYFUNCTION("""COMPUTED_VALUE"""),"TOTAL")</f>
        <v>TOTAL</v>
      </c>
      <c r="C2084" s="2"/>
    </row>
    <row r="2085" ht="15.75" customHeight="1">
      <c r="A2085" s="2">
        <f>IFERROR(__xludf.DUMMYFUNCTION("""COMPUTED_VALUE"""),45581.0)</f>
        <v>45581</v>
      </c>
      <c r="B2085" s="2" t="str">
        <f>IFERROR(__xludf.DUMMYFUNCTION("""COMPUTED_VALUE"""),"Collective Learning")</f>
        <v>Collective Learning</v>
      </c>
      <c r="C2085" s="2"/>
    </row>
    <row r="2086" ht="15.75" customHeight="1">
      <c r="A2086" s="2">
        <f>IFERROR(__xludf.DUMMYFUNCTION("""COMPUTED_VALUE"""),45581.0)</f>
        <v>45581</v>
      </c>
      <c r="B2086" s="2" t="str">
        <f>IFERROR(__xludf.DUMMYFUNCTION("""COMPUTED_VALUE"""),"NOTES")</f>
        <v>NOTES</v>
      </c>
      <c r="C2086" s="2"/>
    </row>
    <row r="2087" ht="15.75" customHeight="1">
      <c r="A2087" s="2">
        <f>IFERROR(__xludf.DUMMYFUNCTION("""COMPUTED_VALUE"""),45588.0)</f>
        <v>45588</v>
      </c>
      <c r="B2087" s="2" t="str">
        <f>IFERROR(__xludf.DUMMYFUNCTION("""COMPUTED_VALUE"""),"# of Sandwiches")</f>
        <v># of Sandwiches</v>
      </c>
      <c r="C2087" s="2">
        <f>IFERROR(__xludf.DUMMYFUNCTION("""COMPUTED_VALUE"""),8760.0)</f>
        <v>8760</v>
      </c>
    </row>
    <row r="2088" ht="15.75" customHeight="1">
      <c r="A2088" s="2">
        <f>IFERROR(__xludf.DUMMYFUNCTION("""COMPUTED_VALUE"""),45588.0)</f>
        <v>45588</v>
      </c>
      <c r="B2088" s="2" t="str">
        <f>IFERROR(__xludf.DUMMYFUNCTION("""COMPUTED_VALUE"""),"ALPHARETTA")</f>
        <v>ALPHARETTA</v>
      </c>
      <c r="C2088" s="2">
        <f>IFERROR(__xludf.DUMMYFUNCTION("""COMPUTED_VALUE"""),618.0)</f>
        <v>618</v>
      </c>
    </row>
    <row r="2089" ht="15.75" customHeight="1">
      <c r="A2089" s="2">
        <f>IFERROR(__xludf.DUMMYFUNCTION("""COMPUTED_VALUE"""),45588.0)</f>
        <v>45588</v>
      </c>
      <c r="B2089" s="2" t="str">
        <f>IFERROR(__xludf.DUMMYFUNCTION("""COMPUTED_VALUE"""),"PREVIOUS BUCKHEAD")</f>
        <v>PREVIOUS BUCKHEAD</v>
      </c>
      <c r="C2089" s="2"/>
    </row>
    <row r="2090" ht="15.75" customHeight="1">
      <c r="A2090" s="2">
        <f>IFERROR(__xludf.DUMMYFUNCTION("""COMPUTED_VALUE"""),45588.0)</f>
        <v>45588</v>
      </c>
      <c r="B2090" s="2" t="str">
        <f>IFERROR(__xludf.DUMMYFUNCTION("""COMPUTED_VALUE"""),"PREVIOUS OAK GROVE")</f>
        <v>PREVIOUS OAK GROVE</v>
      </c>
      <c r="C2090" s="2"/>
    </row>
    <row r="2091" ht="15.75" customHeight="1">
      <c r="A2091" s="2">
        <f>IFERROR(__xludf.DUMMYFUNCTION("""COMPUTED_VALUE"""),45588.0)</f>
        <v>45588</v>
      </c>
      <c r="B2091" s="2" t="str">
        <f>IFERROR(__xludf.DUMMYFUNCTION("""COMPUTED_VALUE"""),"DUNWOODY/PTC ")</f>
        <v>DUNWOODY/PTC </v>
      </c>
      <c r="C2091" s="2">
        <f>IFERROR(__xludf.DUMMYFUNCTION("""COMPUTED_VALUE"""),1774.0)</f>
        <v>1774</v>
      </c>
    </row>
    <row r="2092" ht="15.75" customHeight="1">
      <c r="A2092" s="2">
        <f>IFERROR(__xludf.DUMMYFUNCTION("""COMPUTED_VALUE"""),45588.0)</f>
        <v>45588</v>
      </c>
      <c r="B2092" s="2" t="str">
        <f>IFERROR(__xludf.DUMMYFUNCTION("""COMPUTED_VALUE"""),"E COBB/ROSWELL")</f>
        <v>E COBB/ROSWELL</v>
      </c>
      <c r="C2092" s="2">
        <f>IFERROR(__xludf.DUMMYFUNCTION("""COMPUTED_VALUE"""),594.0)</f>
        <v>594</v>
      </c>
    </row>
    <row r="2093" ht="15.75" customHeight="1">
      <c r="A2093" s="2">
        <f>IFERROR(__xludf.DUMMYFUNCTION("""COMPUTED_VALUE"""),45588.0)</f>
        <v>45588</v>
      </c>
      <c r="B2093" s="2" t="str">
        <f>IFERROR(__xludf.DUMMYFUNCTION("""COMPUTED_VALUE"""),"DECATUR")</f>
        <v>DECATUR</v>
      </c>
      <c r="C2093" s="2">
        <f>IFERROR(__xludf.DUMMYFUNCTION("""COMPUTED_VALUE"""),0.0)</f>
        <v>0</v>
      </c>
    </row>
    <row r="2094" ht="15.75" customHeight="1">
      <c r="A2094" s="2">
        <f>IFERROR(__xludf.DUMMYFUNCTION("""COMPUTED_VALUE"""),45588.0)</f>
        <v>45588</v>
      </c>
      <c r="B2094" s="2" t="str">
        <f>IFERROR(__xludf.DUMMYFUNCTION("""COMPUTED_VALUE"""),"P'TREE CORNERS ")</f>
        <v>P'TREE CORNERS </v>
      </c>
      <c r="C2094" s="2"/>
    </row>
    <row r="2095" ht="15.75" customHeight="1">
      <c r="A2095" s="2">
        <f>IFERROR(__xludf.DUMMYFUNCTION("""COMPUTED_VALUE"""),45588.0)</f>
        <v>45588</v>
      </c>
      <c r="B2095" s="2" t="str">
        <f>IFERROR(__xludf.DUMMYFUNCTION("""COMPUTED_VALUE"""),"UGA/Athens")</f>
        <v>UGA/Athens</v>
      </c>
      <c r="C2095" s="2"/>
    </row>
    <row r="2096" ht="15.75" customHeight="1">
      <c r="A2096" s="2">
        <f>IFERROR(__xludf.DUMMYFUNCTION("""COMPUTED_VALUE"""),45588.0)</f>
        <v>45588</v>
      </c>
      <c r="B2096" s="2" t="str">
        <f>IFERROR(__xludf.DUMMYFUNCTION("""COMPUTED_VALUE"""),"SANDY SPRINGS ")</f>
        <v>SANDY SPRINGS </v>
      </c>
      <c r="C2096" s="2">
        <f>IFERROR(__xludf.DUMMYFUNCTION("""COMPUTED_VALUE"""),224.0)</f>
        <v>224</v>
      </c>
    </row>
    <row r="2097" ht="15.75" customHeight="1">
      <c r="A2097" s="2">
        <f>IFERROR(__xludf.DUMMYFUNCTION("""COMPUTED_VALUE"""),45588.0)</f>
        <v>45588</v>
      </c>
      <c r="B2097" s="2" t="str">
        <f>IFERROR(__xludf.DUMMYFUNCTION("""COMPUTED_VALUE"""),"INTOWN/DRUID HILLS ")</f>
        <v>INTOWN/DRUID HILLS </v>
      </c>
      <c r="C2097" s="2">
        <f>IFERROR(__xludf.DUMMYFUNCTION("""COMPUTED_VALUE"""),768.0)</f>
        <v>768</v>
      </c>
    </row>
    <row r="2098" ht="15.75" customHeight="1">
      <c r="A2098" s="2">
        <f>IFERROR(__xludf.DUMMYFUNCTION("""COMPUTED_VALUE"""),45588.0)</f>
        <v>45588</v>
      </c>
      <c r="B2098" s="2" t="str">
        <f>IFERROR(__xludf.DUMMYFUNCTION("""COMPUTED_VALUE"""),"SNELLVILLE")</f>
        <v>SNELLVILLE</v>
      </c>
      <c r="C2098" s="2">
        <f>IFERROR(__xludf.DUMMYFUNCTION("""COMPUTED_VALUE"""),0.0)</f>
        <v>0</v>
      </c>
    </row>
    <row r="2099" ht="15.75" customHeight="1">
      <c r="A2099" s="2">
        <f>IFERROR(__xludf.DUMMYFUNCTION("""COMPUTED_VALUE"""),45588.0)</f>
        <v>45588</v>
      </c>
      <c r="B2099" s="2" t="str">
        <f>IFERROR(__xludf.DUMMYFUNCTION("""COMPUTED_VALUE"""),"GROUPS")</f>
        <v>GROUPS</v>
      </c>
      <c r="C2099" s="2"/>
    </row>
    <row r="2100" ht="15.75" customHeight="1">
      <c r="A2100" s="2">
        <f>IFERROR(__xludf.DUMMYFUNCTION("""COMPUTED_VALUE"""),45588.0)</f>
        <v>45588</v>
      </c>
      <c r="B2100" s="2" t="str">
        <f>IFERROR(__xludf.DUMMYFUNCTION("""COMPUTED_VALUE"""),"Previous Woodstock")</f>
        <v>Previous Woodstock</v>
      </c>
      <c r="C2100" s="2"/>
    </row>
    <row r="2101" ht="15.75" customHeight="1">
      <c r="A2101" s="2">
        <f>IFERROR(__xludf.DUMMYFUNCTION("""COMPUTED_VALUE"""),45588.0)</f>
        <v>45588</v>
      </c>
      <c r="B2101" s="2" t="str">
        <f>IFERROR(__xludf.DUMMYFUNCTION("""COMPUTED_VALUE"""),"Previous Lenox/Brookhaven")</f>
        <v>Previous Lenox/Brookhaven</v>
      </c>
      <c r="C2101" s="2"/>
    </row>
    <row r="2102" ht="15.75" customHeight="1">
      <c r="A2102" s="2">
        <f>IFERROR(__xludf.DUMMYFUNCTION("""COMPUTED_VALUE"""),45588.0)</f>
        <v>45588</v>
      </c>
      <c r="B2102" s="2" t="str">
        <f>IFERROR(__xludf.DUMMYFUNCTION("""COMPUTED_VALUE"""),"Previous New Chastain")</f>
        <v>Previous New Chastain</v>
      </c>
      <c r="C2102" s="2"/>
    </row>
    <row r="2103" ht="15.75" customHeight="1">
      <c r="A2103" s="2">
        <f>IFERROR(__xludf.DUMMYFUNCTION("""COMPUTED_VALUE"""),45588.0)</f>
        <v>45588</v>
      </c>
      <c r="B2103" s="2" t="str">
        <f>IFERROR(__xludf.DUMMYFUNCTION("""COMPUTED_VALUE"""),"Previous Glenwood Park")</f>
        <v>Previous Glenwood Park</v>
      </c>
      <c r="C2103" s="2"/>
    </row>
    <row r="2104" ht="15.75" customHeight="1">
      <c r="A2104" s="2">
        <f>IFERROR(__xludf.DUMMYFUNCTION("""COMPUTED_VALUE"""),45588.0)</f>
        <v>45588</v>
      </c>
      <c r="B2104" s="2" t="str">
        <f>IFERROR(__xludf.DUMMYFUNCTION("""COMPUTED_VALUE"""),"FLOWERY BRANCH")</f>
        <v>FLOWERY BRANCH</v>
      </c>
      <c r="C2104" s="2">
        <f>IFERROR(__xludf.DUMMYFUNCTION("""COMPUTED_VALUE"""),503.0)</f>
        <v>503</v>
      </c>
    </row>
    <row r="2105" ht="15.75" customHeight="1">
      <c r="A2105" s="2">
        <f>IFERROR(__xludf.DUMMYFUNCTION("""COMPUTED_VALUE"""),45588.0)</f>
        <v>45588</v>
      </c>
      <c r="B2105" s="2" t="str">
        <f>IFERROR(__xludf.DUMMYFUNCTION("""COMPUTED_VALUE"""),"GROUPS ")</f>
        <v>GROUPS </v>
      </c>
      <c r="C2105" s="2">
        <f>IFERROR(__xludf.DUMMYFUNCTION("""COMPUTED_VALUE"""),4279.0)</f>
        <v>4279</v>
      </c>
    </row>
    <row r="2106" ht="15.75" customHeight="1">
      <c r="A2106" s="2">
        <f>IFERROR(__xludf.DUMMYFUNCTION("""COMPUTED_VALUE"""),45588.0)</f>
        <v>45588</v>
      </c>
      <c r="B2106" s="2" t="str">
        <f>IFERROR(__xludf.DUMMYFUNCTION("""COMPUTED_VALUE"""),"TOTAL")</f>
        <v>TOTAL</v>
      </c>
      <c r="C2106" s="2"/>
    </row>
    <row r="2107" ht="15.75" customHeight="1">
      <c r="A2107" s="2">
        <f>IFERROR(__xludf.DUMMYFUNCTION("""COMPUTED_VALUE"""),45588.0)</f>
        <v>45588</v>
      </c>
      <c r="B2107" s="2" t="str">
        <f>IFERROR(__xludf.DUMMYFUNCTION("""COMPUTED_VALUE"""),"Collective Learning")</f>
        <v>Collective Learning</v>
      </c>
      <c r="C2107" s="2"/>
    </row>
    <row r="2108" ht="15.75" customHeight="1">
      <c r="A2108" s="2">
        <f>IFERROR(__xludf.DUMMYFUNCTION("""COMPUTED_VALUE"""),45588.0)</f>
        <v>45588</v>
      </c>
      <c r="B2108" s="2" t="str">
        <f>IFERROR(__xludf.DUMMYFUNCTION("""COMPUTED_VALUE"""),"NOTES")</f>
        <v>NOTES</v>
      </c>
      <c r="C2108" s="2"/>
    </row>
    <row r="2109" ht="15.75" customHeight="1">
      <c r="A2109" s="2">
        <f>IFERROR(__xludf.DUMMYFUNCTION("""COMPUTED_VALUE"""),45595.0)</f>
        <v>45595</v>
      </c>
      <c r="B2109" s="2" t="str">
        <f>IFERROR(__xludf.DUMMYFUNCTION("""COMPUTED_VALUE"""),"# of Sandwiches")</f>
        <v># of Sandwiches</v>
      </c>
      <c r="C2109" s="2">
        <f>IFERROR(__xludf.DUMMYFUNCTION("""COMPUTED_VALUE"""),7973.0)</f>
        <v>7973</v>
      </c>
    </row>
    <row r="2110" ht="15.75" customHeight="1">
      <c r="A2110" s="2">
        <f>IFERROR(__xludf.DUMMYFUNCTION("""COMPUTED_VALUE"""),45595.0)</f>
        <v>45595</v>
      </c>
      <c r="B2110" s="2" t="str">
        <f>IFERROR(__xludf.DUMMYFUNCTION("""COMPUTED_VALUE"""),"ALPHARETTA")</f>
        <v>ALPHARETTA</v>
      </c>
      <c r="C2110" s="2">
        <f>IFERROR(__xludf.DUMMYFUNCTION("""COMPUTED_VALUE"""),1427.0)</f>
        <v>1427</v>
      </c>
    </row>
    <row r="2111" ht="15.75" customHeight="1">
      <c r="A2111" s="2">
        <f>IFERROR(__xludf.DUMMYFUNCTION("""COMPUTED_VALUE"""),45595.0)</f>
        <v>45595</v>
      </c>
      <c r="B2111" s="2" t="str">
        <f>IFERROR(__xludf.DUMMYFUNCTION("""COMPUTED_VALUE"""),"PREVIOUS BUCKHEAD")</f>
        <v>PREVIOUS BUCKHEAD</v>
      </c>
      <c r="C2111" s="2"/>
    </row>
    <row r="2112" ht="15.75" customHeight="1">
      <c r="A2112" s="2">
        <f>IFERROR(__xludf.DUMMYFUNCTION("""COMPUTED_VALUE"""),45595.0)</f>
        <v>45595</v>
      </c>
      <c r="B2112" s="2" t="str">
        <f>IFERROR(__xludf.DUMMYFUNCTION("""COMPUTED_VALUE"""),"PREVIOUS OAK GROVE")</f>
        <v>PREVIOUS OAK GROVE</v>
      </c>
      <c r="C2112" s="2"/>
    </row>
    <row r="2113" ht="15.75" customHeight="1">
      <c r="A2113" s="2">
        <f>IFERROR(__xludf.DUMMYFUNCTION("""COMPUTED_VALUE"""),45595.0)</f>
        <v>45595</v>
      </c>
      <c r="B2113" s="2" t="str">
        <f>IFERROR(__xludf.DUMMYFUNCTION("""COMPUTED_VALUE"""),"DUNWOODY/PTC ")</f>
        <v>DUNWOODY/PTC </v>
      </c>
      <c r="C2113" s="2">
        <f>IFERROR(__xludf.DUMMYFUNCTION("""COMPUTED_VALUE"""),2035.0)</f>
        <v>2035</v>
      </c>
    </row>
    <row r="2114" ht="15.75" customHeight="1">
      <c r="A2114" s="2">
        <f>IFERROR(__xludf.DUMMYFUNCTION("""COMPUTED_VALUE"""),45595.0)</f>
        <v>45595</v>
      </c>
      <c r="B2114" s="2" t="str">
        <f>IFERROR(__xludf.DUMMYFUNCTION("""COMPUTED_VALUE"""),"E COBB/ROSWELL")</f>
        <v>E COBB/ROSWELL</v>
      </c>
      <c r="C2114" s="2">
        <f>IFERROR(__xludf.DUMMYFUNCTION("""COMPUTED_VALUE"""),1017.0)</f>
        <v>1017</v>
      </c>
    </row>
    <row r="2115" ht="15.75" customHeight="1">
      <c r="A2115" s="2">
        <f>IFERROR(__xludf.DUMMYFUNCTION("""COMPUTED_VALUE"""),45595.0)</f>
        <v>45595</v>
      </c>
      <c r="B2115" s="2" t="str">
        <f>IFERROR(__xludf.DUMMYFUNCTION("""COMPUTED_VALUE"""),"DECATUR")</f>
        <v>DECATUR</v>
      </c>
      <c r="C2115" s="2">
        <f>IFERROR(__xludf.DUMMYFUNCTION("""COMPUTED_VALUE"""),0.0)</f>
        <v>0</v>
      </c>
    </row>
    <row r="2116" ht="15.75" customHeight="1">
      <c r="A2116" s="2">
        <f>IFERROR(__xludf.DUMMYFUNCTION("""COMPUTED_VALUE"""),45595.0)</f>
        <v>45595</v>
      </c>
      <c r="B2116" s="2" t="str">
        <f>IFERROR(__xludf.DUMMYFUNCTION("""COMPUTED_VALUE"""),"P'TREE CORNERS ")</f>
        <v>P'TREE CORNERS </v>
      </c>
      <c r="C2116" s="2"/>
    </row>
    <row r="2117" ht="15.75" customHeight="1">
      <c r="A2117" s="2">
        <f>IFERROR(__xludf.DUMMYFUNCTION("""COMPUTED_VALUE"""),45595.0)</f>
        <v>45595</v>
      </c>
      <c r="B2117" s="2" t="str">
        <f>IFERROR(__xludf.DUMMYFUNCTION("""COMPUTED_VALUE"""),"UGA/Athens")</f>
        <v>UGA/Athens</v>
      </c>
      <c r="C2117" s="2"/>
    </row>
    <row r="2118" ht="15.75" customHeight="1">
      <c r="A2118" s="2">
        <f>IFERROR(__xludf.DUMMYFUNCTION("""COMPUTED_VALUE"""),45595.0)</f>
        <v>45595</v>
      </c>
      <c r="B2118" s="2" t="str">
        <f>IFERROR(__xludf.DUMMYFUNCTION("""COMPUTED_VALUE"""),"SANDY SPRINGS ")</f>
        <v>SANDY SPRINGS </v>
      </c>
      <c r="C2118" s="2">
        <f>IFERROR(__xludf.DUMMYFUNCTION("""COMPUTED_VALUE"""),452.0)</f>
        <v>452</v>
      </c>
    </row>
    <row r="2119" ht="15.75" customHeight="1">
      <c r="A2119" s="2">
        <f>IFERROR(__xludf.DUMMYFUNCTION("""COMPUTED_VALUE"""),45595.0)</f>
        <v>45595</v>
      </c>
      <c r="B2119" s="2" t="str">
        <f>IFERROR(__xludf.DUMMYFUNCTION("""COMPUTED_VALUE"""),"INTOWN/DRUID HILLS ")</f>
        <v>INTOWN/DRUID HILLS </v>
      </c>
      <c r="C2119" s="2">
        <f>IFERROR(__xludf.DUMMYFUNCTION("""COMPUTED_VALUE"""),1380.0)</f>
        <v>1380</v>
      </c>
    </row>
    <row r="2120" ht="15.75" customHeight="1">
      <c r="A2120" s="2">
        <f>IFERROR(__xludf.DUMMYFUNCTION("""COMPUTED_VALUE"""),45595.0)</f>
        <v>45595</v>
      </c>
      <c r="B2120" s="2" t="str">
        <f>IFERROR(__xludf.DUMMYFUNCTION("""COMPUTED_VALUE"""),"SNELLVILLE")</f>
        <v>SNELLVILLE</v>
      </c>
      <c r="C2120" s="2">
        <f>IFERROR(__xludf.DUMMYFUNCTION("""COMPUTED_VALUE"""),0.0)</f>
        <v>0</v>
      </c>
    </row>
    <row r="2121" ht="15.75" customHeight="1">
      <c r="A2121" s="2">
        <f>IFERROR(__xludf.DUMMYFUNCTION("""COMPUTED_VALUE"""),45595.0)</f>
        <v>45595</v>
      </c>
      <c r="B2121" s="2" t="str">
        <f>IFERROR(__xludf.DUMMYFUNCTION("""COMPUTED_VALUE"""),"GROUPS")</f>
        <v>GROUPS</v>
      </c>
      <c r="C2121" s="2"/>
    </row>
    <row r="2122" ht="15.75" customHeight="1">
      <c r="A2122" s="2">
        <f>IFERROR(__xludf.DUMMYFUNCTION("""COMPUTED_VALUE"""),45595.0)</f>
        <v>45595</v>
      </c>
      <c r="B2122" s="2" t="str">
        <f>IFERROR(__xludf.DUMMYFUNCTION("""COMPUTED_VALUE"""),"Previous Woodstock")</f>
        <v>Previous Woodstock</v>
      </c>
      <c r="C2122" s="2"/>
    </row>
    <row r="2123" ht="15.75" customHeight="1">
      <c r="A2123" s="2">
        <f>IFERROR(__xludf.DUMMYFUNCTION("""COMPUTED_VALUE"""),45595.0)</f>
        <v>45595</v>
      </c>
      <c r="B2123" s="2" t="str">
        <f>IFERROR(__xludf.DUMMYFUNCTION("""COMPUTED_VALUE"""),"Previous Lenox/Brookhaven")</f>
        <v>Previous Lenox/Brookhaven</v>
      </c>
      <c r="C2123" s="2"/>
    </row>
    <row r="2124" ht="15.75" customHeight="1">
      <c r="A2124" s="2">
        <f>IFERROR(__xludf.DUMMYFUNCTION("""COMPUTED_VALUE"""),45595.0)</f>
        <v>45595</v>
      </c>
      <c r="B2124" s="2" t="str">
        <f>IFERROR(__xludf.DUMMYFUNCTION("""COMPUTED_VALUE"""),"Previous New Chastain")</f>
        <v>Previous New Chastain</v>
      </c>
      <c r="C2124" s="2"/>
    </row>
    <row r="2125" ht="15.75" customHeight="1">
      <c r="A2125" s="2">
        <f>IFERROR(__xludf.DUMMYFUNCTION("""COMPUTED_VALUE"""),45595.0)</f>
        <v>45595</v>
      </c>
      <c r="B2125" s="2" t="str">
        <f>IFERROR(__xludf.DUMMYFUNCTION("""COMPUTED_VALUE"""),"Previous Glenwood Park")</f>
        <v>Previous Glenwood Park</v>
      </c>
      <c r="C2125" s="2"/>
    </row>
    <row r="2126" ht="15.75" customHeight="1">
      <c r="A2126" s="2">
        <f>IFERROR(__xludf.DUMMYFUNCTION("""COMPUTED_VALUE"""),45595.0)</f>
        <v>45595</v>
      </c>
      <c r="B2126" s="2" t="str">
        <f>IFERROR(__xludf.DUMMYFUNCTION("""COMPUTED_VALUE"""),"FLOWERY BRANCH")</f>
        <v>FLOWERY BRANCH</v>
      </c>
      <c r="C2126" s="2">
        <f>IFERROR(__xludf.DUMMYFUNCTION("""COMPUTED_VALUE"""),332.0)</f>
        <v>332</v>
      </c>
    </row>
    <row r="2127" ht="15.75" customHeight="1">
      <c r="A2127" s="2">
        <f>IFERROR(__xludf.DUMMYFUNCTION("""COMPUTED_VALUE"""),45595.0)</f>
        <v>45595</v>
      </c>
      <c r="B2127" s="2" t="str">
        <f>IFERROR(__xludf.DUMMYFUNCTION("""COMPUTED_VALUE"""),"GROUPS ")</f>
        <v>GROUPS </v>
      </c>
      <c r="C2127" s="2">
        <f>IFERROR(__xludf.DUMMYFUNCTION("""COMPUTED_VALUE"""),1330.0)</f>
        <v>1330</v>
      </c>
    </row>
    <row r="2128" ht="15.75" customHeight="1">
      <c r="A2128" s="2">
        <f>IFERROR(__xludf.DUMMYFUNCTION("""COMPUTED_VALUE"""),45595.0)</f>
        <v>45595</v>
      </c>
      <c r="B2128" s="2" t="str">
        <f>IFERROR(__xludf.DUMMYFUNCTION("""COMPUTED_VALUE"""),"TOTAL")</f>
        <v>TOTAL</v>
      </c>
      <c r="C2128" s="2"/>
    </row>
    <row r="2129" ht="15.75" customHeight="1">
      <c r="A2129" s="2">
        <f>IFERROR(__xludf.DUMMYFUNCTION("""COMPUTED_VALUE"""),45595.0)</f>
        <v>45595</v>
      </c>
      <c r="B2129" s="2" t="str">
        <f>IFERROR(__xludf.DUMMYFUNCTION("""COMPUTED_VALUE"""),"Collective Learning")</f>
        <v>Collective Learning</v>
      </c>
      <c r="C2129" s="2"/>
    </row>
    <row r="2130" ht="15.75" customHeight="1">
      <c r="A2130" s="2">
        <f>IFERROR(__xludf.DUMMYFUNCTION("""COMPUTED_VALUE"""),45595.0)</f>
        <v>45595</v>
      </c>
      <c r="B2130" s="2" t="str">
        <f>IFERROR(__xludf.DUMMYFUNCTION("""COMPUTED_VALUE"""),"NOTES")</f>
        <v>NOTES</v>
      </c>
      <c r="C2130" s="2"/>
    </row>
    <row r="2131" ht="15.75" customHeight="1">
      <c r="A2131" s="2">
        <f>IFERROR(__xludf.DUMMYFUNCTION("""COMPUTED_VALUE"""),45602.0)</f>
        <v>45602</v>
      </c>
      <c r="B2131" s="2" t="str">
        <f>IFERROR(__xludf.DUMMYFUNCTION("""COMPUTED_VALUE"""),"# of Sandwiches")</f>
        <v># of Sandwiches</v>
      </c>
      <c r="C2131" s="2">
        <f>IFERROR(__xludf.DUMMYFUNCTION("""COMPUTED_VALUE"""),6454.0)</f>
        <v>6454</v>
      </c>
    </row>
    <row r="2132" ht="15.75" customHeight="1">
      <c r="A2132" s="2">
        <f>IFERROR(__xludf.DUMMYFUNCTION("""COMPUTED_VALUE"""),45602.0)</f>
        <v>45602</v>
      </c>
      <c r="B2132" s="2" t="str">
        <f>IFERROR(__xludf.DUMMYFUNCTION("""COMPUTED_VALUE"""),"ALPHARETTA")</f>
        <v>ALPHARETTA</v>
      </c>
      <c r="C2132" s="2">
        <f>IFERROR(__xludf.DUMMYFUNCTION("""COMPUTED_VALUE"""),1427.0)</f>
        <v>1427</v>
      </c>
    </row>
    <row r="2133" ht="15.75" customHeight="1">
      <c r="A2133" s="2">
        <f>IFERROR(__xludf.DUMMYFUNCTION("""COMPUTED_VALUE"""),45602.0)</f>
        <v>45602</v>
      </c>
      <c r="B2133" s="2" t="str">
        <f>IFERROR(__xludf.DUMMYFUNCTION("""COMPUTED_VALUE"""),"PREVIOUS BUCKHEAD")</f>
        <v>PREVIOUS BUCKHEAD</v>
      </c>
      <c r="C2133" s="2"/>
    </row>
    <row r="2134" ht="15.75" customHeight="1">
      <c r="A2134" s="2">
        <f>IFERROR(__xludf.DUMMYFUNCTION("""COMPUTED_VALUE"""),45602.0)</f>
        <v>45602</v>
      </c>
      <c r="B2134" s="2" t="str">
        <f>IFERROR(__xludf.DUMMYFUNCTION("""COMPUTED_VALUE"""),"PREVIOUS OAK GROVE")</f>
        <v>PREVIOUS OAK GROVE</v>
      </c>
      <c r="C2134" s="2"/>
    </row>
    <row r="2135" ht="15.75" customHeight="1">
      <c r="A2135" s="2">
        <f>IFERROR(__xludf.DUMMYFUNCTION("""COMPUTED_VALUE"""),45602.0)</f>
        <v>45602</v>
      </c>
      <c r="B2135" s="2" t="str">
        <f>IFERROR(__xludf.DUMMYFUNCTION("""COMPUTED_VALUE"""),"DUNWOODY/PTC ")</f>
        <v>DUNWOODY/PTC </v>
      </c>
      <c r="C2135" s="2">
        <f>IFERROR(__xludf.DUMMYFUNCTION("""COMPUTED_VALUE"""),1449.0)</f>
        <v>1449</v>
      </c>
    </row>
    <row r="2136" ht="15.75" customHeight="1">
      <c r="A2136" s="2">
        <f>IFERROR(__xludf.DUMMYFUNCTION("""COMPUTED_VALUE"""),45602.0)</f>
        <v>45602</v>
      </c>
      <c r="B2136" s="2" t="str">
        <f>IFERROR(__xludf.DUMMYFUNCTION("""COMPUTED_VALUE"""),"E COBB/ROSWELL")</f>
        <v>E COBB/ROSWELL</v>
      </c>
      <c r="C2136" s="2">
        <f>IFERROR(__xludf.DUMMYFUNCTION("""COMPUTED_VALUE"""),1017.0)</f>
        <v>1017</v>
      </c>
    </row>
    <row r="2137" ht="15.75" customHeight="1">
      <c r="A2137" s="2">
        <f>IFERROR(__xludf.DUMMYFUNCTION("""COMPUTED_VALUE"""),45602.0)</f>
        <v>45602</v>
      </c>
      <c r="B2137" s="2" t="str">
        <f>IFERROR(__xludf.DUMMYFUNCTION("""COMPUTED_VALUE"""),"DECATUR")</f>
        <v>DECATUR</v>
      </c>
      <c r="C2137" s="2">
        <f>IFERROR(__xludf.DUMMYFUNCTION("""COMPUTED_VALUE"""),0.0)</f>
        <v>0</v>
      </c>
    </row>
    <row r="2138" ht="15.75" customHeight="1">
      <c r="A2138" s="2">
        <f>IFERROR(__xludf.DUMMYFUNCTION("""COMPUTED_VALUE"""),45602.0)</f>
        <v>45602</v>
      </c>
      <c r="B2138" s="2" t="str">
        <f>IFERROR(__xludf.DUMMYFUNCTION("""COMPUTED_VALUE"""),"P'TREE CORNERS ")</f>
        <v>P'TREE CORNERS </v>
      </c>
      <c r="C2138" s="2"/>
    </row>
    <row r="2139" ht="15.75" customHeight="1">
      <c r="A2139" s="2">
        <f>IFERROR(__xludf.DUMMYFUNCTION("""COMPUTED_VALUE"""),45602.0)</f>
        <v>45602</v>
      </c>
      <c r="B2139" s="2" t="str">
        <f>IFERROR(__xludf.DUMMYFUNCTION("""COMPUTED_VALUE"""),"UGA/Athens")</f>
        <v>UGA/Athens</v>
      </c>
      <c r="C2139" s="2"/>
    </row>
    <row r="2140" ht="15.75" customHeight="1">
      <c r="A2140" s="2">
        <f>IFERROR(__xludf.DUMMYFUNCTION("""COMPUTED_VALUE"""),45602.0)</f>
        <v>45602</v>
      </c>
      <c r="B2140" s="2" t="str">
        <f>IFERROR(__xludf.DUMMYFUNCTION("""COMPUTED_VALUE"""),"SANDY SPRINGS ")</f>
        <v>SANDY SPRINGS </v>
      </c>
      <c r="C2140" s="2">
        <f>IFERROR(__xludf.DUMMYFUNCTION("""COMPUTED_VALUE"""),452.0)</f>
        <v>452</v>
      </c>
    </row>
    <row r="2141" ht="15.75" customHeight="1">
      <c r="A2141" s="2">
        <f>IFERROR(__xludf.DUMMYFUNCTION("""COMPUTED_VALUE"""),45602.0)</f>
        <v>45602</v>
      </c>
      <c r="B2141" s="2" t="str">
        <f>IFERROR(__xludf.DUMMYFUNCTION("""COMPUTED_VALUE"""),"INTOWN/DRUID HILLS ")</f>
        <v>INTOWN/DRUID HILLS </v>
      </c>
      <c r="C2141" s="2">
        <f>IFERROR(__xludf.DUMMYFUNCTION("""COMPUTED_VALUE"""),1380.0)</f>
        <v>1380</v>
      </c>
    </row>
    <row r="2142" ht="15.75" customHeight="1">
      <c r="A2142" s="2">
        <f>IFERROR(__xludf.DUMMYFUNCTION("""COMPUTED_VALUE"""),45602.0)</f>
        <v>45602</v>
      </c>
      <c r="B2142" s="2" t="str">
        <f>IFERROR(__xludf.DUMMYFUNCTION("""COMPUTED_VALUE"""),"SNELLVILLE")</f>
        <v>SNELLVILLE</v>
      </c>
      <c r="C2142" s="2">
        <f>IFERROR(__xludf.DUMMYFUNCTION("""COMPUTED_VALUE"""),0.0)</f>
        <v>0</v>
      </c>
    </row>
    <row r="2143" ht="15.75" customHeight="1">
      <c r="A2143" s="2">
        <f>IFERROR(__xludf.DUMMYFUNCTION("""COMPUTED_VALUE"""),45602.0)</f>
        <v>45602</v>
      </c>
      <c r="B2143" s="2" t="str">
        <f>IFERROR(__xludf.DUMMYFUNCTION("""COMPUTED_VALUE"""),"GROUPS")</f>
        <v>GROUPS</v>
      </c>
      <c r="C2143" s="2"/>
    </row>
    <row r="2144" ht="15.75" customHeight="1">
      <c r="A2144" s="2">
        <f>IFERROR(__xludf.DUMMYFUNCTION("""COMPUTED_VALUE"""),45602.0)</f>
        <v>45602</v>
      </c>
      <c r="B2144" s="2" t="str">
        <f>IFERROR(__xludf.DUMMYFUNCTION("""COMPUTED_VALUE"""),"Previous Woodstock")</f>
        <v>Previous Woodstock</v>
      </c>
      <c r="C2144" s="2"/>
    </row>
    <row r="2145" ht="15.75" customHeight="1">
      <c r="A2145" s="2">
        <f>IFERROR(__xludf.DUMMYFUNCTION("""COMPUTED_VALUE"""),45602.0)</f>
        <v>45602</v>
      </c>
      <c r="B2145" s="2" t="str">
        <f>IFERROR(__xludf.DUMMYFUNCTION("""COMPUTED_VALUE"""),"Previous Lenox/Brookhaven")</f>
        <v>Previous Lenox/Brookhaven</v>
      </c>
      <c r="C2145" s="2"/>
    </row>
    <row r="2146" ht="15.75" customHeight="1">
      <c r="A2146" s="2">
        <f>IFERROR(__xludf.DUMMYFUNCTION("""COMPUTED_VALUE"""),45602.0)</f>
        <v>45602</v>
      </c>
      <c r="B2146" s="2" t="str">
        <f>IFERROR(__xludf.DUMMYFUNCTION("""COMPUTED_VALUE"""),"Previous New Chastain")</f>
        <v>Previous New Chastain</v>
      </c>
      <c r="C2146" s="2"/>
    </row>
    <row r="2147" ht="15.75" customHeight="1">
      <c r="A2147" s="2">
        <f>IFERROR(__xludf.DUMMYFUNCTION("""COMPUTED_VALUE"""),45602.0)</f>
        <v>45602</v>
      </c>
      <c r="B2147" s="2" t="str">
        <f>IFERROR(__xludf.DUMMYFUNCTION("""COMPUTED_VALUE"""),"Previous Glenwood Park")</f>
        <v>Previous Glenwood Park</v>
      </c>
      <c r="C2147" s="2"/>
    </row>
    <row r="2148" ht="15.75" customHeight="1">
      <c r="A2148" s="2">
        <f>IFERROR(__xludf.DUMMYFUNCTION("""COMPUTED_VALUE"""),45602.0)</f>
        <v>45602</v>
      </c>
      <c r="B2148" s="2" t="str">
        <f>IFERROR(__xludf.DUMMYFUNCTION("""COMPUTED_VALUE"""),"FLOWERY BRANCH")</f>
        <v>FLOWERY BRANCH</v>
      </c>
      <c r="C2148" s="2">
        <f>IFERROR(__xludf.DUMMYFUNCTION("""COMPUTED_VALUE"""),179.0)</f>
        <v>179</v>
      </c>
    </row>
    <row r="2149" ht="15.75" customHeight="1">
      <c r="A2149" s="2">
        <f>IFERROR(__xludf.DUMMYFUNCTION("""COMPUTED_VALUE"""),45602.0)</f>
        <v>45602</v>
      </c>
      <c r="B2149" s="2" t="str">
        <f>IFERROR(__xludf.DUMMYFUNCTION("""COMPUTED_VALUE"""),"GROUPS ")</f>
        <v>GROUPS </v>
      </c>
      <c r="C2149" s="2">
        <f>IFERROR(__xludf.DUMMYFUNCTION("""COMPUTED_VALUE"""),550.0)</f>
        <v>550</v>
      </c>
    </row>
    <row r="2150" ht="15.75" customHeight="1">
      <c r="A2150" s="2">
        <f>IFERROR(__xludf.DUMMYFUNCTION("""COMPUTED_VALUE"""),45602.0)</f>
        <v>45602</v>
      </c>
      <c r="B2150" s="2" t="str">
        <f>IFERROR(__xludf.DUMMYFUNCTION("""COMPUTED_VALUE"""),"TOTAL")</f>
        <v>TOTAL</v>
      </c>
      <c r="C2150" s="2"/>
    </row>
    <row r="2151" ht="15.75" customHeight="1">
      <c r="A2151" s="2">
        <f>IFERROR(__xludf.DUMMYFUNCTION("""COMPUTED_VALUE"""),45602.0)</f>
        <v>45602</v>
      </c>
      <c r="B2151" s="2" t="str">
        <f>IFERROR(__xludf.DUMMYFUNCTION("""COMPUTED_VALUE"""),"Collective Learning")</f>
        <v>Collective Learning</v>
      </c>
      <c r="C2151" s="2"/>
    </row>
    <row r="2152" ht="15.75" customHeight="1">
      <c r="A2152" s="2">
        <f>IFERROR(__xludf.DUMMYFUNCTION("""COMPUTED_VALUE"""),45602.0)</f>
        <v>45602</v>
      </c>
      <c r="B2152" s="2" t="str">
        <f>IFERROR(__xludf.DUMMYFUNCTION("""COMPUTED_VALUE"""),"NOTES")</f>
        <v>NOTES</v>
      </c>
      <c r="C2152" s="2"/>
    </row>
    <row r="2153" ht="15.75" customHeight="1">
      <c r="A2153" s="2">
        <f>IFERROR(__xludf.DUMMYFUNCTION("""COMPUTED_VALUE"""),45609.0)</f>
        <v>45609</v>
      </c>
      <c r="B2153" s="2" t="str">
        <f>IFERROR(__xludf.DUMMYFUNCTION("""COMPUTED_VALUE"""),"# of Sandwiches")</f>
        <v># of Sandwiches</v>
      </c>
      <c r="C2153" s="2">
        <f>IFERROR(__xludf.DUMMYFUNCTION("""COMPUTED_VALUE"""),7036.0)</f>
        <v>7036</v>
      </c>
    </row>
    <row r="2154" ht="15.75" customHeight="1">
      <c r="A2154" s="2">
        <f>IFERROR(__xludf.DUMMYFUNCTION("""COMPUTED_VALUE"""),45609.0)</f>
        <v>45609</v>
      </c>
      <c r="B2154" s="2" t="str">
        <f>IFERROR(__xludf.DUMMYFUNCTION("""COMPUTED_VALUE"""),"ALPHARETTA")</f>
        <v>ALPHARETTA</v>
      </c>
      <c r="C2154" s="2">
        <f>IFERROR(__xludf.DUMMYFUNCTION("""COMPUTED_VALUE"""),1226.0)</f>
        <v>1226</v>
      </c>
    </row>
    <row r="2155" ht="15.75" customHeight="1">
      <c r="A2155" s="2">
        <f>IFERROR(__xludf.DUMMYFUNCTION("""COMPUTED_VALUE"""),45609.0)</f>
        <v>45609</v>
      </c>
      <c r="B2155" s="2" t="str">
        <f>IFERROR(__xludf.DUMMYFUNCTION("""COMPUTED_VALUE"""),"PREVIOUS BUCKHEAD")</f>
        <v>PREVIOUS BUCKHEAD</v>
      </c>
      <c r="C2155" s="2"/>
    </row>
    <row r="2156" ht="15.75" customHeight="1">
      <c r="A2156" s="2">
        <f>IFERROR(__xludf.DUMMYFUNCTION("""COMPUTED_VALUE"""),45609.0)</f>
        <v>45609</v>
      </c>
      <c r="B2156" s="2" t="str">
        <f>IFERROR(__xludf.DUMMYFUNCTION("""COMPUTED_VALUE"""),"PREVIOUS OAK GROVE")</f>
        <v>PREVIOUS OAK GROVE</v>
      </c>
      <c r="C2156" s="2"/>
    </row>
    <row r="2157" ht="15.75" customHeight="1">
      <c r="A2157" s="2">
        <f>IFERROR(__xludf.DUMMYFUNCTION("""COMPUTED_VALUE"""),45609.0)</f>
        <v>45609</v>
      </c>
      <c r="B2157" s="2" t="str">
        <f>IFERROR(__xludf.DUMMYFUNCTION("""COMPUTED_VALUE"""),"DUNWOODY/PTC ")</f>
        <v>DUNWOODY/PTC </v>
      </c>
      <c r="C2157" s="2">
        <f>IFERROR(__xludf.DUMMYFUNCTION("""COMPUTED_VALUE"""),1396.0)</f>
        <v>1396</v>
      </c>
    </row>
    <row r="2158" ht="15.75" customHeight="1">
      <c r="A2158" s="2">
        <f>IFERROR(__xludf.DUMMYFUNCTION("""COMPUTED_VALUE"""),45609.0)</f>
        <v>45609</v>
      </c>
      <c r="B2158" s="2" t="str">
        <f>IFERROR(__xludf.DUMMYFUNCTION("""COMPUTED_VALUE"""),"E COBB/ROSWELL")</f>
        <v>E COBB/ROSWELL</v>
      </c>
      <c r="C2158" s="2">
        <f>IFERROR(__xludf.DUMMYFUNCTION("""COMPUTED_VALUE"""),1389.0)</f>
        <v>1389</v>
      </c>
    </row>
    <row r="2159" ht="15.75" customHeight="1">
      <c r="A2159" s="2">
        <f>IFERROR(__xludf.DUMMYFUNCTION("""COMPUTED_VALUE"""),45609.0)</f>
        <v>45609</v>
      </c>
      <c r="B2159" s="2" t="str">
        <f>IFERROR(__xludf.DUMMYFUNCTION("""COMPUTED_VALUE"""),"DECATUR")</f>
        <v>DECATUR</v>
      </c>
      <c r="C2159" s="2">
        <f>IFERROR(__xludf.DUMMYFUNCTION("""COMPUTED_VALUE"""),54.0)</f>
        <v>54</v>
      </c>
    </row>
    <row r="2160" ht="15.75" customHeight="1">
      <c r="A2160" s="2">
        <f>IFERROR(__xludf.DUMMYFUNCTION("""COMPUTED_VALUE"""),45609.0)</f>
        <v>45609</v>
      </c>
      <c r="B2160" s="2" t="str">
        <f>IFERROR(__xludf.DUMMYFUNCTION("""COMPUTED_VALUE"""),"P'TREE CORNERS ")</f>
        <v>P'TREE CORNERS </v>
      </c>
      <c r="C2160" s="2"/>
    </row>
    <row r="2161" ht="15.75" customHeight="1">
      <c r="A2161" s="2">
        <f>IFERROR(__xludf.DUMMYFUNCTION("""COMPUTED_VALUE"""),45609.0)</f>
        <v>45609</v>
      </c>
      <c r="B2161" s="2" t="str">
        <f>IFERROR(__xludf.DUMMYFUNCTION("""COMPUTED_VALUE"""),"UGA/Athens")</f>
        <v>UGA/Athens</v>
      </c>
      <c r="C2161" s="2"/>
    </row>
    <row r="2162" ht="15.75" customHeight="1">
      <c r="A2162" s="2">
        <f>IFERROR(__xludf.DUMMYFUNCTION("""COMPUTED_VALUE"""),45609.0)</f>
        <v>45609</v>
      </c>
      <c r="B2162" s="2" t="str">
        <f>IFERROR(__xludf.DUMMYFUNCTION("""COMPUTED_VALUE"""),"SANDY SPRINGS ")</f>
        <v>SANDY SPRINGS </v>
      </c>
      <c r="C2162" s="2">
        <f>IFERROR(__xludf.DUMMYFUNCTION("""COMPUTED_VALUE"""),554.0)</f>
        <v>554</v>
      </c>
    </row>
    <row r="2163" ht="15.75" customHeight="1">
      <c r="A2163" s="2">
        <f>IFERROR(__xludf.DUMMYFUNCTION("""COMPUTED_VALUE"""),45609.0)</f>
        <v>45609</v>
      </c>
      <c r="B2163" s="2" t="str">
        <f>IFERROR(__xludf.DUMMYFUNCTION("""COMPUTED_VALUE"""),"INTOWN/DRUID HILLS ")</f>
        <v>INTOWN/DRUID HILLS </v>
      </c>
      <c r="C2163" s="2">
        <f>IFERROR(__xludf.DUMMYFUNCTION("""COMPUTED_VALUE"""),437.0)</f>
        <v>437</v>
      </c>
    </row>
    <row r="2164" ht="15.75" customHeight="1">
      <c r="A2164" s="2">
        <f>IFERROR(__xludf.DUMMYFUNCTION("""COMPUTED_VALUE"""),45609.0)</f>
        <v>45609</v>
      </c>
      <c r="B2164" s="2" t="str">
        <f>IFERROR(__xludf.DUMMYFUNCTION("""COMPUTED_VALUE"""),"SNELLVILLE")</f>
        <v>SNELLVILLE</v>
      </c>
      <c r="C2164" s="2">
        <f>IFERROR(__xludf.DUMMYFUNCTION("""COMPUTED_VALUE"""),0.0)</f>
        <v>0</v>
      </c>
    </row>
    <row r="2165" ht="15.75" customHeight="1">
      <c r="A2165" s="2">
        <f>IFERROR(__xludf.DUMMYFUNCTION("""COMPUTED_VALUE"""),45609.0)</f>
        <v>45609</v>
      </c>
      <c r="B2165" s="2" t="str">
        <f>IFERROR(__xludf.DUMMYFUNCTION("""COMPUTED_VALUE"""),"GROUPS")</f>
        <v>GROUPS</v>
      </c>
      <c r="C2165" s="2"/>
    </row>
    <row r="2166" ht="15.75" customHeight="1">
      <c r="A2166" s="2">
        <f>IFERROR(__xludf.DUMMYFUNCTION("""COMPUTED_VALUE"""),45609.0)</f>
        <v>45609</v>
      </c>
      <c r="B2166" s="2" t="str">
        <f>IFERROR(__xludf.DUMMYFUNCTION("""COMPUTED_VALUE"""),"Previous Woodstock")</f>
        <v>Previous Woodstock</v>
      </c>
      <c r="C2166" s="2"/>
    </row>
    <row r="2167" ht="15.75" customHeight="1">
      <c r="A2167" s="2">
        <f>IFERROR(__xludf.DUMMYFUNCTION("""COMPUTED_VALUE"""),45609.0)</f>
        <v>45609</v>
      </c>
      <c r="B2167" s="2" t="str">
        <f>IFERROR(__xludf.DUMMYFUNCTION("""COMPUTED_VALUE"""),"Previous Lenox/Brookhaven")</f>
        <v>Previous Lenox/Brookhaven</v>
      </c>
      <c r="C2167" s="2"/>
    </row>
    <row r="2168" ht="15.75" customHeight="1">
      <c r="A2168" s="2">
        <f>IFERROR(__xludf.DUMMYFUNCTION("""COMPUTED_VALUE"""),45609.0)</f>
        <v>45609</v>
      </c>
      <c r="B2168" s="2" t="str">
        <f>IFERROR(__xludf.DUMMYFUNCTION("""COMPUTED_VALUE"""),"Previous New Chastain")</f>
        <v>Previous New Chastain</v>
      </c>
      <c r="C2168" s="2"/>
    </row>
    <row r="2169" ht="15.75" customHeight="1">
      <c r="A2169" s="2">
        <f>IFERROR(__xludf.DUMMYFUNCTION("""COMPUTED_VALUE"""),45609.0)</f>
        <v>45609</v>
      </c>
      <c r="B2169" s="2" t="str">
        <f>IFERROR(__xludf.DUMMYFUNCTION("""COMPUTED_VALUE"""),"Previous Glenwood Park")</f>
        <v>Previous Glenwood Park</v>
      </c>
      <c r="C2169" s="2"/>
    </row>
    <row r="2170" ht="15.75" customHeight="1">
      <c r="A2170" s="2">
        <f>IFERROR(__xludf.DUMMYFUNCTION("""COMPUTED_VALUE"""),45609.0)</f>
        <v>45609</v>
      </c>
      <c r="B2170" s="2" t="str">
        <f>IFERROR(__xludf.DUMMYFUNCTION("""COMPUTED_VALUE"""),"FLOWERY BRANCH")</f>
        <v>FLOWERY BRANCH</v>
      </c>
      <c r="C2170" s="2">
        <f>IFERROR(__xludf.DUMMYFUNCTION("""COMPUTED_VALUE"""),200.0)</f>
        <v>200</v>
      </c>
    </row>
    <row r="2171" ht="15.75" customHeight="1">
      <c r="A2171" s="2">
        <f>IFERROR(__xludf.DUMMYFUNCTION("""COMPUTED_VALUE"""),45609.0)</f>
        <v>45609</v>
      </c>
      <c r="B2171" s="2" t="str">
        <f>IFERROR(__xludf.DUMMYFUNCTION("""COMPUTED_VALUE"""),"GROUPS ")</f>
        <v>GROUPS </v>
      </c>
      <c r="C2171" s="2">
        <f>IFERROR(__xludf.DUMMYFUNCTION("""COMPUTED_VALUE"""),1780.0)</f>
        <v>1780</v>
      </c>
    </row>
    <row r="2172" ht="15.75" customHeight="1">
      <c r="A2172" s="2">
        <f>IFERROR(__xludf.DUMMYFUNCTION("""COMPUTED_VALUE"""),45609.0)</f>
        <v>45609</v>
      </c>
      <c r="B2172" s="2" t="str">
        <f>IFERROR(__xludf.DUMMYFUNCTION("""COMPUTED_VALUE"""),"TOTAL")</f>
        <v>TOTAL</v>
      </c>
      <c r="C2172" s="2"/>
    </row>
    <row r="2173" ht="15.75" customHeight="1">
      <c r="A2173" s="2">
        <f>IFERROR(__xludf.DUMMYFUNCTION("""COMPUTED_VALUE"""),45609.0)</f>
        <v>45609</v>
      </c>
      <c r="B2173" s="2" t="str">
        <f>IFERROR(__xludf.DUMMYFUNCTION("""COMPUTED_VALUE"""),"Collective Learning")</f>
        <v>Collective Learning</v>
      </c>
      <c r="C2173" s="2"/>
    </row>
    <row r="2174" ht="15.75" customHeight="1">
      <c r="A2174" s="2">
        <f>IFERROR(__xludf.DUMMYFUNCTION("""COMPUTED_VALUE"""),45609.0)</f>
        <v>45609</v>
      </c>
      <c r="B2174" s="2" t="str">
        <f>IFERROR(__xludf.DUMMYFUNCTION("""COMPUTED_VALUE"""),"NOTES")</f>
        <v>NOTES</v>
      </c>
      <c r="C2174" s="2"/>
    </row>
    <row r="2175" ht="15.75" customHeight="1">
      <c r="A2175" s="2">
        <f>IFERROR(__xludf.DUMMYFUNCTION("""COMPUTED_VALUE"""),45616.0)</f>
        <v>45616</v>
      </c>
      <c r="B2175" s="2" t="str">
        <f>IFERROR(__xludf.DUMMYFUNCTION("""COMPUTED_VALUE"""),"# of Sandwiches")</f>
        <v># of Sandwiches</v>
      </c>
      <c r="C2175" s="2">
        <f>IFERROR(__xludf.DUMMYFUNCTION("""COMPUTED_VALUE"""),16371.0)</f>
        <v>16371</v>
      </c>
    </row>
    <row r="2176" ht="15.75" customHeight="1">
      <c r="A2176" s="2">
        <f>IFERROR(__xludf.DUMMYFUNCTION("""COMPUTED_VALUE"""),45616.0)</f>
        <v>45616</v>
      </c>
      <c r="B2176" s="2" t="str">
        <f>IFERROR(__xludf.DUMMYFUNCTION("""COMPUTED_VALUE"""),"ALPHARETTA")</f>
        <v>ALPHARETTA</v>
      </c>
      <c r="C2176" s="2">
        <f>IFERROR(__xludf.DUMMYFUNCTION("""COMPUTED_VALUE"""),3625.0)</f>
        <v>3625</v>
      </c>
    </row>
    <row r="2177" ht="15.75" customHeight="1">
      <c r="A2177" s="2">
        <f>IFERROR(__xludf.DUMMYFUNCTION("""COMPUTED_VALUE"""),45616.0)</f>
        <v>45616</v>
      </c>
      <c r="B2177" s="2" t="str">
        <f>IFERROR(__xludf.DUMMYFUNCTION("""COMPUTED_VALUE"""),"PREVIOUS BUCKHEAD")</f>
        <v>PREVIOUS BUCKHEAD</v>
      </c>
      <c r="C2177" s="2"/>
    </row>
    <row r="2178" ht="15.75" customHeight="1">
      <c r="A2178" s="2">
        <f>IFERROR(__xludf.DUMMYFUNCTION("""COMPUTED_VALUE"""),45616.0)</f>
        <v>45616</v>
      </c>
      <c r="B2178" s="2" t="str">
        <f>IFERROR(__xludf.DUMMYFUNCTION("""COMPUTED_VALUE"""),"PREVIOUS OAK GROVE")</f>
        <v>PREVIOUS OAK GROVE</v>
      </c>
      <c r="C2178" s="2"/>
    </row>
    <row r="2179" ht="15.75" customHeight="1">
      <c r="A2179" s="2">
        <f>IFERROR(__xludf.DUMMYFUNCTION("""COMPUTED_VALUE"""),45616.0)</f>
        <v>45616</v>
      </c>
      <c r="B2179" s="2" t="str">
        <f>IFERROR(__xludf.DUMMYFUNCTION("""COMPUTED_VALUE"""),"DUNWOODY/PTC ")</f>
        <v>DUNWOODY/PTC </v>
      </c>
      <c r="C2179" s="2">
        <f>IFERROR(__xludf.DUMMYFUNCTION("""COMPUTED_VALUE"""),2378.0)</f>
        <v>2378</v>
      </c>
    </row>
    <row r="2180" ht="15.75" customHeight="1">
      <c r="A2180" s="2">
        <f>IFERROR(__xludf.DUMMYFUNCTION("""COMPUTED_VALUE"""),45616.0)</f>
        <v>45616</v>
      </c>
      <c r="B2180" s="2" t="str">
        <f>IFERROR(__xludf.DUMMYFUNCTION("""COMPUTED_VALUE"""),"E COBB/ROSWELL")</f>
        <v>E COBB/ROSWELL</v>
      </c>
      <c r="C2180" s="2">
        <f>IFERROR(__xludf.DUMMYFUNCTION("""COMPUTED_VALUE"""),1643.0)</f>
        <v>1643</v>
      </c>
    </row>
    <row r="2181" ht="15.75" customHeight="1">
      <c r="A2181" s="2">
        <f>IFERROR(__xludf.DUMMYFUNCTION("""COMPUTED_VALUE"""),45616.0)</f>
        <v>45616</v>
      </c>
      <c r="B2181" s="2" t="str">
        <f>IFERROR(__xludf.DUMMYFUNCTION("""COMPUTED_VALUE"""),"DECATUR")</f>
        <v>DECATUR</v>
      </c>
      <c r="C2181" s="2">
        <f>IFERROR(__xludf.DUMMYFUNCTION("""COMPUTED_VALUE"""),64.0)</f>
        <v>64</v>
      </c>
    </row>
    <row r="2182" ht="15.75" customHeight="1">
      <c r="A2182" s="2">
        <f>IFERROR(__xludf.DUMMYFUNCTION("""COMPUTED_VALUE"""),45616.0)</f>
        <v>45616</v>
      </c>
      <c r="B2182" s="2" t="str">
        <f>IFERROR(__xludf.DUMMYFUNCTION("""COMPUTED_VALUE"""),"P'TREE CORNERS ")</f>
        <v>P'TREE CORNERS </v>
      </c>
      <c r="C2182" s="2"/>
    </row>
    <row r="2183" ht="15.75" customHeight="1">
      <c r="A2183" s="2">
        <f>IFERROR(__xludf.DUMMYFUNCTION("""COMPUTED_VALUE"""),45616.0)</f>
        <v>45616</v>
      </c>
      <c r="B2183" s="2" t="str">
        <f>IFERROR(__xludf.DUMMYFUNCTION("""COMPUTED_VALUE"""),"UGA/Athens")</f>
        <v>UGA/Athens</v>
      </c>
      <c r="C2183" s="2"/>
    </row>
    <row r="2184" ht="15.75" customHeight="1">
      <c r="A2184" s="2">
        <f>IFERROR(__xludf.DUMMYFUNCTION("""COMPUTED_VALUE"""),45616.0)</f>
        <v>45616</v>
      </c>
      <c r="B2184" s="2" t="str">
        <f>IFERROR(__xludf.DUMMYFUNCTION("""COMPUTED_VALUE"""),"SANDY SPRINGS ")</f>
        <v>SANDY SPRINGS </v>
      </c>
      <c r="C2184" s="2">
        <f>IFERROR(__xludf.DUMMYFUNCTION("""COMPUTED_VALUE"""),1087.0)</f>
        <v>1087</v>
      </c>
    </row>
    <row r="2185" ht="15.75" customHeight="1">
      <c r="A2185" s="2">
        <f>IFERROR(__xludf.DUMMYFUNCTION("""COMPUTED_VALUE"""),45616.0)</f>
        <v>45616</v>
      </c>
      <c r="B2185" s="2" t="str">
        <f>IFERROR(__xludf.DUMMYFUNCTION("""COMPUTED_VALUE"""),"INTOWN/DRUID HILLS ")</f>
        <v>INTOWN/DRUID HILLS </v>
      </c>
      <c r="C2185" s="2">
        <f>IFERROR(__xludf.DUMMYFUNCTION("""COMPUTED_VALUE"""),861.0)</f>
        <v>861</v>
      </c>
    </row>
    <row r="2186" ht="15.75" customHeight="1">
      <c r="A2186" s="2">
        <f>IFERROR(__xludf.DUMMYFUNCTION("""COMPUTED_VALUE"""),45616.0)</f>
        <v>45616</v>
      </c>
      <c r="B2186" s="2" t="str">
        <f>IFERROR(__xludf.DUMMYFUNCTION("""COMPUTED_VALUE"""),"SNELLVILLE")</f>
        <v>SNELLVILLE</v>
      </c>
      <c r="C2186" s="2">
        <f>IFERROR(__xludf.DUMMYFUNCTION("""COMPUTED_VALUE"""),0.0)</f>
        <v>0</v>
      </c>
    </row>
    <row r="2187" ht="15.75" customHeight="1">
      <c r="A2187" s="2">
        <f>IFERROR(__xludf.DUMMYFUNCTION("""COMPUTED_VALUE"""),45616.0)</f>
        <v>45616</v>
      </c>
      <c r="B2187" s="2" t="str">
        <f>IFERROR(__xludf.DUMMYFUNCTION("""COMPUTED_VALUE"""),"GROUPS")</f>
        <v>GROUPS</v>
      </c>
      <c r="C2187" s="2"/>
    </row>
    <row r="2188" ht="15.75" customHeight="1">
      <c r="A2188" s="2">
        <f>IFERROR(__xludf.DUMMYFUNCTION("""COMPUTED_VALUE"""),45616.0)</f>
        <v>45616</v>
      </c>
      <c r="B2188" s="2" t="str">
        <f>IFERROR(__xludf.DUMMYFUNCTION("""COMPUTED_VALUE"""),"Previous Woodstock")</f>
        <v>Previous Woodstock</v>
      </c>
      <c r="C2188" s="2"/>
    </row>
    <row r="2189" ht="15.75" customHeight="1">
      <c r="A2189" s="2">
        <f>IFERROR(__xludf.DUMMYFUNCTION("""COMPUTED_VALUE"""),45616.0)</f>
        <v>45616</v>
      </c>
      <c r="B2189" s="2" t="str">
        <f>IFERROR(__xludf.DUMMYFUNCTION("""COMPUTED_VALUE"""),"Previous Lenox/Brookhaven")</f>
        <v>Previous Lenox/Brookhaven</v>
      </c>
      <c r="C2189" s="2"/>
    </row>
    <row r="2190" ht="15.75" customHeight="1">
      <c r="A2190" s="2">
        <f>IFERROR(__xludf.DUMMYFUNCTION("""COMPUTED_VALUE"""),45616.0)</f>
        <v>45616</v>
      </c>
      <c r="B2190" s="2" t="str">
        <f>IFERROR(__xludf.DUMMYFUNCTION("""COMPUTED_VALUE"""),"Previous New Chastain")</f>
        <v>Previous New Chastain</v>
      </c>
      <c r="C2190" s="2"/>
    </row>
    <row r="2191" ht="15.75" customHeight="1">
      <c r="A2191" s="2">
        <f>IFERROR(__xludf.DUMMYFUNCTION("""COMPUTED_VALUE"""),45616.0)</f>
        <v>45616</v>
      </c>
      <c r="B2191" s="2" t="str">
        <f>IFERROR(__xludf.DUMMYFUNCTION("""COMPUTED_VALUE"""),"Previous Glenwood Park")</f>
        <v>Previous Glenwood Park</v>
      </c>
      <c r="C2191" s="2"/>
    </row>
    <row r="2192" ht="15.75" customHeight="1">
      <c r="A2192" s="2">
        <f>IFERROR(__xludf.DUMMYFUNCTION("""COMPUTED_VALUE"""),45616.0)</f>
        <v>45616</v>
      </c>
      <c r="B2192" s="2" t="str">
        <f>IFERROR(__xludf.DUMMYFUNCTION("""COMPUTED_VALUE"""),"FLOWERY BRANCH")</f>
        <v>FLOWERY BRANCH</v>
      </c>
      <c r="C2192" s="2">
        <f>IFERROR(__xludf.DUMMYFUNCTION("""COMPUTED_VALUE"""),304.0)</f>
        <v>304</v>
      </c>
    </row>
    <row r="2193" ht="15.75" customHeight="1">
      <c r="A2193" s="2">
        <f>IFERROR(__xludf.DUMMYFUNCTION("""COMPUTED_VALUE"""),45616.0)</f>
        <v>45616</v>
      </c>
      <c r="B2193" s="2" t="str">
        <f>IFERROR(__xludf.DUMMYFUNCTION("""COMPUTED_VALUE"""),"GROUPS ")</f>
        <v>GROUPS </v>
      </c>
      <c r="C2193" s="2">
        <f>IFERROR(__xludf.DUMMYFUNCTION("""COMPUTED_VALUE"""),6409.0)</f>
        <v>6409</v>
      </c>
    </row>
    <row r="2194" ht="15.75" customHeight="1">
      <c r="A2194" s="2">
        <f>IFERROR(__xludf.DUMMYFUNCTION("""COMPUTED_VALUE"""),45616.0)</f>
        <v>45616</v>
      </c>
      <c r="B2194" s="2" t="str">
        <f>IFERROR(__xludf.DUMMYFUNCTION("""COMPUTED_VALUE"""),"TOTAL")</f>
        <v>TOTAL</v>
      </c>
      <c r="C2194" s="2"/>
    </row>
    <row r="2195" ht="15.75" customHeight="1">
      <c r="A2195" s="2">
        <f>IFERROR(__xludf.DUMMYFUNCTION("""COMPUTED_VALUE"""),45616.0)</f>
        <v>45616</v>
      </c>
      <c r="B2195" s="2" t="str">
        <f>IFERROR(__xludf.DUMMYFUNCTION("""COMPUTED_VALUE"""),"Collective Learning")</f>
        <v>Collective Learning</v>
      </c>
      <c r="C2195" s="2"/>
    </row>
    <row r="2196" ht="15.75" customHeight="1">
      <c r="A2196" s="2">
        <f>IFERROR(__xludf.DUMMYFUNCTION("""COMPUTED_VALUE"""),45616.0)</f>
        <v>45616</v>
      </c>
      <c r="B2196" s="2" t="str">
        <f>IFERROR(__xludf.DUMMYFUNCTION("""COMPUTED_VALUE"""),"NOTES")</f>
        <v>NOTES</v>
      </c>
      <c r="C2196" s="2"/>
    </row>
    <row r="2197" ht="15.75" customHeight="1">
      <c r="A2197" s="2">
        <f>IFERROR(__xludf.DUMMYFUNCTION("""COMPUTED_VALUE"""),45623.0)</f>
        <v>45623</v>
      </c>
      <c r="B2197" s="2" t="str">
        <f>IFERROR(__xludf.DUMMYFUNCTION("""COMPUTED_VALUE"""),"# of Sandwiches")</f>
        <v># of Sandwiches</v>
      </c>
      <c r="C2197" s="2">
        <f>IFERROR(__xludf.DUMMYFUNCTION("""COMPUTED_VALUE"""),0.0)</f>
        <v>0</v>
      </c>
    </row>
    <row r="2198" ht="15.75" customHeight="1">
      <c r="A2198" s="2">
        <f>IFERROR(__xludf.DUMMYFUNCTION("""COMPUTED_VALUE"""),45623.0)</f>
        <v>45623</v>
      </c>
      <c r="B2198" s="2" t="str">
        <f>IFERROR(__xludf.DUMMYFUNCTION("""COMPUTED_VALUE"""),"ALPHARETTA")</f>
        <v>ALPHARETTA</v>
      </c>
      <c r="C2198" s="2"/>
    </row>
    <row r="2199" ht="15.75" customHeight="1">
      <c r="A2199" s="2">
        <f>IFERROR(__xludf.DUMMYFUNCTION("""COMPUTED_VALUE"""),45623.0)</f>
        <v>45623</v>
      </c>
      <c r="B2199" s="2" t="str">
        <f>IFERROR(__xludf.DUMMYFUNCTION("""COMPUTED_VALUE"""),"PREVIOUS BUCKHEAD")</f>
        <v>PREVIOUS BUCKHEAD</v>
      </c>
      <c r="C2199" s="2"/>
    </row>
    <row r="2200" ht="15.75" customHeight="1">
      <c r="A2200" s="2">
        <f>IFERROR(__xludf.DUMMYFUNCTION("""COMPUTED_VALUE"""),45623.0)</f>
        <v>45623</v>
      </c>
      <c r="B2200" s="2" t="str">
        <f>IFERROR(__xludf.DUMMYFUNCTION("""COMPUTED_VALUE"""),"PREVIOUS OAK GROVE")</f>
        <v>PREVIOUS OAK GROVE</v>
      </c>
      <c r="C2200" s="2"/>
    </row>
    <row r="2201" ht="15.75" customHeight="1">
      <c r="A2201" s="2">
        <f>IFERROR(__xludf.DUMMYFUNCTION("""COMPUTED_VALUE"""),45623.0)</f>
        <v>45623</v>
      </c>
      <c r="B2201" s="2" t="str">
        <f>IFERROR(__xludf.DUMMYFUNCTION("""COMPUTED_VALUE"""),"DUNWOODY/PTC ")</f>
        <v>DUNWOODY/PTC </v>
      </c>
      <c r="C2201" s="2"/>
    </row>
    <row r="2202" ht="15.75" customHeight="1">
      <c r="A2202" s="2">
        <f>IFERROR(__xludf.DUMMYFUNCTION("""COMPUTED_VALUE"""),45623.0)</f>
        <v>45623</v>
      </c>
      <c r="B2202" s="2" t="str">
        <f>IFERROR(__xludf.DUMMYFUNCTION("""COMPUTED_VALUE"""),"E COBB/ROSWELL")</f>
        <v>E COBB/ROSWELL</v>
      </c>
      <c r="C2202" s="2"/>
    </row>
    <row r="2203" ht="15.75" customHeight="1">
      <c r="A2203" s="2">
        <f>IFERROR(__xludf.DUMMYFUNCTION("""COMPUTED_VALUE"""),45623.0)</f>
        <v>45623</v>
      </c>
      <c r="B2203" s="2" t="str">
        <f>IFERROR(__xludf.DUMMYFUNCTION("""COMPUTED_VALUE"""),"DECATUR")</f>
        <v>DECATUR</v>
      </c>
      <c r="C2203" s="2"/>
    </row>
    <row r="2204" ht="15.75" customHeight="1">
      <c r="A2204" s="2">
        <f>IFERROR(__xludf.DUMMYFUNCTION("""COMPUTED_VALUE"""),45623.0)</f>
        <v>45623</v>
      </c>
      <c r="B2204" s="2" t="str">
        <f>IFERROR(__xludf.DUMMYFUNCTION("""COMPUTED_VALUE"""),"P'TREE CORNERS ")</f>
        <v>P'TREE CORNERS </v>
      </c>
      <c r="C2204" s="2" t="str">
        <f>IFERROR(__xludf.DUMMYFUNCTION("""COMPUTED_VALUE"""),"N/A")</f>
        <v>N/A</v>
      </c>
    </row>
    <row r="2205" ht="15.75" customHeight="1">
      <c r="A2205" s="2">
        <f>IFERROR(__xludf.DUMMYFUNCTION("""COMPUTED_VALUE"""),45623.0)</f>
        <v>45623</v>
      </c>
      <c r="B2205" s="2" t="str">
        <f>IFERROR(__xludf.DUMMYFUNCTION("""COMPUTED_VALUE"""),"UGA/Athens")</f>
        <v>UGA/Athens</v>
      </c>
      <c r="C2205" s="2"/>
    </row>
    <row r="2206" ht="15.75" customHeight="1">
      <c r="A2206" s="2">
        <f>IFERROR(__xludf.DUMMYFUNCTION("""COMPUTED_VALUE"""),45623.0)</f>
        <v>45623</v>
      </c>
      <c r="B2206" s="2" t="str">
        <f>IFERROR(__xludf.DUMMYFUNCTION("""COMPUTED_VALUE"""),"SANDY SPRINGS ")</f>
        <v>SANDY SPRINGS </v>
      </c>
      <c r="C2206" s="2"/>
    </row>
    <row r="2207" ht="15.75" customHeight="1">
      <c r="A2207" s="2">
        <f>IFERROR(__xludf.DUMMYFUNCTION("""COMPUTED_VALUE"""),45623.0)</f>
        <v>45623</v>
      </c>
      <c r="B2207" s="2" t="str">
        <f>IFERROR(__xludf.DUMMYFUNCTION("""COMPUTED_VALUE"""),"INTOWN/DRUID HILLS ")</f>
        <v>INTOWN/DRUID HILLS </v>
      </c>
      <c r="C2207" s="2"/>
    </row>
    <row r="2208" ht="15.75" customHeight="1">
      <c r="A2208" s="2">
        <f>IFERROR(__xludf.DUMMYFUNCTION("""COMPUTED_VALUE"""),45623.0)</f>
        <v>45623</v>
      </c>
      <c r="B2208" s="2" t="str">
        <f>IFERROR(__xludf.DUMMYFUNCTION("""COMPUTED_VALUE"""),"SNELLVILLE")</f>
        <v>SNELLVILLE</v>
      </c>
      <c r="C2208" s="2"/>
    </row>
    <row r="2209" ht="15.75" customHeight="1">
      <c r="A2209" s="2">
        <f>IFERROR(__xludf.DUMMYFUNCTION("""COMPUTED_VALUE"""),45623.0)</f>
        <v>45623</v>
      </c>
      <c r="B2209" s="2" t="str">
        <f>IFERROR(__xludf.DUMMYFUNCTION("""COMPUTED_VALUE"""),"GROUPS")</f>
        <v>GROUPS</v>
      </c>
      <c r="C2209" s="2"/>
    </row>
    <row r="2210" ht="15.75" customHeight="1">
      <c r="A2210" s="2">
        <f>IFERROR(__xludf.DUMMYFUNCTION("""COMPUTED_VALUE"""),45623.0)</f>
        <v>45623</v>
      </c>
      <c r="B2210" s="2" t="str">
        <f>IFERROR(__xludf.DUMMYFUNCTION("""COMPUTED_VALUE"""),"Previous Woodstock")</f>
        <v>Previous Woodstock</v>
      </c>
      <c r="C2210" s="2"/>
    </row>
    <row r="2211" ht="15.75" customHeight="1">
      <c r="A2211" s="2">
        <f>IFERROR(__xludf.DUMMYFUNCTION("""COMPUTED_VALUE"""),45623.0)</f>
        <v>45623</v>
      </c>
      <c r="B2211" s="2" t="str">
        <f>IFERROR(__xludf.DUMMYFUNCTION("""COMPUTED_VALUE"""),"Previous Lenox/Brookhaven")</f>
        <v>Previous Lenox/Brookhaven</v>
      </c>
      <c r="C2211" s="2"/>
    </row>
    <row r="2212" ht="15.75" customHeight="1">
      <c r="A2212" s="2">
        <f>IFERROR(__xludf.DUMMYFUNCTION("""COMPUTED_VALUE"""),45623.0)</f>
        <v>45623</v>
      </c>
      <c r="B2212" s="2" t="str">
        <f>IFERROR(__xludf.DUMMYFUNCTION("""COMPUTED_VALUE"""),"Previous New Chastain")</f>
        <v>Previous New Chastain</v>
      </c>
      <c r="C2212" s="2"/>
    </row>
    <row r="2213" ht="15.75" customHeight="1">
      <c r="A2213" s="2">
        <f>IFERROR(__xludf.DUMMYFUNCTION("""COMPUTED_VALUE"""),45623.0)</f>
        <v>45623</v>
      </c>
      <c r="B2213" s="2" t="str">
        <f>IFERROR(__xludf.DUMMYFUNCTION("""COMPUTED_VALUE"""),"Previous Glenwood Park")</f>
        <v>Previous Glenwood Park</v>
      </c>
      <c r="C2213" s="2"/>
    </row>
    <row r="2214" ht="15.75" customHeight="1">
      <c r="A2214" s="2">
        <f>IFERROR(__xludf.DUMMYFUNCTION("""COMPUTED_VALUE"""),45623.0)</f>
        <v>45623</v>
      </c>
      <c r="B2214" s="2" t="str">
        <f>IFERROR(__xludf.DUMMYFUNCTION("""COMPUTED_VALUE"""),"FLOWERY BRANCH")</f>
        <v>FLOWERY BRANCH</v>
      </c>
      <c r="C2214" s="2"/>
    </row>
    <row r="2215" ht="15.75" customHeight="1">
      <c r="A2215" s="2">
        <f>IFERROR(__xludf.DUMMYFUNCTION("""COMPUTED_VALUE"""),45623.0)</f>
        <v>45623</v>
      </c>
      <c r="B2215" s="2" t="str">
        <f>IFERROR(__xludf.DUMMYFUNCTION("""COMPUTED_VALUE"""),"GROUPS ")</f>
        <v>GROUPS </v>
      </c>
      <c r="C2215" s="2"/>
    </row>
    <row r="2216" ht="15.75" customHeight="1">
      <c r="A2216" s="2">
        <f>IFERROR(__xludf.DUMMYFUNCTION("""COMPUTED_VALUE"""),45623.0)</f>
        <v>45623</v>
      </c>
      <c r="B2216" s="2" t="str">
        <f>IFERROR(__xludf.DUMMYFUNCTION("""COMPUTED_VALUE"""),"TOTAL")</f>
        <v>TOTAL</v>
      </c>
      <c r="C2216" s="2"/>
    </row>
    <row r="2217" ht="15.75" customHeight="1">
      <c r="A2217" s="2">
        <f>IFERROR(__xludf.DUMMYFUNCTION("""COMPUTED_VALUE"""),45623.0)</f>
        <v>45623</v>
      </c>
      <c r="B2217" s="2" t="str">
        <f>IFERROR(__xludf.DUMMYFUNCTION("""COMPUTED_VALUE"""),"Collective Learning")</f>
        <v>Collective Learning</v>
      </c>
      <c r="C2217" s="2"/>
    </row>
    <row r="2218" ht="15.75" customHeight="1">
      <c r="A2218" s="2">
        <f>IFERROR(__xludf.DUMMYFUNCTION("""COMPUTED_VALUE"""),45623.0)</f>
        <v>45623</v>
      </c>
      <c r="B2218" s="2" t="str">
        <f>IFERROR(__xludf.DUMMYFUNCTION("""COMPUTED_VALUE"""),"NOTES")</f>
        <v>NOTES</v>
      </c>
      <c r="C2218" s="2" t="str">
        <f>IFERROR(__xludf.DUMMYFUNCTION("""COMPUTED_VALUE"""),"No Collection")</f>
        <v>No Collection</v>
      </c>
    </row>
    <row r="2219" ht="15.75" customHeight="1">
      <c r="A2219" s="2">
        <f>IFERROR(__xludf.DUMMYFUNCTION("""COMPUTED_VALUE"""),45630.0)</f>
        <v>45630</v>
      </c>
      <c r="B2219" s="2" t="str">
        <f>IFERROR(__xludf.DUMMYFUNCTION("""COMPUTED_VALUE"""),"# of Sandwiches")</f>
        <v># of Sandwiches</v>
      </c>
      <c r="C2219" s="2">
        <f>IFERROR(__xludf.DUMMYFUNCTION("""COMPUTED_VALUE"""),7987.0)</f>
        <v>7987</v>
      </c>
    </row>
    <row r="2220" ht="15.75" customHeight="1">
      <c r="A2220" s="2">
        <f>IFERROR(__xludf.DUMMYFUNCTION("""COMPUTED_VALUE"""),45630.0)</f>
        <v>45630</v>
      </c>
      <c r="B2220" s="2" t="str">
        <f>IFERROR(__xludf.DUMMYFUNCTION("""COMPUTED_VALUE"""),"ALPHARETTA")</f>
        <v>ALPHARETTA</v>
      </c>
      <c r="C2220" s="2">
        <f>IFERROR(__xludf.DUMMYFUNCTION("""COMPUTED_VALUE"""),1379.0)</f>
        <v>1379</v>
      </c>
    </row>
    <row r="2221" ht="15.75" customHeight="1">
      <c r="A2221" s="2">
        <f>IFERROR(__xludf.DUMMYFUNCTION("""COMPUTED_VALUE"""),45630.0)</f>
        <v>45630</v>
      </c>
      <c r="B2221" s="2" t="str">
        <f>IFERROR(__xludf.DUMMYFUNCTION("""COMPUTED_VALUE"""),"PREVIOUS BUCKHEAD")</f>
        <v>PREVIOUS BUCKHEAD</v>
      </c>
      <c r="C2221" s="2"/>
    </row>
    <row r="2222" ht="15.75" customHeight="1">
      <c r="A2222" s="2">
        <f>IFERROR(__xludf.DUMMYFUNCTION("""COMPUTED_VALUE"""),45630.0)</f>
        <v>45630</v>
      </c>
      <c r="B2222" s="2" t="str">
        <f>IFERROR(__xludf.DUMMYFUNCTION("""COMPUTED_VALUE"""),"PREVIOUS OAK GROVE")</f>
        <v>PREVIOUS OAK GROVE</v>
      </c>
      <c r="C2222" s="2"/>
    </row>
    <row r="2223" ht="15.75" customHeight="1">
      <c r="A2223" s="2">
        <f>IFERROR(__xludf.DUMMYFUNCTION("""COMPUTED_VALUE"""),45630.0)</f>
        <v>45630</v>
      </c>
      <c r="B2223" s="2" t="str">
        <f>IFERROR(__xludf.DUMMYFUNCTION("""COMPUTED_VALUE"""),"DUNWOODY/PTC ")</f>
        <v>DUNWOODY/PTC </v>
      </c>
      <c r="C2223" s="2">
        <f>IFERROR(__xludf.DUMMYFUNCTION("""COMPUTED_VALUE"""),1643.0)</f>
        <v>1643</v>
      </c>
    </row>
    <row r="2224" ht="15.75" customHeight="1">
      <c r="A2224" s="2">
        <f>IFERROR(__xludf.DUMMYFUNCTION("""COMPUTED_VALUE"""),45630.0)</f>
        <v>45630</v>
      </c>
      <c r="B2224" s="2" t="str">
        <f>IFERROR(__xludf.DUMMYFUNCTION("""COMPUTED_VALUE"""),"E COBB/ROSWELL")</f>
        <v>E COBB/ROSWELL</v>
      </c>
      <c r="C2224" s="2">
        <f>IFERROR(__xludf.DUMMYFUNCTION("""COMPUTED_VALUE"""),1439.0)</f>
        <v>1439</v>
      </c>
    </row>
    <row r="2225" ht="15.75" customHeight="1">
      <c r="A2225" s="2">
        <f>IFERROR(__xludf.DUMMYFUNCTION("""COMPUTED_VALUE"""),45630.0)</f>
        <v>45630</v>
      </c>
      <c r="B2225" s="2" t="str">
        <f>IFERROR(__xludf.DUMMYFUNCTION("""COMPUTED_VALUE"""),"DECATUR")</f>
        <v>DECATUR</v>
      </c>
      <c r="C2225" s="2">
        <f>IFERROR(__xludf.DUMMYFUNCTION("""COMPUTED_VALUE"""),54.0)</f>
        <v>54</v>
      </c>
    </row>
    <row r="2226" ht="15.75" customHeight="1">
      <c r="A2226" s="2">
        <f>IFERROR(__xludf.DUMMYFUNCTION("""COMPUTED_VALUE"""),45630.0)</f>
        <v>45630</v>
      </c>
      <c r="B2226" s="2" t="str">
        <f>IFERROR(__xludf.DUMMYFUNCTION("""COMPUTED_VALUE"""),"P'TREE CORNERS ")</f>
        <v>P'TREE CORNERS </v>
      </c>
      <c r="C2226" s="2" t="str">
        <f>IFERROR(__xludf.DUMMYFUNCTION("""COMPUTED_VALUE"""),"N/A")</f>
        <v>N/A</v>
      </c>
    </row>
    <row r="2227" ht="15.75" customHeight="1">
      <c r="A2227" s="2">
        <f>IFERROR(__xludf.DUMMYFUNCTION("""COMPUTED_VALUE"""),45630.0)</f>
        <v>45630</v>
      </c>
      <c r="B2227" s="2" t="str">
        <f>IFERROR(__xludf.DUMMYFUNCTION("""COMPUTED_VALUE"""),"UGA/Athens")</f>
        <v>UGA/Athens</v>
      </c>
      <c r="C2227" s="2"/>
    </row>
    <row r="2228" ht="15.75" customHeight="1">
      <c r="A2228" s="2">
        <f>IFERROR(__xludf.DUMMYFUNCTION("""COMPUTED_VALUE"""),45630.0)</f>
        <v>45630</v>
      </c>
      <c r="B2228" s="2" t="str">
        <f>IFERROR(__xludf.DUMMYFUNCTION("""COMPUTED_VALUE"""),"SANDY SPRINGS ")</f>
        <v>SANDY SPRINGS </v>
      </c>
      <c r="C2228" s="2">
        <f>IFERROR(__xludf.DUMMYFUNCTION("""COMPUTED_VALUE"""),442.0)</f>
        <v>442</v>
      </c>
    </row>
    <row r="2229" ht="15.75" customHeight="1">
      <c r="A2229" s="2">
        <f>IFERROR(__xludf.DUMMYFUNCTION("""COMPUTED_VALUE"""),45630.0)</f>
        <v>45630</v>
      </c>
      <c r="B2229" s="2" t="str">
        <f>IFERROR(__xludf.DUMMYFUNCTION("""COMPUTED_VALUE"""),"INTOWN/DRUID HILLS ")</f>
        <v>INTOWN/DRUID HILLS </v>
      </c>
      <c r="C2229" s="2">
        <f>IFERROR(__xludf.DUMMYFUNCTION("""COMPUTED_VALUE"""),1280.0)</f>
        <v>1280</v>
      </c>
    </row>
    <row r="2230" ht="15.75" customHeight="1">
      <c r="A2230" s="2">
        <f>IFERROR(__xludf.DUMMYFUNCTION("""COMPUTED_VALUE"""),45630.0)</f>
        <v>45630</v>
      </c>
      <c r="B2230" s="2" t="str">
        <f>IFERROR(__xludf.DUMMYFUNCTION("""COMPUTED_VALUE"""),"SNELLVILLE")</f>
        <v>SNELLVILLE</v>
      </c>
      <c r="C2230" s="2">
        <f>IFERROR(__xludf.DUMMYFUNCTION("""COMPUTED_VALUE"""),0.0)</f>
        <v>0</v>
      </c>
    </row>
    <row r="2231" ht="15.75" customHeight="1">
      <c r="A2231" s="2">
        <f>IFERROR(__xludf.DUMMYFUNCTION("""COMPUTED_VALUE"""),45630.0)</f>
        <v>45630</v>
      </c>
      <c r="B2231" s="2" t="str">
        <f>IFERROR(__xludf.DUMMYFUNCTION("""COMPUTED_VALUE"""),"GROUPS")</f>
        <v>GROUPS</v>
      </c>
      <c r="C2231" s="2"/>
    </row>
    <row r="2232" ht="15.75" customHeight="1">
      <c r="A2232" s="2">
        <f>IFERROR(__xludf.DUMMYFUNCTION("""COMPUTED_VALUE"""),45630.0)</f>
        <v>45630</v>
      </c>
      <c r="B2232" s="2" t="str">
        <f>IFERROR(__xludf.DUMMYFUNCTION("""COMPUTED_VALUE"""),"Previous Woodstock")</f>
        <v>Previous Woodstock</v>
      </c>
      <c r="C2232" s="2"/>
    </row>
    <row r="2233" ht="15.75" customHeight="1">
      <c r="A2233" s="2">
        <f>IFERROR(__xludf.DUMMYFUNCTION("""COMPUTED_VALUE"""),45630.0)</f>
        <v>45630</v>
      </c>
      <c r="B2233" s="2" t="str">
        <f>IFERROR(__xludf.DUMMYFUNCTION("""COMPUTED_VALUE"""),"Previous Lenox/Brookhaven")</f>
        <v>Previous Lenox/Brookhaven</v>
      </c>
      <c r="C2233" s="2"/>
    </row>
    <row r="2234" ht="15.75" customHeight="1">
      <c r="A2234" s="2">
        <f>IFERROR(__xludf.DUMMYFUNCTION("""COMPUTED_VALUE"""),45630.0)</f>
        <v>45630</v>
      </c>
      <c r="B2234" s="2" t="str">
        <f>IFERROR(__xludf.DUMMYFUNCTION("""COMPUTED_VALUE"""),"Previous New Chastain")</f>
        <v>Previous New Chastain</v>
      </c>
      <c r="C2234" s="2"/>
    </row>
    <row r="2235" ht="15.75" customHeight="1">
      <c r="A2235" s="2">
        <f>IFERROR(__xludf.DUMMYFUNCTION("""COMPUTED_VALUE"""),45630.0)</f>
        <v>45630</v>
      </c>
      <c r="B2235" s="2" t="str">
        <f>IFERROR(__xludf.DUMMYFUNCTION("""COMPUTED_VALUE"""),"Previous Glenwood Park")</f>
        <v>Previous Glenwood Park</v>
      </c>
      <c r="C2235" s="2"/>
    </row>
    <row r="2236" ht="15.75" customHeight="1">
      <c r="A2236" s="2">
        <f>IFERROR(__xludf.DUMMYFUNCTION("""COMPUTED_VALUE"""),45630.0)</f>
        <v>45630</v>
      </c>
      <c r="B2236" s="2" t="str">
        <f>IFERROR(__xludf.DUMMYFUNCTION("""COMPUTED_VALUE"""),"FLOWERY BRANCH")</f>
        <v>FLOWERY BRANCH</v>
      </c>
      <c r="C2236" s="2">
        <f>IFERROR(__xludf.DUMMYFUNCTION("""COMPUTED_VALUE"""),250.0)</f>
        <v>250</v>
      </c>
    </row>
    <row r="2237" ht="15.75" customHeight="1">
      <c r="A2237" s="2">
        <f>IFERROR(__xludf.DUMMYFUNCTION("""COMPUTED_VALUE"""),45630.0)</f>
        <v>45630</v>
      </c>
      <c r="B2237" s="2" t="str">
        <f>IFERROR(__xludf.DUMMYFUNCTION("""COMPUTED_VALUE"""),"GROUPS ")</f>
        <v>GROUPS </v>
      </c>
      <c r="C2237" s="2">
        <f>IFERROR(__xludf.DUMMYFUNCTION("""COMPUTED_VALUE"""),1500.0)</f>
        <v>1500</v>
      </c>
    </row>
    <row r="2238" ht="15.75" customHeight="1">
      <c r="A2238" s="2">
        <f>IFERROR(__xludf.DUMMYFUNCTION("""COMPUTED_VALUE"""),45630.0)</f>
        <v>45630</v>
      </c>
      <c r="B2238" s="2" t="str">
        <f>IFERROR(__xludf.DUMMYFUNCTION("""COMPUTED_VALUE"""),"TOTAL")</f>
        <v>TOTAL</v>
      </c>
      <c r="C2238" s="2"/>
    </row>
    <row r="2239" ht="15.75" customHeight="1">
      <c r="A2239" s="2">
        <f>IFERROR(__xludf.DUMMYFUNCTION("""COMPUTED_VALUE"""),45630.0)</f>
        <v>45630</v>
      </c>
      <c r="B2239" s="2" t="str">
        <f>IFERROR(__xludf.DUMMYFUNCTION("""COMPUTED_VALUE"""),"Collective Learning")</f>
        <v>Collective Learning</v>
      </c>
      <c r="C2239" s="2"/>
    </row>
    <row r="2240" ht="15.75" customHeight="1">
      <c r="A2240" s="2">
        <f>IFERROR(__xludf.DUMMYFUNCTION("""COMPUTED_VALUE"""),45630.0)</f>
        <v>45630</v>
      </c>
      <c r="B2240" s="2" t="str">
        <f>IFERROR(__xludf.DUMMYFUNCTION("""COMPUTED_VALUE"""),"NOTES")</f>
        <v>NOTES</v>
      </c>
      <c r="C2240" s="2" t="str">
        <f>IFERROR(__xludf.DUMMYFUNCTION("""COMPUTED_VALUE"""),"57 from prior week")</f>
        <v>57 from prior week</v>
      </c>
    </row>
    <row r="2241" ht="15.75" customHeight="1">
      <c r="A2241" s="2">
        <f>IFERROR(__xludf.DUMMYFUNCTION("""COMPUTED_VALUE"""),45637.0)</f>
        <v>45637</v>
      </c>
      <c r="B2241" s="2" t="str">
        <f>IFERROR(__xludf.DUMMYFUNCTION("""COMPUTED_VALUE"""),"# of Sandwiches")</f>
        <v># of Sandwiches</v>
      </c>
      <c r="C2241" s="2">
        <f>IFERROR(__xludf.DUMMYFUNCTION("""COMPUTED_VALUE"""),14137.0)</f>
        <v>14137</v>
      </c>
    </row>
    <row r="2242" ht="15.75" customHeight="1">
      <c r="A2242" s="2">
        <f>IFERROR(__xludf.DUMMYFUNCTION("""COMPUTED_VALUE"""),45637.0)</f>
        <v>45637</v>
      </c>
      <c r="B2242" s="2" t="str">
        <f>IFERROR(__xludf.DUMMYFUNCTION("""COMPUTED_VALUE"""),"ALPHARETTA")</f>
        <v>ALPHARETTA</v>
      </c>
      <c r="C2242" s="2">
        <f>IFERROR(__xludf.DUMMYFUNCTION("""COMPUTED_VALUE"""),2176.0)</f>
        <v>2176</v>
      </c>
    </row>
    <row r="2243" ht="15.75" customHeight="1">
      <c r="A2243" s="2">
        <f>IFERROR(__xludf.DUMMYFUNCTION("""COMPUTED_VALUE"""),45637.0)</f>
        <v>45637</v>
      </c>
      <c r="B2243" s="2" t="str">
        <f>IFERROR(__xludf.DUMMYFUNCTION("""COMPUTED_VALUE"""),"PREVIOUS BUCKHEAD")</f>
        <v>PREVIOUS BUCKHEAD</v>
      </c>
      <c r="C2243" s="2"/>
    </row>
    <row r="2244" ht="15.75" customHeight="1">
      <c r="A2244" s="2">
        <f>IFERROR(__xludf.DUMMYFUNCTION("""COMPUTED_VALUE"""),45637.0)</f>
        <v>45637</v>
      </c>
      <c r="B2244" s="2" t="str">
        <f>IFERROR(__xludf.DUMMYFUNCTION("""COMPUTED_VALUE"""),"PREVIOUS OAK GROVE")</f>
        <v>PREVIOUS OAK GROVE</v>
      </c>
      <c r="C2244" s="2"/>
    </row>
    <row r="2245" ht="15.75" customHeight="1">
      <c r="A2245" s="2">
        <f>IFERROR(__xludf.DUMMYFUNCTION("""COMPUTED_VALUE"""),45637.0)</f>
        <v>45637</v>
      </c>
      <c r="B2245" s="2" t="str">
        <f>IFERROR(__xludf.DUMMYFUNCTION("""COMPUTED_VALUE"""),"DUNWOODY/PTC ")</f>
        <v>DUNWOODY/PTC </v>
      </c>
      <c r="C2245" s="2">
        <f>IFERROR(__xludf.DUMMYFUNCTION("""COMPUTED_VALUE"""),2226.0)</f>
        <v>2226</v>
      </c>
    </row>
    <row r="2246" ht="15.75" customHeight="1">
      <c r="A2246" s="2">
        <f>IFERROR(__xludf.DUMMYFUNCTION("""COMPUTED_VALUE"""),45637.0)</f>
        <v>45637</v>
      </c>
      <c r="B2246" s="2" t="str">
        <f>IFERROR(__xludf.DUMMYFUNCTION("""COMPUTED_VALUE"""),"E COBB/ROSWELL")</f>
        <v>E COBB/ROSWELL</v>
      </c>
      <c r="C2246" s="2">
        <f>IFERROR(__xludf.DUMMYFUNCTION("""COMPUTED_VALUE"""),1203.0)</f>
        <v>1203</v>
      </c>
    </row>
    <row r="2247" ht="15.75" customHeight="1">
      <c r="A2247" s="2">
        <f>IFERROR(__xludf.DUMMYFUNCTION("""COMPUTED_VALUE"""),45637.0)</f>
        <v>45637</v>
      </c>
      <c r="B2247" s="2" t="str">
        <f>IFERROR(__xludf.DUMMYFUNCTION("""COMPUTED_VALUE"""),"DECATUR")</f>
        <v>DECATUR</v>
      </c>
      <c r="C2247" s="2"/>
    </row>
    <row r="2248" ht="15.75" customHeight="1">
      <c r="A2248" s="2">
        <f>IFERROR(__xludf.DUMMYFUNCTION("""COMPUTED_VALUE"""),45637.0)</f>
        <v>45637</v>
      </c>
      <c r="B2248" s="2" t="str">
        <f>IFERROR(__xludf.DUMMYFUNCTION("""COMPUTED_VALUE"""),"P'TREE CORNERS ")</f>
        <v>P'TREE CORNERS </v>
      </c>
      <c r="C2248" s="2" t="str">
        <f>IFERROR(__xludf.DUMMYFUNCTION("""COMPUTED_VALUE"""),"N/A")</f>
        <v>N/A</v>
      </c>
    </row>
    <row r="2249" ht="15.75" customHeight="1">
      <c r="A2249" s="2">
        <f>IFERROR(__xludf.DUMMYFUNCTION("""COMPUTED_VALUE"""),45637.0)</f>
        <v>45637</v>
      </c>
      <c r="B2249" s="2" t="str">
        <f>IFERROR(__xludf.DUMMYFUNCTION("""COMPUTED_VALUE"""),"UGA/Athens")</f>
        <v>UGA/Athens</v>
      </c>
      <c r="C2249" s="2"/>
    </row>
    <row r="2250" ht="15.75" customHeight="1">
      <c r="A2250" s="2">
        <f>IFERROR(__xludf.DUMMYFUNCTION("""COMPUTED_VALUE"""),45637.0)</f>
        <v>45637</v>
      </c>
      <c r="B2250" s="2" t="str">
        <f>IFERROR(__xludf.DUMMYFUNCTION("""COMPUTED_VALUE"""),"SANDY SPRINGS ")</f>
        <v>SANDY SPRINGS </v>
      </c>
      <c r="C2250" s="2">
        <f>IFERROR(__xludf.DUMMYFUNCTION("""COMPUTED_VALUE"""),667.0)</f>
        <v>667</v>
      </c>
    </row>
    <row r="2251" ht="15.75" customHeight="1">
      <c r="A2251" s="2">
        <f>IFERROR(__xludf.DUMMYFUNCTION("""COMPUTED_VALUE"""),45637.0)</f>
        <v>45637</v>
      </c>
      <c r="B2251" s="2" t="str">
        <f>IFERROR(__xludf.DUMMYFUNCTION("""COMPUTED_VALUE"""),"INTOWN/DRUID HILLS ")</f>
        <v>INTOWN/DRUID HILLS </v>
      </c>
      <c r="C2251" s="2">
        <f>IFERROR(__xludf.DUMMYFUNCTION("""COMPUTED_VALUE"""),1190.0)</f>
        <v>1190</v>
      </c>
    </row>
    <row r="2252" ht="15.75" customHeight="1">
      <c r="A2252" s="2">
        <f>IFERROR(__xludf.DUMMYFUNCTION("""COMPUTED_VALUE"""),45637.0)</f>
        <v>45637</v>
      </c>
      <c r="B2252" s="2" t="str">
        <f>IFERROR(__xludf.DUMMYFUNCTION("""COMPUTED_VALUE"""),"SNELLVILLE")</f>
        <v>SNELLVILLE</v>
      </c>
      <c r="C2252" s="2">
        <f>IFERROR(__xludf.DUMMYFUNCTION("""COMPUTED_VALUE"""),0.0)</f>
        <v>0</v>
      </c>
    </row>
    <row r="2253" ht="15.75" customHeight="1">
      <c r="A2253" s="2">
        <f>IFERROR(__xludf.DUMMYFUNCTION("""COMPUTED_VALUE"""),45637.0)</f>
        <v>45637</v>
      </c>
      <c r="B2253" s="2" t="str">
        <f>IFERROR(__xludf.DUMMYFUNCTION("""COMPUTED_VALUE"""),"GROUPS")</f>
        <v>GROUPS</v>
      </c>
      <c r="C2253" s="2"/>
    </row>
    <row r="2254" ht="15.75" customHeight="1">
      <c r="A2254" s="2">
        <f>IFERROR(__xludf.DUMMYFUNCTION("""COMPUTED_VALUE"""),45637.0)</f>
        <v>45637</v>
      </c>
      <c r="B2254" s="2" t="str">
        <f>IFERROR(__xludf.DUMMYFUNCTION("""COMPUTED_VALUE"""),"Previous Woodstock")</f>
        <v>Previous Woodstock</v>
      </c>
      <c r="C2254" s="2"/>
    </row>
    <row r="2255" ht="15.75" customHeight="1">
      <c r="A2255" s="2">
        <f>IFERROR(__xludf.DUMMYFUNCTION("""COMPUTED_VALUE"""),45637.0)</f>
        <v>45637</v>
      </c>
      <c r="B2255" s="2" t="str">
        <f>IFERROR(__xludf.DUMMYFUNCTION("""COMPUTED_VALUE"""),"Previous Lenox/Brookhaven")</f>
        <v>Previous Lenox/Brookhaven</v>
      </c>
      <c r="C2255" s="2"/>
    </row>
    <row r="2256" ht="15.75" customHeight="1">
      <c r="A2256" s="2">
        <f>IFERROR(__xludf.DUMMYFUNCTION("""COMPUTED_VALUE"""),45637.0)</f>
        <v>45637</v>
      </c>
      <c r="B2256" s="2" t="str">
        <f>IFERROR(__xludf.DUMMYFUNCTION("""COMPUTED_VALUE"""),"Previous New Chastain")</f>
        <v>Previous New Chastain</v>
      </c>
      <c r="C2256" s="2"/>
    </row>
    <row r="2257" ht="15.75" customHeight="1">
      <c r="A2257" s="2">
        <f>IFERROR(__xludf.DUMMYFUNCTION("""COMPUTED_VALUE"""),45637.0)</f>
        <v>45637</v>
      </c>
      <c r="B2257" s="2" t="str">
        <f>IFERROR(__xludf.DUMMYFUNCTION("""COMPUTED_VALUE"""),"Previous Glenwood Park")</f>
        <v>Previous Glenwood Park</v>
      </c>
      <c r="C2257" s="2"/>
    </row>
    <row r="2258" ht="15.75" customHeight="1">
      <c r="A2258" s="2">
        <f>IFERROR(__xludf.DUMMYFUNCTION("""COMPUTED_VALUE"""),45637.0)</f>
        <v>45637</v>
      </c>
      <c r="B2258" s="2" t="str">
        <f>IFERROR(__xludf.DUMMYFUNCTION("""COMPUTED_VALUE"""),"FLOWERY BRANCH")</f>
        <v>FLOWERY BRANCH</v>
      </c>
      <c r="C2258" s="2">
        <f>IFERROR(__xludf.DUMMYFUNCTION("""COMPUTED_VALUE"""),105.0)</f>
        <v>105</v>
      </c>
    </row>
    <row r="2259" ht="15.75" customHeight="1">
      <c r="A2259" s="2">
        <f>IFERROR(__xludf.DUMMYFUNCTION("""COMPUTED_VALUE"""),45637.0)</f>
        <v>45637</v>
      </c>
      <c r="B2259" s="2" t="str">
        <f>IFERROR(__xludf.DUMMYFUNCTION("""COMPUTED_VALUE"""),"GROUPS ")</f>
        <v>GROUPS </v>
      </c>
      <c r="C2259" s="2">
        <f>IFERROR(__xludf.DUMMYFUNCTION("""COMPUTED_VALUE"""),6570.0)</f>
        <v>6570</v>
      </c>
    </row>
    <row r="2260" ht="15.75" customHeight="1">
      <c r="A2260" s="2">
        <f>IFERROR(__xludf.DUMMYFUNCTION("""COMPUTED_VALUE"""),45637.0)</f>
        <v>45637</v>
      </c>
      <c r="B2260" s="2" t="str">
        <f>IFERROR(__xludf.DUMMYFUNCTION("""COMPUTED_VALUE"""),"TOTAL")</f>
        <v>TOTAL</v>
      </c>
      <c r="C2260" s="2"/>
    </row>
    <row r="2261" ht="15.75" customHeight="1">
      <c r="A2261" s="2">
        <f>IFERROR(__xludf.DUMMYFUNCTION("""COMPUTED_VALUE"""),45637.0)</f>
        <v>45637</v>
      </c>
      <c r="B2261" s="2" t="str">
        <f>IFERROR(__xludf.DUMMYFUNCTION("""COMPUTED_VALUE"""),"Collective Learning")</f>
        <v>Collective Learning</v>
      </c>
      <c r="C2261" s="2"/>
    </row>
    <row r="2262" ht="15.75" customHeight="1">
      <c r="A2262" s="2">
        <f>IFERROR(__xludf.DUMMYFUNCTION("""COMPUTED_VALUE"""),45637.0)</f>
        <v>45637</v>
      </c>
      <c r="B2262" s="2" t="str">
        <f>IFERROR(__xludf.DUMMYFUNCTION("""COMPUTED_VALUE"""),"NOTES")</f>
        <v>NOTES</v>
      </c>
      <c r="C2262" s="2"/>
    </row>
    <row r="2263" ht="15.75" customHeight="1">
      <c r="A2263" s="2">
        <f>IFERROR(__xludf.DUMMYFUNCTION("""COMPUTED_VALUE"""),45644.0)</f>
        <v>45644</v>
      </c>
      <c r="B2263" s="2" t="str">
        <f>IFERROR(__xludf.DUMMYFUNCTION("""COMPUTED_VALUE"""),"# of Sandwiches")</f>
        <v># of Sandwiches</v>
      </c>
      <c r="C2263" s="2">
        <f>IFERROR(__xludf.DUMMYFUNCTION("""COMPUTED_VALUE"""),10829.0)</f>
        <v>10829</v>
      </c>
    </row>
    <row r="2264" ht="15.75" customHeight="1">
      <c r="A2264" s="2">
        <f>IFERROR(__xludf.DUMMYFUNCTION("""COMPUTED_VALUE"""),45644.0)</f>
        <v>45644</v>
      </c>
      <c r="B2264" s="2" t="str">
        <f>IFERROR(__xludf.DUMMYFUNCTION("""COMPUTED_VALUE"""),"ALPHARETTA")</f>
        <v>ALPHARETTA</v>
      </c>
      <c r="C2264" s="2">
        <f>IFERROR(__xludf.DUMMYFUNCTION("""COMPUTED_VALUE"""),848.0)</f>
        <v>848</v>
      </c>
    </row>
    <row r="2265" ht="15.75" customHeight="1">
      <c r="A2265" s="2">
        <f>IFERROR(__xludf.DUMMYFUNCTION("""COMPUTED_VALUE"""),45644.0)</f>
        <v>45644</v>
      </c>
      <c r="B2265" s="2" t="str">
        <f>IFERROR(__xludf.DUMMYFUNCTION("""COMPUTED_VALUE"""),"PREVIOUS BUCKHEAD")</f>
        <v>PREVIOUS BUCKHEAD</v>
      </c>
      <c r="C2265" s="2"/>
    </row>
    <row r="2266" ht="15.75" customHeight="1">
      <c r="A2266" s="2">
        <f>IFERROR(__xludf.DUMMYFUNCTION("""COMPUTED_VALUE"""),45644.0)</f>
        <v>45644</v>
      </c>
      <c r="B2266" s="2" t="str">
        <f>IFERROR(__xludf.DUMMYFUNCTION("""COMPUTED_VALUE"""),"PREVIOUS OAK GROVE")</f>
        <v>PREVIOUS OAK GROVE</v>
      </c>
      <c r="C2266" s="2"/>
    </row>
    <row r="2267" ht="15.75" customHeight="1">
      <c r="A2267" s="2">
        <f>IFERROR(__xludf.DUMMYFUNCTION("""COMPUTED_VALUE"""),45644.0)</f>
        <v>45644</v>
      </c>
      <c r="B2267" s="2" t="str">
        <f>IFERROR(__xludf.DUMMYFUNCTION("""COMPUTED_VALUE"""),"DUNWOODY/PTC ")</f>
        <v>DUNWOODY/PTC </v>
      </c>
      <c r="C2267" s="2">
        <f>IFERROR(__xludf.DUMMYFUNCTION("""COMPUTED_VALUE"""),1342.0)</f>
        <v>1342</v>
      </c>
    </row>
    <row r="2268" ht="15.75" customHeight="1">
      <c r="A2268" s="2">
        <f>IFERROR(__xludf.DUMMYFUNCTION("""COMPUTED_VALUE"""),45644.0)</f>
        <v>45644</v>
      </c>
      <c r="B2268" s="2" t="str">
        <f>IFERROR(__xludf.DUMMYFUNCTION("""COMPUTED_VALUE"""),"E COBB/ROSWELL")</f>
        <v>E COBB/ROSWELL</v>
      </c>
      <c r="C2268" s="2">
        <f>IFERROR(__xludf.DUMMYFUNCTION("""COMPUTED_VALUE"""),1706.0)</f>
        <v>1706</v>
      </c>
    </row>
    <row r="2269" ht="15.75" customHeight="1">
      <c r="A2269" s="2">
        <f>IFERROR(__xludf.DUMMYFUNCTION("""COMPUTED_VALUE"""),45644.0)</f>
        <v>45644</v>
      </c>
      <c r="B2269" s="2" t="str">
        <f>IFERROR(__xludf.DUMMYFUNCTION("""COMPUTED_VALUE"""),"DECATUR")</f>
        <v>DECATUR</v>
      </c>
      <c r="C2269" s="2">
        <f>IFERROR(__xludf.DUMMYFUNCTION("""COMPUTED_VALUE"""),0.0)</f>
        <v>0</v>
      </c>
    </row>
    <row r="2270" ht="15.75" customHeight="1">
      <c r="A2270" s="2">
        <f>IFERROR(__xludf.DUMMYFUNCTION("""COMPUTED_VALUE"""),45644.0)</f>
        <v>45644</v>
      </c>
      <c r="B2270" s="2" t="str">
        <f>IFERROR(__xludf.DUMMYFUNCTION("""COMPUTED_VALUE"""),"P'TREE CORNERS ")</f>
        <v>P'TREE CORNERS </v>
      </c>
      <c r="C2270" s="2" t="str">
        <f>IFERROR(__xludf.DUMMYFUNCTION("""COMPUTED_VALUE"""),"N/A")</f>
        <v>N/A</v>
      </c>
    </row>
    <row r="2271" ht="15.75" customHeight="1">
      <c r="A2271" s="2">
        <f>IFERROR(__xludf.DUMMYFUNCTION("""COMPUTED_VALUE"""),45644.0)</f>
        <v>45644</v>
      </c>
      <c r="B2271" s="2" t="str">
        <f>IFERROR(__xludf.DUMMYFUNCTION("""COMPUTED_VALUE"""),"UGA/Athens")</f>
        <v>UGA/Athens</v>
      </c>
      <c r="C2271" s="2"/>
    </row>
    <row r="2272" ht="15.75" customHeight="1">
      <c r="A2272" s="2">
        <f>IFERROR(__xludf.DUMMYFUNCTION("""COMPUTED_VALUE"""),45644.0)</f>
        <v>45644</v>
      </c>
      <c r="B2272" s="2" t="str">
        <f>IFERROR(__xludf.DUMMYFUNCTION("""COMPUTED_VALUE"""),"SANDY SPRINGS ")</f>
        <v>SANDY SPRINGS </v>
      </c>
      <c r="C2272" s="2">
        <f>IFERROR(__xludf.DUMMYFUNCTION("""COMPUTED_VALUE"""),485.0)</f>
        <v>485</v>
      </c>
    </row>
    <row r="2273" ht="15.75" customHeight="1">
      <c r="A2273" s="2">
        <f>IFERROR(__xludf.DUMMYFUNCTION("""COMPUTED_VALUE"""),45644.0)</f>
        <v>45644</v>
      </c>
      <c r="B2273" s="2" t="str">
        <f>IFERROR(__xludf.DUMMYFUNCTION("""COMPUTED_VALUE"""),"INTOWN/DRUID HILLS ")</f>
        <v>INTOWN/DRUID HILLS </v>
      </c>
      <c r="C2273" s="2">
        <f>IFERROR(__xludf.DUMMYFUNCTION("""COMPUTED_VALUE"""),922.0)</f>
        <v>922</v>
      </c>
    </row>
    <row r="2274" ht="15.75" customHeight="1">
      <c r="A2274" s="2">
        <f>IFERROR(__xludf.DUMMYFUNCTION("""COMPUTED_VALUE"""),45644.0)</f>
        <v>45644</v>
      </c>
      <c r="B2274" s="2" t="str">
        <f>IFERROR(__xludf.DUMMYFUNCTION("""COMPUTED_VALUE"""),"SNELLVILLE")</f>
        <v>SNELLVILLE</v>
      </c>
      <c r="C2274" s="2">
        <f>IFERROR(__xludf.DUMMYFUNCTION("""COMPUTED_VALUE"""),0.0)</f>
        <v>0</v>
      </c>
    </row>
    <row r="2275" ht="15.75" customHeight="1">
      <c r="A2275" s="2">
        <f>IFERROR(__xludf.DUMMYFUNCTION("""COMPUTED_VALUE"""),45644.0)</f>
        <v>45644</v>
      </c>
      <c r="B2275" s="2" t="str">
        <f>IFERROR(__xludf.DUMMYFUNCTION("""COMPUTED_VALUE"""),"GROUPS")</f>
        <v>GROUPS</v>
      </c>
      <c r="C2275" s="2"/>
    </row>
    <row r="2276" ht="15.75" customHeight="1">
      <c r="A2276" s="2">
        <f>IFERROR(__xludf.DUMMYFUNCTION("""COMPUTED_VALUE"""),45644.0)</f>
        <v>45644</v>
      </c>
      <c r="B2276" s="2" t="str">
        <f>IFERROR(__xludf.DUMMYFUNCTION("""COMPUTED_VALUE"""),"Previous Woodstock")</f>
        <v>Previous Woodstock</v>
      </c>
      <c r="C2276" s="2"/>
    </row>
    <row r="2277" ht="15.75" customHeight="1">
      <c r="A2277" s="2">
        <f>IFERROR(__xludf.DUMMYFUNCTION("""COMPUTED_VALUE"""),45644.0)</f>
        <v>45644</v>
      </c>
      <c r="B2277" s="2" t="str">
        <f>IFERROR(__xludf.DUMMYFUNCTION("""COMPUTED_VALUE"""),"Previous Lenox/Brookhaven")</f>
        <v>Previous Lenox/Brookhaven</v>
      </c>
      <c r="C2277" s="2"/>
    </row>
    <row r="2278" ht="15.75" customHeight="1">
      <c r="A2278" s="2">
        <f>IFERROR(__xludf.DUMMYFUNCTION("""COMPUTED_VALUE"""),45644.0)</f>
        <v>45644</v>
      </c>
      <c r="B2278" s="2" t="str">
        <f>IFERROR(__xludf.DUMMYFUNCTION("""COMPUTED_VALUE"""),"Previous New Chastain")</f>
        <v>Previous New Chastain</v>
      </c>
      <c r="C2278" s="2"/>
    </row>
    <row r="2279" ht="15.75" customHeight="1">
      <c r="A2279" s="2">
        <f>IFERROR(__xludf.DUMMYFUNCTION("""COMPUTED_VALUE"""),45644.0)</f>
        <v>45644</v>
      </c>
      <c r="B2279" s="2" t="str">
        <f>IFERROR(__xludf.DUMMYFUNCTION("""COMPUTED_VALUE"""),"Previous Glenwood Park")</f>
        <v>Previous Glenwood Park</v>
      </c>
      <c r="C2279" s="2"/>
    </row>
    <row r="2280" ht="15.75" customHeight="1">
      <c r="A2280" s="2">
        <f>IFERROR(__xludf.DUMMYFUNCTION("""COMPUTED_VALUE"""),45644.0)</f>
        <v>45644</v>
      </c>
      <c r="B2280" s="2" t="str">
        <f>IFERROR(__xludf.DUMMYFUNCTION("""COMPUTED_VALUE"""),"FLOWERY BRANCH")</f>
        <v>FLOWERY BRANCH</v>
      </c>
      <c r="C2280" s="2">
        <f>IFERROR(__xludf.DUMMYFUNCTION("""COMPUTED_VALUE"""),426.0)</f>
        <v>426</v>
      </c>
    </row>
    <row r="2281" ht="15.75" customHeight="1">
      <c r="A2281" s="2">
        <f>IFERROR(__xludf.DUMMYFUNCTION("""COMPUTED_VALUE"""),45644.0)</f>
        <v>45644</v>
      </c>
      <c r="B2281" s="2" t="str">
        <f>IFERROR(__xludf.DUMMYFUNCTION("""COMPUTED_VALUE"""),"GROUPS ")</f>
        <v>GROUPS </v>
      </c>
      <c r="C2281" s="2">
        <f>IFERROR(__xludf.DUMMYFUNCTION("""COMPUTED_VALUE"""),5100.0)</f>
        <v>5100</v>
      </c>
    </row>
    <row r="2282" ht="15.75" customHeight="1">
      <c r="A2282" s="2">
        <f>IFERROR(__xludf.DUMMYFUNCTION("""COMPUTED_VALUE"""),45644.0)</f>
        <v>45644</v>
      </c>
      <c r="B2282" s="2" t="str">
        <f>IFERROR(__xludf.DUMMYFUNCTION("""COMPUTED_VALUE"""),"TOTAL")</f>
        <v>TOTAL</v>
      </c>
      <c r="C2282" s="2"/>
    </row>
    <row r="2283" ht="15.75" customHeight="1">
      <c r="A2283" s="2">
        <f>IFERROR(__xludf.DUMMYFUNCTION("""COMPUTED_VALUE"""),45644.0)</f>
        <v>45644</v>
      </c>
      <c r="B2283" s="2" t="str">
        <f>IFERROR(__xludf.DUMMYFUNCTION("""COMPUTED_VALUE"""),"Collective Learning")</f>
        <v>Collective Learning</v>
      </c>
      <c r="C2283" s="2"/>
    </row>
    <row r="2284" ht="15.75" customHeight="1">
      <c r="A2284" s="2">
        <f>IFERROR(__xludf.DUMMYFUNCTION("""COMPUTED_VALUE"""),45644.0)</f>
        <v>45644</v>
      </c>
      <c r="B2284" s="2" t="str">
        <f>IFERROR(__xludf.DUMMYFUNCTION("""COMPUTED_VALUE"""),"NOTES")</f>
        <v>NOTES</v>
      </c>
      <c r="C2284" s="2"/>
    </row>
    <row r="2285" ht="15.75" customHeight="1">
      <c r="A2285" s="2">
        <f>IFERROR(__xludf.DUMMYFUNCTION("""COMPUTED_VALUE"""),45652.0)</f>
        <v>45652</v>
      </c>
      <c r="B2285" s="2" t="str">
        <f>IFERROR(__xludf.DUMMYFUNCTION("""COMPUTED_VALUE"""),"# of Sandwiches")</f>
        <v># of Sandwiches</v>
      </c>
      <c r="C2285" s="2">
        <f>IFERROR(__xludf.DUMMYFUNCTION("""COMPUTED_VALUE"""),2504.0)</f>
        <v>2504</v>
      </c>
    </row>
    <row r="2286" ht="15.75" customHeight="1">
      <c r="A2286" s="2">
        <f>IFERROR(__xludf.DUMMYFUNCTION("""COMPUTED_VALUE"""),45652.0)</f>
        <v>45652</v>
      </c>
      <c r="B2286" s="2" t="str">
        <f>IFERROR(__xludf.DUMMYFUNCTION("""COMPUTED_VALUE"""),"ALPHARETTA")</f>
        <v>ALPHARETTA</v>
      </c>
      <c r="C2286" s="2"/>
    </row>
    <row r="2287" ht="15.75" customHeight="1">
      <c r="A2287" s="2">
        <f>IFERROR(__xludf.DUMMYFUNCTION("""COMPUTED_VALUE"""),45652.0)</f>
        <v>45652</v>
      </c>
      <c r="B2287" s="2" t="str">
        <f>IFERROR(__xludf.DUMMYFUNCTION("""COMPUTED_VALUE"""),"PREVIOUS BUCKHEAD")</f>
        <v>PREVIOUS BUCKHEAD</v>
      </c>
      <c r="C2287" s="2"/>
    </row>
    <row r="2288" ht="15.75" customHeight="1">
      <c r="A2288" s="2">
        <f>IFERROR(__xludf.DUMMYFUNCTION("""COMPUTED_VALUE"""),45652.0)</f>
        <v>45652</v>
      </c>
      <c r="B2288" s="2" t="str">
        <f>IFERROR(__xludf.DUMMYFUNCTION("""COMPUTED_VALUE"""),"PREVIOUS OAK GROVE")</f>
        <v>PREVIOUS OAK GROVE</v>
      </c>
      <c r="C2288" s="2"/>
    </row>
    <row r="2289" ht="15.75" customHeight="1">
      <c r="A2289" s="2">
        <f>IFERROR(__xludf.DUMMYFUNCTION("""COMPUTED_VALUE"""),45652.0)</f>
        <v>45652</v>
      </c>
      <c r="B2289" s="2" t="str">
        <f>IFERROR(__xludf.DUMMYFUNCTION("""COMPUTED_VALUE"""),"DUNWOODY/PTC ")</f>
        <v>DUNWOODY/PTC </v>
      </c>
      <c r="C2289" s="2">
        <f>IFERROR(__xludf.DUMMYFUNCTION("""COMPUTED_VALUE"""),504.0)</f>
        <v>504</v>
      </c>
    </row>
    <row r="2290" ht="15.75" customHeight="1">
      <c r="A2290" s="2">
        <f>IFERROR(__xludf.DUMMYFUNCTION("""COMPUTED_VALUE"""),45652.0)</f>
        <v>45652</v>
      </c>
      <c r="B2290" s="2" t="str">
        <f>IFERROR(__xludf.DUMMYFUNCTION("""COMPUTED_VALUE"""),"E COBB/ROSWELL")</f>
        <v>E COBB/ROSWELL</v>
      </c>
      <c r="C2290" s="2"/>
    </row>
    <row r="2291" ht="15.75" customHeight="1">
      <c r="A2291" s="2">
        <f>IFERROR(__xludf.DUMMYFUNCTION("""COMPUTED_VALUE"""),45652.0)</f>
        <v>45652</v>
      </c>
      <c r="B2291" s="2" t="str">
        <f>IFERROR(__xludf.DUMMYFUNCTION("""COMPUTED_VALUE"""),"DECATUR")</f>
        <v>DECATUR</v>
      </c>
      <c r="C2291" s="2">
        <f>IFERROR(__xludf.DUMMYFUNCTION("""COMPUTED_VALUE"""),0.0)</f>
        <v>0</v>
      </c>
    </row>
    <row r="2292" ht="15.75" customHeight="1">
      <c r="A2292" s="2">
        <f>IFERROR(__xludf.DUMMYFUNCTION("""COMPUTED_VALUE"""),45652.0)</f>
        <v>45652</v>
      </c>
      <c r="B2292" s="2" t="str">
        <f>IFERROR(__xludf.DUMMYFUNCTION("""COMPUTED_VALUE"""),"P'TREE CORNERS ")</f>
        <v>P'TREE CORNERS </v>
      </c>
      <c r="C2292" s="2" t="str">
        <f>IFERROR(__xludf.DUMMYFUNCTION("""COMPUTED_VALUE"""),"N/A")</f>
        <v>N/A</v>
      </c>
    </row>
    <row r="2293" ht="15.75" customHeight="1">
      <c r="A2293" s="2">
        <f>IFERROR(__xludf.DUMMYFUNCTION("""COMPUTED_VALUE"""),45652.0)</f>
        <v>45652</v>
      </c>
      <c r="B2293" s="2" t="str">
        <f>IFERROR(__xludf.DUMMYFUNCTION("""COMPUTED_VALUE"""),"UGA/Athens")</f>
        <v>UGA/Athens</v>
      </c>
      <c r="C2293" s="2"/>
    </row>
    <row r="2294" ht="15.75" customHeight="1">
      <c r="A2294" s="2">
        <f>IFERROR(__xludf.DUMMYFUNCTION("""COMPUTED_VALUE"""),45652.0)</f>
        <v>45652</v>
      </c>
      <c r="B2294" s="2" t="str">
        <f>IFERROR(__xludf.DUMMYFUNCTION("""COMPUTED_VALUE"""),"SANDY SPRINGS ")</f>
        <v>SANDY SPRINGS </v>
      </c>
      <c r="C2294" s="2"/>
    </row>
    <row r="2295" ht="15.75" customHeight="1">
      <c r="A2295" s="2">
        <f>IFERROR(__xludf.DUMMYFUNCTION("""COMPUTED_VALUE"""),45652.0)</f>
        <v>45652</v>
      </c>
      <c r="B2295" s="2" t="str">
        <f>IFERROR(__xludf.DUMMYFUNCTION("""COMPUTED_VALUE"""),"INTOWN/DRUID HILLS ")</f>
        <v>INTOWN/DRUID HILLS </v>
      </c>
      <c r="C2295" s="2"/>
    </row>
    <row r="2296" ht="15.75" customHeight="1">
      <c r="A2296" s="2">
        <f>IFERROR(__xludf.DUMMYFUNCTION("""COMPUTED_VALUE"""),45652.0)</f>
        <v>45652</v>
      </c>
      <c r="B2296" s="2" t="str">
        <f>IFERROR(__xludf.DUMMYFUNCTION("""COMPUTED_VALUE"""),"SNELLVILLE")</f>
        <v>SNELLVILLE</v>
      </c>
      <c r="C2296" s="2">
        <f>IFERROR(__xludf.DUMMYFUNCTION("""COMPUTED_VALUE"""),0.0)</f>
        <v>0</v>
      </c>
    </row>
    <row r="2297" ht="15.75" customHeight="1">
      <c r="A2297" s="2">
        <f>IFERROR(__xludf.DUMMYFUNCTION("""COMPUTED_VALUE"""),45652.0)</f>
        <v>45652</v>
      </c>
      <c r="B2297" s="2" t="str">
        <f>IFERROR(__xludf.DUMMYFUNCTION("""COMPUTED_VALUE"""),"GROUPS")</f>
        <v>GROUPS</v>
      </c>
      <c r="C2297" s="2"/>
    </row>
    <row r="2298" ht="15.75" customHeight="1">
      <c r="A2298" s="2">
        <f>IFERROR(__xludf.DUMMYFUNCTION("""COMPUTED_VALUE"""),45652.0)</f>
        <v>45652</v>
      </c>
      <c r="B2298" s="2" t="str">
        <f>IFERROR(__xludf.DUMMYFUNCTION("""COMPUTED_VALUE"""),"Previous Woodstock")</f>
        <v>Previous Woodstock</v>
      </c>
      <c r="C2298" s="2"/>
    </row>
    <row r="2299" ht="15.75" customHeight="1">
      <c r="A2299" s="2">
        <f>IFERROR(__xludf.DUMMYFUNCTION("""COMPUTED_VALUE"""),45652.0)</f>
        <v>45652</v>
      </c>
      <c r="B2299" s="2" t="str">
        <f>IFERROR(__xludf.DUMMYFUNCTION("""COMPUTED_VALUE"""),"Previous Lenox/Brookhaven")</f>
        <v>Previous Lenox/Brookhaven</v>
      </c>
      <c r="C2299" s="2"/>
    </row>
    <row r="2300" ht="15.75" customHeight="1">
      <c r="A2300" s="2">
        <f>IFERROR(__xludf.DUMMYFUNCTION("""COMPUTED_VALUE"""),45652.0)</f>
        <v>45652</v>
      </c>
      <c r="B2300" s="2" t="str">
        <f>IFERROR(__xludf.DUMMYFUNCTION("""COMPUTED_VALUE"""),"Previous New Chastain")</f>
        <v>Previous New Chastain</v>
      </c>
      <c r="C2300" s="2"/>
    </row>
    <row r="2301" ht="15.75" customHeight="1">
      <c r="A2301" s="2">
        <f>IFERROR(__xludf.DUMMYFUNCTION("""COMPUTED_VALUE"""),45652.0)</f>
        <v>45652</v>
      </c>
      <c r="B2301" s="2" t="str">
        <f>IFERROR(__xludf.DUMMYFUNCTION("""COMPUTED_VALUE"""),"Previous Glenwood Park")</f>
        <v>Previous Glenwood Park</v>
      </c>
      <c r="C2301" s="2"/>
    </row>
    <row r="2302" ht="15.75" customHeight="1">
      <c r="A2302" s="2">
        <f>IFERROR(__xludf.DUMMYFUNCTION("""COMPUTED_VALUE"""),45652.0)</f>
        <v>45652</v>
      </c>
      <c r="B2302" s="2" t="str">
        <f>IFERROR(__xludf.DUMMYFUNCTION("""COMPUTED_VALUE"""),"FLOWERY BRANCH")</f>
        <v>FLOWERY BRANCH</v>
      </c>
      <c r="C2302" s="2"/>
    </row>
    <row r="2303" ht="15.75" customHeight="1">
      <c r="A2303" s="2">
        <f>IFERROR(__xludf.DUMMYFUNCTION("""COMPUTED_VALUE"""),45652.0)</f>
        <v>45652</v>
      </c>
      <c r="B2303" s="2" t="str">
        <f>IFERROR(__xludf.DUMMYFUNCTION("""COMPUTED_VALUE"""),"GROUPS ")</f>
        <v>GROUPS </v>
      </c>
      <c r="C2303" s="2">
        <f>IFERROR(__xludf.DUMMYFUNCTION("""COMPUTED_VALUE"""),2000.0)</f>
        <v>2000</v>
      </c>
    </row>
    <row r="2304" ht="15.75" customHeight="1">
      <c r="A2304" s="2">
        <f>IFERROR(__xludf.DUMMYFUNCTION("""COMPUTED_VALUE"""),45652.0)</f>
        <v>45652</v>
      </c>
      <c r="B2304" s="2" t="str">
        <f>IFERROR(__xludf.DUMMYFUNCTION("""COMPUTED_VALUE"""),"TOTAL")</f>
        <v>TOTAL</v>
      </c>
      <c r="C2304" s="2"/>
    </row>
    <row r="2305" ht="15.75" customHeight="1">
      <c r="A2305" s="2">
        <f>IFERROR(__xludf.DUMMYFUNCTION("""COMPUTED_VALUE"""),45652.0)</f>
        <v>45652</v>
      </c>
      <c r="B2305" s="2" t="str">
        <f>IFERROR(__xludf.DUMMYFUNCTION("""COMPUTED_VALUE"""),"Collective Learning")</f>
        <v>Collective Learning</v>
      </c>
      <c r="C2305" s="2"/>
    </row>
    <row r="2306" ht="15.75" customHeight="1">
      <c r="A2306" s="2">
        <f>IFERROR(__xludf.DUMMYFUNCTION("""COMPUTED_VALUE"""),45652.0)</f>
        <v>45652</v>
      </c>
      <c r="B2306" s="2" t="str">
        <f>IFERROR(__xludf.DUMMYFUNCTION("""COMPUTED_VALUE"""),"NOTES")</f>
        <v>NOTES</v>
      </c>
      <c r="C2306" s="2" t="str">
        <f>IFERROR(__xludf.DUMMYFUNCTION("""COMPUTED_VALUE"""),"No collection")</f>
        <v>No collection</v>
      </c>
    </row>
    <row r="2307" ht="15.75" customHeight="1">
      <c r="A2307" s="2">
        <f>IFERROR(__xludf.DUMMYFUNCTION("""COMPUTED_VALUE"""),45658.0)</f>
        <v>45658</v>
      </c>
      <c r="B2307" s="2" t="str">
        <f>IFERROR(__xludf.DUMMYFUNCTION("""COMPUTED_VALUE"""),"# of Sandwiches")</f>
        <v># of Sandwiches</v>
      </c>
      <c r="C2307" s="2">
        <f>IFERROR(__xludf.DUMMYFUNCTION("""COMPUTED_VALUE"""),748.0)</f>
        <v>748</v>
      </c>
    </row>
    <row r="2308" ht="15.75" customHeight="1">
      <c r="A2308" s="2">
        <f>IFERROR(__xludf.DUMMYFUNCTION("""COMPUTED_VALUE"""),45658.0)</f>
        <v>45658</v>
      </c>
      <c r="B2308" s="2" t="str">
        <f>IFERROR(__xludf.DUMMYFUNCTION("""COMPUTED_VALUE"""),"ALPHARETTA")</f>
        <v>ALPHARETTA</v>
      </c>
      <c r="C2308" s="2"/>
    </row>
    <row r="2309" ht="15.75" customHeight="1">
      <c r="A2309" s="2">
        <f>IFERROR(__xludf.DUMMYFUNCTION("""COMPUTED_VALUE"""),45658.0)</f>
        <v>45658</v>
      </c>
      <c r="B2309" s="2" t="str">
        <f>IFERROR(__xludf.DUMMYFUNCTION("""COMPUTED_VALUE"""),"PREVIOUS BUCKHEAD")</f>
        <v>PREVIOUS BUCKHEAD</v>
      </c>
      <c r="C2309" s="2"/>
    </row>
    <row r="2310" ht="15.75" customHeight="1">
      <c r="A2310" s="2">
        <f>IFERROR(__xludf.DUMMYFUNCTION("""COMPUTED_VALUE"""),45658.0)</f>
        <v>45658</v>
      </c>
      <c r="B2310" s="2" t="str">
        <f>IFERROR(__xludf.DUMMYFUNCTION("""COMPUTED_VALUE"""),"PREVIOUS OAK GROVE")</f>
        <v>PREVIOUS OAK GROVE</v>
      </c>
      <c r="C2310" s="2"/>
    </row>
    <row r="2311" ht="15.75" customHeight="1">
      <c r="A2311" s="2">
        <f>IFERROR(__xludf.DUMMYFUNCTION("""COMPUTED_VALUE"""),45658.0)</f>
        <v>45658</v>
      </c>
      <c r="B2311" s="2" t="str">
        <f>IFERROR(__xludf.DUMMYFUNCTION("""COMPUTED_VALUE"""),"DUNWOODY/PTC ")</f>
        <v>DUNWOODY/PTC </v>
      </c>
      <c r="C2311" s="2">
        <f>IFERROR(__xludf.DUMMYFUNCTION("""COMPUTED_VALUE"""),563.0)</f>
        <v>563</v>
      </c>
    </row>
    <row r="2312" ht="15.75" customHeight="1">
      <c r="A2312" s="2">
        <f>IFERROR(__xludf.DUMMYFUNCTION("""COMPUTED_VALUE"""),45658.0)</f>
        <v>45658</v>
      </c>
      <c r="B2312" s="2" t="str">
        <f>IFERROR(__xludf.DUMMYFUNCTION("""COMPUTED_VALUE"""),"E COBB/ROSWELL")</f>
        <v>E COBB/ROSWELL</v>
      </c>
      <c r="C2312" s="2">
        <f>IFERROR(__xludf.DUMMYFUNCTION("""COMPUTED_VALUE"""),185.0)</f>
        <v>185</v>
      </c>
    </row>
    <row r="2313" ht="15.75" customHeight="1">
      <c r="A2313" s="2">
        <f>IFERROR(__xludf.DUMMYFUNCTION("""COMPUTED_VALUE"""),45658.0)</f>
        <v>45658</v>
      </c>
      <c r="B2313" s="2" t="str">
        <f>IFERROR(__xludf.DUMMYFUNCTION("""COMPUTED_VALUE"""),"DECATUR")</f>
        <v>DECATUR</v>
      </c>
      <c r="C2313" s="2">
        <f>IFERROR(__xludf.DUMMYFUNCTION("""COMPUTED_VALUE"""),0.0)</f>
        <v>0</v>
      </c>
    </row>
    <row r="2314" ht="15.75" customHeight="1">
      <c r="A2314" s="2">
        <f>IFERROR(__xludf.DUMMYFUNCTION("""COMPUTED_VALUE"""),45658.0)</f>
        <v>45658</v>
      </c>
      <c r="B2314" s="2" t="str">
        <f>IFERROR(__xludf.DUMMYFUNCTION("""COMPUTED_VALUE"""),"P'TREE CORNERS ")</f>
        <v>P'TREE CORNERS </v>
      </c>
      <c r="C2314" s="2" t="str">
        <f>IFERROR(__xludf.DUMMYFUNCTION("""COMPUTED_VALUE"""),"N/A")</f>
        <v>N/A</v>
      </c>
    </row>
    <row r="2315" ht="15.75" customHeight="1">
      <c r="A2315" s="2">
        <f>IFERROR(__xludf.DUMMYFUNCTION("""COMPUTED_VALUE"""),45658.0)</f>
        <v>45658</v>
      </c>
      <c r="B2315" s="2" t="str">
        <f>IFERROR(__xludf.DUMMYFUNCTION("""COMPUTED_VALUE"""),"UGA/Athens")</f>
        <v>UGA/Athens</v>
      </c>
      <c r="C2315" s="2"/>
    </row>
    <row r="2316" ht="15.75" customHeight="1">
      <c r="A2316" s="2">
        <f>IFERROR(__xludf.DUMMYFUNCTION("""COMPUTED_VALUE"""),45658.0)</f>
        <v>45658</v>
      </c>
      <c r="B2316" s="2" t="str">
        <f>IFERROR(__xludf.DUMMYFUNCTION("""COMPUTED_VALUE"""),"SANDY SPRINGS ")</f>
        <v>SANDY SPRINGS </v>
      </c>
      <c r="C2316" s="2"/>
    </row>
    <row r="2317" ht="15.75" customHeight="1">
      <c r="A2317" s="2">
        <f>IFERROR(__xludf.DUMMYFUNCTION("""COMPUTED_VALUE"""),45658.0)</f>
        <v>45658</v>
      </c>
      <c r="B2317" s="2" t="str">
        <f>IFERROR(__xludf.DUMMYFUNCTION("""COMPUTED_VALUE"""),"INTOWN/DRUID HILLS ")</f>
        <v>INTOWN/DRUID HILLS </v>
      </c>
      <c r="C2317" s="2"/>
    </row>
    <row r="2318" ht="15.75" customHeight="1">
      <c r="A2318" s="2">
        <f>IFERROR(__xludf.DUMMYFUNCTION("""COMPUTED_VALUE"""),45658.0)</f>
        <v>45658</v>
      </c>
      <c r="B2318" s="2" t="str">
        <f>IFERROR(__xludf.DUMMYFUNCTION("""COMPUTED_VALUE"""),"SNELLVILLE")</f>
        <v>SNELLVILLE</v>
      </c>
      <c r="C2318" s="2">
        <f>IFERROR(__xludf.DUMMYFUNCTION("""COMPUTED_VALUE"""),0.0)</f>
        <v>0</v>
      </c>
    </row>
    <row r="2319" ht="15.75" customHeight="1">
      <c r="A2319" s="2">
        <f>IFERROR(__xludf.DUMMYFUNCTION("""COMPUTED_VALUE"""),45658.0)</f>
        <v>45658</v>
      </c>
      <c r="B2319" s="2" t="str">
        <f>IFERROR(__xludf.DUMMYFUNCTION("""COMPUTED_VALUE"""),"GROUPS")</f>
        <v>GROUPS</v>
      </c>
      <c r="C2319" s="2"/>
    </row>
    <row r="2320" ht="15.75" customHeight="1">
      <c r="A2320" s="2">
        <f>IFERROR(__xludf.DUMMYFUNCTION("""COMPUTED_VALUE"""),45658.0)</f>
        <v>45658</v>
      </c>
      <c r="B2320" s="2" t="str">
        <f>IFERROR(__xludf.DUMMYFUNCTION("""COMPUTED_VALUE"""),"Previous Woodstock")</f>
        <v>Previous Woodstock</v>
      </c>
      <c r="C2320" s="2"/>
    </row>
    <row r="2321" ht="15.75" customHeight="1">
      <c r="A2321" s="2">
        <f>IFERROR(__xludf.DUMMYFUNCTION("""COMPUTED_VALUE"""),45658.0)</f>
        <v>45658</v>
      </c>
      <c r="B2321" s="2" t="str">
        <f>IFERROR(__xludf.DUMMYFUNCTION("""COMPUTED_VALUE"""),"Previous Lenox/Brookhaven")</f>
        <v>Previous Lenox/Brookhaven</v>
      </c>
      <c r="C2321" s="2"/>
    </row>
    <row r="2322" ht="15.75" customHeight="1">
      <c r="A2322" s="2">
        <f>IFERROR(__xludf.DUMMYFUNCTION("""COMPUTED_VALUE"""),45658.0)</f>
        <v>45658</v>
      </c>
      <c r="B2322" s="2" t="str">
        <f>IFERROR(__xludf.DUMMYFUNCTION("""COMPUTED_VALUE"""),"Previous New Chastain")</f>
        <v>Previous New Chastain</v>
      </c>
      <c r="C2322" s="2"/>
    </row>
    <row r="2323" ht="15.75" customHeight="1">
      <c r="A2323" s="2">
        <f>IFERROR(__xludf.DUMMYFUNCTION("""COMPUTED_VALUE"""),45658.0)</f>
        <v>45658</v>
      </c>
      <c r="B2323" s="2" t="str">
        <f>IFERROR(__xludf.DUMMYFUNCTION("""COMPUTED_VALUE"""),"Previous Glenwood Park")</f>
        <v>Previous Glenwood Park</v>
      </c>
      <c r="C2323" s="2"/>
    </row>
    <row r="2324" ht="15.75" customHeight="1">
      <c r="A2324" s="2">
        <f>IFERROR(__xludf.DUMMYFUNCTION("""COMPUTED_VALUE"""),45658.0)</f>
        <v>45658</v>
      </c>
      <c r="B2324" s="2" t="str">
        <f>IFERROR(__xludf.DUMMYFUNCTION("""COMPUTED_VALUE"""),"FLOWERY BRANCH")</f>
        <v>FLOWERY BRANCH</v>
      </c>
      <c r="C2324" s="2"/>
    </row>
    <row r="2325" ht="15.75" customHeight="1">
      <c r="A2325" s="2">
        <f>IFERROR(__xludf.DUMMYFUNCTION("""COMPUTED_VALUE"""),45658.0)</f>
        <v>45658</v>
      </c>
      <c r="B2325" s="2" t="str">
        <f>IFERROR(__xludf.DUMMYFUNCTION("""COMPUTED_VALUE"""),"GROUPS ")</f>
        <v>GROUPS </v>
      </c>
      <c r="C2325" s="2"/>
    </row>
    <row r="2326" ht="15.75" customHeight="1">
      <c r="A2326" s="2">
        <f>IFERROR(__xludf.DUMMYFUNCTION("""COMPUTED_VALUE"""),45658.0)</f>
        <v>45658</v>
      </c>
      <c r="B2326" s="2" t="str">
        <f>IFERROR(__xludf.DUMMYFUNCTION("""COMPUTED_VALUE"""),"TOTAL")</f>
        <v>TOTAL</v>
      </c>
      <c r="C2326" s="2"/>
    </row>
    <row r="2327" ht="15.75" customHeight="1">
      <c r="A2327" s="2">
        <f>IFERROR(__xludf.DUMMYFUNCTION("""COMPUTED_VALUE"""),45658.0)</f>
        <v>45658</v>
      </c>
      <c r="B2327" s="2" t="str">
        <f>IFERROR(__xludf.DUMMYFUNCTION("""COMPUTED_VALUE"""),"Collective Learning")</f>
        <v>Collective Learning</v>
      </c>
      <c r="C2327" s="2"/>
    </row>
    <row r="2328" ht="15.75" customHeight="1">
      <c r="A2328" s="2">
        <f>IFERROR(__xludf.DUMMYFUNCTION("""COMPUTED_VALUE"""),45658.0)</f>
        <v>45658</v>
      </c>
      <c r="B2328" s="2" t="str">
        <f>IFERROR(__xludf.DUMMYFUNCTION("""COMPUTED_VALUE"""),"NOTES")</f>
        <v>NOTES</v>
      </c>
      <c r="C2328" s="2" t="str">
        <f>IFERROR(__xludf.DUMMYFUNCTION("""COMPUTED_VALUE"""),"No collection")</f>
        <v>No collection</v>
      </c>
    </row>
    <row r="2329" ht="15.75" customHeight="1">
      <c r="A2329" s="2">
        <f>IFERROR(__xludf.DUMMYFUNCTION("""COMPUTED_VALUE"""),45665.0)</f>
        <v>45665</v>
      </c>
      <c r="B2329" s="2" t="str">
        <f>IFERROR(__xludf.DUMMYFUNCTION("""COMPUTED_VALUE"""),"# of Sandwiches")</f>
        <v># of Sandwiches</v>
      </c>
      <c r="C2329" s="2">
        <f>IFERROR(__xludf.DUMMYFUNCTION("""COMPUTED_VALUE"""),7774.0)</f>
        <v>7774</v>
      </c>
    </row>
    <row r="2330" ht="15.75" customHeight="1">
      <c r="A2330" s="2">
        <f>IFERROR(__xludf.DUMMYFUNCTION("""COMPUTED_VALUE"""),45665.0)</f>
        <v>45665</v>
      </c>
      <c r="B2330" s="2" t="str">
        <f>IFERROR(__xludf.DUMMYFUNCTION("""COMPUTED_VALUE"""),"ALPHARETTA")</f>
        <v>ALPHARETTA</v>
      </c>
      <c r="C2330" s="2">
        <f>IFERROR(__xludf.DUMMYFUNCTION("""COMPUTED_VALUE"""),1571.0)</f>
        <v>1571</v>
      </c>
    </row>
    <row r="2331" ht="15.75" customHeight="1">
      <c r="A2331" s="2">
        <f>IFERROR(__xludf.DUMMYFUNCTION("""COMPUTED_VALUE"""),45665.0)</f>
        <v>45665</v>
      </c>
      <c r="B2331" s="2" t="str">
        <f>IFERROR(__xludf.DUMMYFUNCTION("""COMPUTED_VALUE"""),"PREVIOUS BUCKHEAD")</f>
        <v>PREVIOUS BUCKHEAD</v>
      </c>
      <c r="C2331" s="2"/>
    </row>
    <row r="2332" ht="15.75" customHeight="1">
      <c r="A2332" s="2">
        <f>IFERROR(__xludf.DUMMYFUNCTION("""COMPUTED_VALUE"""),45665.0)</f>
        <v>45665</v>
      </c>
      <c r="B2332" s="2" t="str">
        <f>IFERROR(__xludf.DUMMYFUNCTION("""COMPUTED_VALUE"""),"PREVIOUS OAK GROVE")</f>
        <v>PREVIOUS OAK GROVE</v>
      </c>
      <c r="C2332" s="2"/>
    </row>
    <row r="2333" ht="15.75" customHeight="1">
      <c r="A2333" s="2">
        <f>IFERROR(__xludf.DUMMYFUNCTION("""COMPUTED_VALUE"""),45665.0)</f>
        <v>45665</v>
      </c>
      <c r="B2333" s="2" t="str">
        <f>IFERROR(__xludf.DUMMYFUNCTION("""COMPUTED_VALUE"""),"DUNWOODY/PTC ")</f>
        <v>DUNWOODY/PTC </v>
      </c>
      <c r="C2333" s="2">
        <f>IFERROR(__xludf.DUMMYFUNCTION("""COMPUTED_VALUE"""),2397.0)</f>
        <v>2397</v>
      </c>
    </row>
    <row r="2334" ht="15.75" customHeight="1">
      <c r="A2334" s="2">
        <f>IFERROR(__xludf.DUMMYFUNCTION("""COMPUTED_VALUE"""),45665.0)</f>
        <v>45665</v>
      </c>
      <c r="B2334" s="2" t="str">
        <f>IFERROR(__xludf.DUMMYFUNCTION("""COMPUTED_VALUE"""),"E COBB/ROSWELL")</f>
        <v>E COBB/ROSWELL</v>
      </c>
      <c r="C2334" s="2">
        <f>IFERROR(__xludf.DUMMYFUNCTION("""COMPUTED_VALUE"""),1115.0)</f>
        <v>1115</v>
      </c>
    </row>
    <row r="2335" ht="15.75" customHeight="1">
      <c r="A2335" s="2">
        <f>IFERROR(__xludf.DUMMYFUNCTION("""COMPUTED_VALUE"""),45665.0)</f>
        <v>45665</v>
      </c>
      <c r="B2335" s="2" t="str">
        <f>IFERROR(__xludf.DUMMYFUNCTION("""COMPUTED_VALUE"""),"DECATUR")</f>
        <v>DECATUR</v>
      </c>
      <c r="C2335" s="2">
        <f>IFERROR(__xludf.DUMMYFUNCTION("""COMPUTED_VALUE"""),0.0)</f>
        <v>0</v>
      </c>
    </row>
    <row r="2336" ht="15.75" customHeight="1">
      <c r="A2336" s="2">
        <f>IFERROR(__xludf.DUMMYFUNCTION("""COMPUTED_VALUE"""),45665.0)</f>
        <v>45665</v>
      </c>
      <c r="B2336" s="2" t="str">
        <f>IFERROR(__xludf.DUMMYFUNCTION("""COMPUTED_VALUE"""),"P'TREE CORNERS ")</f>
        <v>P'TREE CORNERS </v>
      </c>
      <c r="C2336" s="2" t="str">
        <f>IFERROR(__xludf.DUMMYFUNCTION("""COMPUTED_VALUE"""),"N/A")</f>
        <v>N/A</v>
      </c>
    </row>
    <row r="2337" ht="15.75" customHeight="1">
      <c r="A2337" s="2">
        <f>IFERROR(__xludf.DUMMYFUNCTION("""COMPUTED_VALUE"""),45665.0)</f>
        <v>45665</v>
      </c>
      <c r="B2337" s="2" t="str">
        <f>IFERROR(__xludf.DUMMYFUNCTION("""COMPUTED_VALUE"""),"UGA/Athens")</f>
        <v>UGA/Athens</v>
      </c>
      <c r="C2337" s="2"/>
    </row>
    <row r="2338" ht="15.75" customHeight="1">
      <c r="A2338" s="2">
        <f>IFERROR(__xludf.DUMMYFUNCTION("""COMPUTED_VALUE"""),45665.0)</f>
        <v>45665</v>
      </c>
      <c r="B2338" s="2" t="str">
        <f>IFERROR(__xludf.DUMMYFUNCTION("""COMPUTED_VALUE"""),"SANDY SPRINGS ")</f>
        <v>SANDY SPRINGS </v>
      </c>
      <c r="C2338" s="2">
        <f>IFERROR(__xludf.DUMMYFUNCTION("""COMPUTED_VALUE"""),301.0)</f>
        <v>301</v>
      </c>
    </row>
    <row r="2339" ht="15.75" customHeight="1">
      <c r="A2339" s="2">
        <f>IFERROR(__xludf.DUMMYFUNCTION("""COMPUTED_VALUE"""),45665.0)</f>
        <v>45665</v>
      </c>
      <c r="B2339" s="2" t="str">
        <f>IFERROR(__xludf.DUMMYFUNCTION("""COMPUTED_VALUE"""),"INTOWN/DRUID HILLS ")</f>
        <v>INTOWN/DRUID HILLS </v>
      </c>
      <c r="C2339" s="2">
        <f>IFERROR(__xludf.DUMMYFUNCTION("""COMPUTED_VALUE"""),1064.0)</f>
        <v>1064</v>
      </c>
    </row>
    <row r="2340" ht="15.75" customHeight="1">
      <c r="A2340" s="2">
        <f>IFERROR(__xludf.DUMMYFUNCTION("""COMPUTED_VALUE"""),45665.0)</f>
        <v>45665</v>
      </c>
      <c r="B2340" s="2" t="str">
        <f>IFERROR(__xludf.DUMMYFUNCTION("""COMPUTED_VALUE"""),"SNELLVILLE")</f>
        <v>SNELLVILLE</v>
      </c>
      <c r="C2340" s="2">
        <f>IFERROR(__xludf.DUMMYFUNCTION("""COMPUTED_VALUE"""),0.0)</f>
        <v>0</v>
      </c>
    </row>
    <row r="2341" ht="15.75" customHeight="1">
      <c r="A2341" s="2">
        <f>IFERROR(__xludf.DUMMYFUNCTION("""COMPUTED_VALUE"""),45665.0)</f>
        <v>45665</v>
      </c>
      <c r="B2341" s="2" t="str">
        <f>IFERROR(__xludf.DUMMYFUNCTION("""COMPUTED_VALUE"""),"GROUPS")</f>
        <v>GROUPS</v>
      </c>
      <c r="C2341" s="2"/>
    </row>
    <row r="2342" ht="15.75" customHeight="1">
      <c r="A2342" s="2">
        <f>IFERROR(__xludf.DUMMYFUNCTION("""COMPUTED_VALUE"""),45665.0)</f>
        <v>45665</v>
      </c>
      <c r="B2342" s="2" t="str">
        <f>IFERROR(__xludf.DUMMYFUNCTION("""COMPUTED_VALUE"""),"Previous Woodstock")</f>
        <v>Previous Woodstock</v>
      </c>
      <c r="C2342" s="2"/>
    </row>
    <row r="2343" ht="15.75" customHeight="1">
      <c r="A2343" s="2">
        <f>IFERROR(__xludf.DUMMYFUNCTION("""COMPUTED_VALUE"""),45665.0)</f>
        <v>45665</v>
      </c>
      <c r="B2343" s="2" t="str">
        <f>IFERROR(__xludf.DUMMYFUNCTION("""COMPUTED_VALUE"""),"Previous Lenox/Brookhaven")</f>
        <v>Previous Lenox/Brookhaven</v>
      </c>
      <c r="C2343" s="2"/>
    </row>
    <row r="2344" ht="15.75" customHeight="1">
      <c r="A2344" s="2">
        <f>IFERROR(__xludf.DUMMYFUNCTION("""COMPUTED_VALUE"""),45665.0)</f>
        <v>45665</v>
      </c>
      <c r="B2344" s="2" t="str">
        <f>IFERROR(__xludf.DUMMYFUNCTION("""COMPUTED_VALUE"""),"Previous New Chastain")</f>
        <v>Previous New Chastain</v>
      </c>
      <c r="C2344" s="2"/>
    </row>
    <row r="2345" ht="15.75" customHeight="1">
      <c r="A2345" s="2">
        <f>IFERROR(__xludf.DUMMYFUNCTION("""COMPUTED_VALUE"""),45665.0)</f>
        <v>45665</v>
      </c>
      <c r="B2345" s="2" t="str">
        <f>IFERROR(__xludf.DUMMYFUNCTION("""COMPUTED_VALUE"""),"Previous Glenwood Park")</f>
        <v>Previous Glenwood Park</v>
      </c>
      <c r="C2345" s="2"/>
    </row>
    <row r="2346" ht="15.75" customHeight="1">
      <c r="A2346" s="2">
        <f>IFERROR(__xludf.DUMMYFUNCTION("""COMPUTED_VALUE"""),45665.0)</f>
        <v>45665</v>
      </c>
      <c r="B2346" s="2" t="str">
        <f>IFERROR(__xludf.DUMMYFUNCTION("""COMPUTED_VALUE"""),"FLOWERY BRANCH")</f>
        <v>FLOWERY BRANCH</v>
      </c>
      <c r="C2346" s="2">
        <f>IFERROR(__xludf.DUMMYFUNCTION("""COMPUTED_VALUE"""),426.0)</f>
        <v>426</v>
      </c>
    </row>
    <row r="2347" ht="15.75" customHeight="1">
      <c r="A2347" s="2">
        <f>IFERROR(__xludf.DUMMYFUNCTION("""COMPUTED_VALUE"""),45665.0)</f>
        <v>45665</v>
      </c>
      <c r="B2347" s="2" t="str">
        <f>IFERROR(__xludf.DUMMYFUNCTION("""COMPUTED_VALUE"""),"GROUPS ")</f>
        <v>GROUPS </v>
      </c>
      <c r="C2347" s="2">
        <f>IFERROR(__xludf.DUMMYFUNCTION("""COMPUTED_VALUE"""),900.0)</f>
        <v>900</v>
      </c>
    </row>
    <row r="2348" ht="15.75" customHeight="1">
      <c r="A2348" s="2">
        <f>IFERROR(__xludf.DUMMYFUNCTION("""COMPUTED_VALUE"""),45665.0)</f>
        <v>45665</v>
      </c>
      <c r="B2348" s="2" t="str">
        <f>IFERROR(__xludf.DUMMYFUNCTION("""COMPUTED_VALUE"""),"TOTAL")</f>
        <v>TOTAL</v>
      </c>
      <c r="C2348" s="2"/>
    </row>
    <row r="2349" ht="15.75" customHeight="1">
      <c r="A2349" s="2">
        <f>IFERROR(__xludf.DUMMYFUNCTION("""COMPUTED_VALUE"""),45665.0)</f>
        <v>45665</v>
      </c>
      <c r="B2349" s="2" t="str">
        <f>IFERROR(__xludf.DUMMYFUNCTION("""COMPUTED_VALUE"""),"Collective Learning")</f>
        <v>Collective Learning</v>
      </c>
      <c r="C2349" s="2"/>
    </row>
    <row r="2350" ht="15.75" customHeight="1">
      <c r="A2350" s="2">
        <f>IFERROR(__xludf.DUMMYFUNCTION("""COMPUTED_VALUE"""),45665.0)</f>
        <v>45665</v>
      </c>
      <c r="B2350" s="2" t="str">
        <f>IFERROR(__xludf.DUMMYFUNCTION("""COMPUTED_VALUE"""),"NOTES")</f>
        <v>NOTES</v>
      </c>
      <c r="C2350" s="2"/>
    </row>
    <row r="2351" ht="15.75" customHeight="1">
      <c r="A2351" s="2">
        <f>IFERROR(__xludf.DUMMYFUNCTION("""COMPUTED_VALUE"""),45672.0)</f>
        <v>45672</v>
      </c>
      <c r="B2351" s="2" t="str">
        <f>IFERROR(__xludf.DUMMYFUNCTION("""COMPUTED_VALUE"""),"# of Sandwiches")</f>
        <v># of Sandwiches</v>
      </c>
      <c r="C2351" s="2">
        <f>IFERROR(__xludf.DUMMYFUNCTION("""COMPUTED_VALUE"""),8691.0)</f>
        <v>8691</v>
      </c>
    </row>
    <row r="2352" ht="15.75" customHeight="1">
      <c r="A2352" s="2">
        <f>IFERROR(__xludf.DUMMYFUNCTION("""COMPUTED_VALUE"""),45672.0)</f>
        <v>45672</v>
      </c>
      <c r="B2352" s="2" t="str">
        <f>IFERROR(__xludf.DUMMYFUNCTION("""COMPUTED_VALUE"""),"ALPHARETTA")</f>
        <v>ALPHARETTA</v>
      </c>
      <c r="C2352" s="2">
        <f>IFERROR(__xludf.DUMMYFUNCTION("""COMPUTED_VALUE"""),1180.0)</f>
        <v>1180</v>
      </c>
    </row>
    <row r="2353" ht="15.75" customHeight="1">
      <c r="A2353" s="2">
        <f>IFERROR(__xludf.DUMMYFUNCTION("""COMPUTED_VALUE"""),45672.0)</f>
        <v>45672</v>
      </c>
      <c r="B2353" s="2" t="str">
        <f>IFERROR(__xludf.DUMMYFUNCTION("""COMPUTED_VALUE"""),"PREVIOUS BUCKHEAD")</f>
        <v>PREVIOUS BUCKHEAD</v>
      </c>
      <c r="C2353" s="2"/>
    </row>
    <row r="2354" ht="15.75" customHeight="1">
      <c r="A2354" s="2">
        <f>IFERROR(__xludf.DUMMYFUNCTION("""COMPUTED_VALUE"""),45672.0)</f>
        <v>45672</v>
      </c>
      <c r="B2354" s="2" t="str">
        <f>IFERROR(__xludf.DUMMYFUNCTION("""COMPUTED_VALUE"""),"PREVIOUS OAK GROVE")</f>
        <v>PREVIOUS OAK GROVE</v>
      </c>
      <c r="C2354" s="2"/>
    </row>
    <row r="2355" ht="15.75" customHeight="1">
      <c r="A2355" s="2">
        <f>IFERROR(__xludf.DUMMYFUNCTION("""COMPUTED_VALUE"""),45672.0)</f>
        <v>45672</v>
      </c>
      <c r="B2355" s="2" t="str">
        <f>IFERROR(__xludf.DUMMYFUNCTION("""COMPUTED_VALUE"""),"DUNWOODY/PTC ")</f>
        <v>DUNWOODY/PTC </v>
      </c>
      <c r="C2355" s="2">
        <f>IFERROR(__xludf.DUMMYFUNCTION("""COMPUTED_VALUE"""),2384.0)</f>
        <v>2384</v>
      </c>
    </row>
    <row r="2356" ht="15.75" customHeight="1">
      <c r="A2356" s="2">
        <f>IFERROR(__xludf.DUMMYFUNCTION("""COMPUTED_VALUE"""),45672.0)</f>
        <v>45672</v>
      </c>
      <c r="B2356" s="2" t="str">
        <f>IFERROR(__xludf.DUMMYFUNCTION("""COMPUTED_VALUE"""),"E COBB/ROSWELL")</f>
        <v>E COBB/ROSWELL</v>
      </c>
      <c r="C2356" s="2">
        <f>IFERROR(__xludf.DUMMYFUNCTION("""COMPUTED_VALUE"""),1776.0)</f>
        <v>1776</v>
      </c>
    </row>
    <row r="2357" ht="15.75" customHeight="1">
      <c r="A2357" s="2">
        <f>IFERROR(__xludf.DUMMYFUNCTION("""COMPUTED_VALUE"""),45672.0)</f>
        <v>45672</v>
      </c>
      <c r="B2357" s="2" t="str">
        <f>IFERROR(__xludf.DUMMYFUNCTION("""COMPUTED_VALUE"""),"DECATUR")</f>
        <v>DECATUR</v>
      </c>
      <c r="C2357" s="2">
        <f>IFERROR(__xludf.DUMMYFUNCTION("""COMPUTED_VALUE"""),0.0)</f>
        <v>0</v>
      </c>
    </row>
    <row r="2358" ht="15.75" customHeight="1">
      <c r="A2358" s="2">
        <f>IFERROR(__xludf.DUMMYFUNCTION("""COMPUTED_VALUE"""),45672.0)</f>
        <v>45672</v>
      </c>
      <c r="B2358" s="2" t="str">
        <f>IFERROR(__xludf.DUMMYFUNCTION("""COMPUTED_VALUE"""),"P'TREE CORNERS ")</f>
        <v>P'TREE CORNERS </v>
      </c>
      <c r="C2358" s="2" t="str">
        <f>IFERROR(__xludf.DUMMYFUNCTION("""COMPUTED_VALUE"""),"N/A")</f>
        <v>N/A</v>
      </c>
    </row>
    <row r="2359" ht="15.75" customHeight="1">
      <c r="A2359" s="2">
        <f>IFERROR(__xludf.DUMMYFUNCTION("""COMPUTED_VALUE"""),45672.0)</f>
        <v>45672</v>
      </c>
      <c r="B2359" s="2" t="str">
        <f>IFERROR(__xludf.DUMMYFUNCTION("""COMPUTED_VALUE"""),"UGA/Athens")</f>
        <v>UGA/Athens</v>
      </c>
      <c r="C2359" s="2"/>
    </row>
    <row r="2360" ht="15.75" customHeight="1">
      <c r="A2360" s="2">
        <f>IFERROR(__xludf.DUMMYFUNCTION("""COMPUTED_VALUE"""),45672.0)</f>
        <v>45672</v>
      </c>
      <c r="B2360" s="2" t="str">
        <f>IFERROR(__xludf.DUMMYFUNCTION("""COMPUTED_VALUE"""),"SANDY SPRINGS ")</f>
        <v>SANDY SPRINGS </v>
      </c>
      <c r="C2360" s="2">
        <f>IFERROR(__xludf.DUMMYFUNCTION("""COMPUTED_VALUE"""),664.0)</f>
        <v>664</v>
      </c>
    </row>
    <row r="2361" ht="15.75" customHeight="1">
      <c r="A2361" s="2">
        <f>IFERROR(__xludf.DUMMYFUNCTION("""COMPUTED_VALUE"""),45672.0)</f>
        <v>45672</v>
      </c>
      <c r="B2361" s="2" t="str">
        <f>IFERROR(__xludf.DUMMYFUNCTION("""COMPUTED_VALUE"""),"INTOWN/DRUID HILLS ")</f>
        <v>INTOWN/DRUID HILLS </v>
      </c>
      <c r="C2361" s="2">
        <f>IFERROR(__xludf.DUMMYFUNCTION("""COMPUTED_VALUE"""),727.0)</f>
        <v>727</v>
      </c>
    </row>
    <row r="2362" ht="15.75" customHeight="1">
      <c r="A2362" s="2">
        <f>IFERROR(__xludf.DUMMYFUNCTION("""COMPUTED_VALUE"""),45672.0)</f>
        <v>45672</v>
      </c>
      <c r="B2362" s="2" t="str">
        <f>IFERROR(__xludf.DUMMYFUNCTION("""COMPUTED_VALUE"""),"SNELLVILLE")</f>
        <v>SNELLVILLE</v>
      </c>
      <c r="C2362" s="2">
        <f>IFERROR(__xludf.DUMMYFUNCTION("""COMPUTED_VALUE"""),0.0)</f>
        <v>0</v>
      </c>
    </row>
    <row r="2363" ht="15.75" customHeight="1">
      <c r="A2363" s="2">
        <f>IFERROR(__xludf.DUMMYFUNCTION("""COMPUTED_VALUE"""),45672.0)</f>
        <v>45672</v>
      </c>
      <c r="B2363" s="2" t="str">
        <f>IFERROR(__xludf.DUMMYFUNCTION("""COMPUTED_VALUE"""),"GROUPS")</f>
        <v>GROUPS</v>
      </c>
      <c r="C2363" s="2"/>
    </row>
    <row r="2364" ht="15.75" customHeight="1">
      <c r="A2364" s="2">
        <f>IFERROR(__xludf.DUMMYFUNCTION("""COMPUTED_VALUE"""),45672.0)</f>
        <v>45672</v>
      </c>
      <c r="B2364" s="2" t="str">
        <f>IFERROR(__xludf.DUMMYFUNCTION("""COMPUTED_VALUE"""),"Previous Woodstock")</f>
        <v>Previous Woodstock</v>
      </c>
      <c r="C2364" s="2"/>
    </row>
    <row r="2365" ht="15.75" customHeight="1">
      <c r="A2365" s="2">
        <f>IFERROR(__xludf.DUMMYFUNCTION("""COMPUTED_VALUE"""),45672.0)</f>
        <v>45672</v>
      </c>
      <c r="B2365" s="2" t="str">
        <f>IFERROR(__xludf.DUMMYFUNCTION("""COMPUTED_VALUE"""),"Previous Lenox/Brookhaven")</f>
        <v>Previous Lenox/Brookhaven</v>
      </c>
      <c r="C2365" s="2"/>
    </row>
    <row r="2366" ht="15.75" customHeight="1">
      <c r="A2366" s="2">
        <f>IFERROR(__xludf.DUMMYFUNCTION("""COMPUTED_VALUE"""),45672.0)</f>
        <v>45672</v>
      </c>
      <c r="B2366" s="2" t="str">
        <f>IFERROR(__xludf.DUMMYFUNCTION("""COMPUTED_VALUE"""),"Previous New Chastain")</f>
        <v>Previous New Chastain</v>
      </c>
      <c r="C2366" s="2"/>
    </row>
    <row r="2367" ht="15.75" customHeight="1">
      <c r="A2367" s="2">
        <f>IFERROR(__xludf.DUMMYFUNCTION("""COMPUTED_VALUE"""),45672.0)</f>
        <v>45672</v>
      </c>
      <c r="B2367" s="2" t="str">
        <f>IFERROR(__xludf.DUMMYFUNCTION("""COMPUTED_VALUE"""),"Previous Glenwood Park")</f>
        <v>Previous Glenwood Park</v>
      </c>
      <c r="C2367" s="2"/>
    </row>
    <row r="2368" ht="15.75" customHeight="1">
      <c r="A2368" s="2">
        <f>IFERROR(__xludf.DUMMYFUNCTION("""COMPUTED_VALUE"""),45672.0)</f>
        <v>45672</v>
      </c>
      <c r="B2368" s="2" t="str">
        <f>IFERROR(__xludf.DUMMYFUNCTION("""COMPUTED_VALUE"""),"FLOWERY BRANCH")</f>
        <v>FLOWERY BRANCH</v>
      </c>
      <c r="C2368" s="2">
        <f>IFERROR(__xludf.DUMMYFUNCTION("""COMPUTED_VALUE"""),230.0)</f>
        <v>230</v>
      </c>
    </row>
    <row r="2369" ht="15.75" customHeight="1">
      <c r="A2369" s="2">
        <f>IFERROR(__xludf.DUMMYFUNCTION("""COMPUTED_VALUE"""),45672.0)</f>
        <v>45672</v>
      </c>
      <c r="B2369" s="2" t="str">
        <f>IFERROR(__xludf.DUMMYFUNCTION("""COMPUTED_VALUE"""),"GROUPS ")</f>
        <v>GROUPS </v>
      </c>
      <c r="C2369" s="2">
        <f>IFERROR(__xludf.DUMMYFUNCTION("""COMPUTED_VALUE"""),1730.0)</f>
        <v>1730</v>
      </c>
    </row>
    <row r="2370" ht="15.75" customHeight="1">
      <c r="A2370" s="2">
        <f>IFERROR(__xludf.DUMMYFUNCTION("""COMPUTED_VALUE"""),45672.0)</f>
        <v>45672</v>
      </c>
      <c r="B2370" s="2" t="str">
        <f>IFERROR(__xludf.DUMMYFUNCTION("""COMPUTED_VALUE"""),"TOTAL")</f>
        <v>TOTAL</v>
      </c>
      <c r="C2370" s="2"/>
    </row>
    <row r="2371" ht="15.75" customHeight="1">
      <c r="A2371" s="2">
        <f>IFERROR(__xludf.DUMMYFUNCTION("""COMPUTED_VALUE"""),45672.0)</f>
        <v>45672</v>
      </c>
      <c r="B2371" s="2" t="str">
        <f>IFERROR(__xludf.DUMMYFUNCTION("""COMPUTED_VALUE"""),"Collective Learning")</f>
        <v>Collective Learning</v>
      </c>
      <c r="C2371" s="2"/>
    </row>
    <row r="2372" ht="15.75" customHeight="1">
      <c r="A2372" s="2">
        <f>IFERROR(__xludf.DUMMYFUNCTION("""COMPUTED_VALUE"""),45672.0)</f>
        <v>45672</v>
      </c>
      <c r="B2372" s="2" t="str">
        <f>IFERROR(__xludf.DUMMYFUNCTION("""COMPUTED_VALUE"""),"NOTES")</f>
        <v>NOTES</v>
      </c>
      <c r="C2372" s="2"/>
    </row>
    <row r="2373" ht="15.75" customHeight="1">
      <c r="A2373" s="2">
        <f>IFERROR(__xludf.DUMMYFUNCTION("""COMPUTED_VALUE"""),45677.0)</f>
        <v>45677</v>
      </c>
      <c r="B2373" s="2" t="str">
        <f>IFERROR(__xludf.DUMMYFUNCTION("""COMPUTED_VALUE"""),"# of Sandwiches")</f>
        <v># of Sandwiches</v>
      </c>
      <c r="C2373" s="2">
        <f>IFERROR(__xludf.DUMMYFUNCTION("""COMPUTED_VALUE"""),4076.0)</f>
        <v>4076</v>
      </c>
    </row>
    <row r="2374" ht="15.75" customHeight="1">
      <c r="A2374" s="2">
        <f>IFERROR(__xludf.DUMMYFUNCTION("""COMPUTED_VALUE"""),45677.0)</f>
        <v>45677</v>
      </c>
      <c r="B2374" s="2" t="str">
        <f>IFERROR(__xludf.DUMMYFUNCTION("""COMPUTED_VALUE"""),"ALPHARETTA")</f>
        <v>ALPHARETTA</v>
      </c>
      <c r="C2374" s="2">
        <f>IFERROR(__xludf.DUMMYFUNCTION("""COMPUTED_VALUE"""),436.0)</f>
        <v>436</v>
      </c>
    </row>
    <row r="2375" ht="15.75" customHeight="1">
      <c r="A2375" s="2">
        <f>IFERROR(__xludf.DUMMYFUNCTION("""COMPUTED_VALUE"""),45677.0)</f>
        <v>45677</v>
      </c>
      <c r="B2375" s="2" t="str">
        <f>IFERROR(__xludf.DUMMYFUNCTION("""COMPUTED_VALUE"""),"PREVIOUS BUCKHEAD")</f>
        <v>PREVIOUS BUCKHEAD</v>
      </c>
      <c r="C2375" s="2"/>
    </row>
    <row r="2376" ht="15.75" customHeight="1">
      <c r="A2376" s="2">
        <f>IFERROR(__xludf.DUMMYFUNCTION("""COMPUTED_VALUE"""),45677.0)</f>
        <v>45677</v>
      </c>
      <c r="B2376" s="2" t="str">
        <f>IFERROR(__xludf.DUMMYFUNCTION("""COMPUTED_VALUE"""),"PREVIOUS OAK GROVE")</f>
        <v>PREVIOUS OAK GROVE</v>
      </c>
      <c r="C2376" s="2"/>
    </row>
    <row r="2377" ht="15.75" customHeight="1">
      <c r="A2377" s="2">
        <f>IFERROR(__xludf.DUMMYFUNCTION("""COMPUTED_VALUE"""),45677.0)</f>
        <v>45677</v>
      </c>
      <c r="B2377" s="2" t="str">
        <f>IFERROR(__xludf.DUMMYFUNCTION("""COMPUTED_VALUE"""),"DUNWOODY/PTC ")</f>
        <v>DUNWOODY/PTC </v>
      </c>
      <c r="C2377" s="2">
        <f>IFERROR(__xludf.DUMMYFUNCTION("""COMPUTED_VALUE"""),792.0)</f>
        <v>792</v>
      </c>
    </row>
    <row r="2378" ht="15.75" customHeight="1">
      <c r="A2378" s="2">
        <f>IFERROR(__xludf.DUMMYFUNCTION("""COMPUTED_VALUE"""),45677.0)</f>
        <v>45677</v>
      </c>
      <c r="B2378" s="2" t="str">
        <f>IFERROR(__xludf.DUMMYFUNCTION("""COMPUTED_VALUE"""),"E COBB/ROSWELL")</f>
        <v>E COBB/ROSWELL</v>
      </c>
      <c r="C2378" s="2">
        <f>IFERROR(__xludf.DUMMYFUNCTION("""COMPUTED_VALUE"""),400.0)</f>
        <v>400</v>
      </c>
    </row>
    <row r="2379" ht="15.75" customHeight="1">
      <c r="A2379" s="2">
        <f>IFERROR(__xludf.DUMMYFUNCTION("""COMPUTED_VALUE"""),45677.0)</f>
        <v>45677</v>
      </c>
      <c r="B2379" s="2" t="str">
        <f>IFERROR(__xludf.DUMMYFUNCTION("""COMPUTED_VALUE"""),"DECATUR")</f>
        <v>DECATUR</v>
      </c>
      <c r="C2379" s="2">
        <f>IFERROR(__xludf.DUMMYFUNCTION("""COMPUTED_VALUE"""),0.0)</f>
        <v>0</v>
      </c>
    </row>
    <row r="2380" ht="15.75" customHeight="1">
      <c r="A2380" s="2">
        <f>IFERROR(__xludf.DUMMYFUNCTION("""COMPUTED_VALUE"""),45677.0)</f>
        <v>45677</v>
      </c>
      <c r="B2380" s="2" t="str">
        <f>IFERROR(__xludf.DUMMYFUNCTION("""COMPUTED_VALUE"""),"P'TREE CORNERS ")</f>
        <v>P'TREE CORNERS </v>
      </c>
      <c r="C2380" s="2" t="str">
        <f>IFERROR(__xludf.DUMMYFUNCTION("""COMPUTED_VALUE"""),"N/A")</f>
        <v>N/A</v>
      </c>
    </row>
    <row r="2381" ht="15.75" customHeight="1">
      <c r="A2381" s="2">
        <f>IFERROR(__xludf.DUMMYFUNCTION("""COMPUTED_VALUE"""),45677.0)</f>
        <v>45677</v>
      </c>
      <c r="B2381" s="2" t="str">
        <f>IFERROR(__xludf.DUMMYFUNCTION("""COMPUTED_VALUE"""),"UGA/Athens")</f>
        <v>UGA/Athens</v>
      </c>
      <c r="C2381" s="2"/>
    </row>
    <row r="2382" ht="15.75" customHeight="1">
      <c r="A2382" s="2">
        <f>IFERROR(__xludf.DUMMYFUNCTION("""COMPUTED_VALUE"""),45677.0)</f>
        <v>45677</v>
      </c>
      <c r="B2382" s="2" t="str">
        <f>IFERROR(__xludf.DUMMYFUNCTION("""COMPUTED_VALUE"""),"SANDY SPRINGS ")</f>
        <v>SANDY SPRINGS </v>
      </c>
      <c r="C2382" s="2">
        <f>IFERROR(__xludf.DUMMYFUNCTION("""COMPUTED_VALUE"""),328.0)</f>
        <v>328</v>
      </c>
    </row>
    <row r="2383" ht="15.75" customHeight="1">
      <c r="A2383" s="2">
        <f>IFERROR(__xludf.DUMMYFUNCTION("""COMPUTED_VALUE"""),45677.0)</f>
        <v>45677</v>
      </c>
      <c r="B2383" s="2" t="str">
        <f>IFERROR(__xludf.DUMMYFUNCTION("""COMPUTED_VALUE"""),"INTOWN/DRUID HILLS ")</f>
        <v>INTOWN/DRUID HILLS </v>
      </c>
      <c r="C2383" s="2">
        <f>IFERROR(__xludf.DUMMYFUNCTION("""COMPUTED_VALUE"""),2120.0)</f>
        <v>2120</v>
      </c>
    </row>
    <row r="2384" ht="15.75" customHeight="1">
      <c r="A2384" s="2">
        <f>IFERROR(__xludf.DUMMYFUNCTION("""COMPUTED_VALUE"""),45677.0)</f>
        <v>45677</v>
      </c>
      <c r="B2384" s="2" t="str">
        <f>IFERROR(__xludf.DUMMYFUNCTION("""COMPUTED_VALUE"""),"SNELLVILLE")</f>
        <v>SNELLVILLE</v>
      </c>
      <c r="C2384" s="2">
        <f>IFERROR(__xludf.DUMMYFUNCTION("""COMPUTED_VALUE"""),0.0)</f>
        <v>0</v>
      </c>
    </row>
    <row r="2385" ht="15.75" customHeight="1">
      <c r="A2385" s="2">
        <f>IFERROR(__xludf.DUMMYFUNCTION("""COMPUTED_VALUE"""),45677.0)</f>
        <v>45677</v>
      </c>
      <c r="B2385" s="2" t="str">
        <f>IFERROR(__xludf.DUMMYFUNCTION("""COMPUTED_VALUE"""),"GROUPS")</f>
        <v>GROUPS</v>
      </c>
      <c r="C2385" s="2"/>
    </row>
    <row r="2386" ht="15.75" customHeight="1">
      <c r="A2386" s="2">
        <f>IFERROR(__xludf.DUMMYFUNCTION("""COMPUTED_VALUE"""),45677.0)</f>
        <v>45677</v>
      </c>
      <c r="B2386" s="2" t="str">
        <f>IFERROR(__xludf.DUMMYFUNCTION("""COMPUTED_VALUE"""),"Previous Woodstock")</f>
        <v>Previous Woodstock</v>
      </c>
      <c r="C2386" s="2"/>
    </row>
    <row r="2387" ht="15.75" customHeight="1">
      <c r="A2387" s="2">
        <f>IFERROR(__xludf.DUMMYFUNCTION("""COMPUTED_VALUE"""),45677.0)</f>
        <v>45677</v>
      </c>
      <c r="B2387" s="2" t="str">
        <f>IFERROR(__xludf.DUMMYFUNCTION("""COMPUTED_VALUE"""),"Previous Lenox/Brookhaven")</f>
        <v>Previous Lenox/Brookhaven</v>
      </c>
      <c r="C2387" s="2"/>
    </row>
    <row r="2388" ht="15.75" customHeight="1">
      <c r="A2388" s="2">
        <f>IFERROR(__xludf.DUMMYFUNCTION("""COMPUTED_VALUE"""),45677.0)</f>
        <v>45677</v>
      </c>
      <c r="B2388" s="2" t="str">
        <f>IFERROR(__xludf.DUMMYFUNCTION("""COMPUTED_VALUE"""),"Previous New Chastain")</f>
        <v>Previous New Chastain</v>
      </c>
      <c r="C2388" s="2"/>
    </row>
    <row r="2389" ht="15.75" customHeight="1">
      <c r="A2389" s="2">
        <f>IFERROR(__xludf.DUMMYFUNCTION("""COMPUTED_VALUE"""),45677.0)</f>
        <v>45677</v>
      </c>
      <c r="B2389" s="2" t="str">
        <f>IFERROR(__xludf.DUMMYFUNCTION("""COMPUTED_VALUE"""),"Previous Glenwood Park")</f>
        <v>Previous Glenwood Park</v>
      </c>
      <c r="C2389" s="2"/>
    </row>
    <row r="2390" ht="15.75" customHeight="1">
      <c r="A2390" s="2">
        <f>IFERROR(__xludf.DUMMYFUNCTION("""COMPUTED_VALUE"""),45677.0)</f>
        <v>45677</v>
      </c>
      <c r="B2390" s="2" t="str">
        <f>IFERROR(__xludf.DUMMYFUNCTION("""COMPUTED_VALUE"""),"FLOWERY BRANCH")</f>
        <v>FLOWERY BRANCH</v>
      </c>
      <c r="C2390" s="2" t="str">
        <f>IFERROR(__xludf.DUMMYFUNCTION("""COMPUTED_VALUE"""),"?")</f>
        <v>?</v>
      </c>
    </row>
    <row r="2391" ht="15.75" customHeight="1">
      <c r="A2391" s="2">
        <f>IFERROR(__xludf.DUMMYFUNCTION("""COMPUTED_VALUE"""),45677.0)</f>
        <v>45677</v>
      </c>
      <c r="B2391" s="2" t="str">
        <f>IFERROR(__xludf.DUMMYFUNCTION("""COMPUTED_VALUE"""),"GROUPS ")</f>
        <v>GROUPS </v>
      </c>
      <c r="C2391" s="2"/>
    </row>
    <row r="2392" ht="15.75" customHeight="1">
      <c r="A2392" s="2">
        <f>IFERROR(__xludf.DUMMYFUNCTION("""COMPUTED_VALUE"""),45677.0)</f>
        <v>45677</v>
      </c>
      <c r="B2392" s="2" t="str">
        <f>IFERROR(__xludf.DUMMYFUNCTION("""COMPUTED_VALUE"""),"TOTAL")</f>
        <v>TOTAL</v>
      </c>
      <c r="C2392" s="2"/>
    </row>
    <row r="2393" ht="15.75" customHeight="1">
      <c r="A2393" s="2">
        <f>IFERROR(__xludf.DUMMYFUNCTION("""COMPUTED_VALUE"""),45677.0)</f>
        <v>45677</v>
      </c>
      <c r="B2393" s="2" t="str">
        <f>IFERROR(__xludf.DUMMYFUNCTION("""COMPUTED_VALUE"""),"Collective Learning")</f>
        <v>Collective Learning</v>
      </c>
      <c r="C2393" s="2"/>
    </row>
    <row r="2394" ht="15.75" customHeight="1">
      <c r="A2394" s="2">
        <f>IFERROR(__xludf.DUMMYFUNCTION("""COMPUTED_VALUE"""),45677.0)</f>
        <v>45677</v>
      </c>
      <c r="B2394" s="2" t="str">
        <f>IFERROR(__xludf.DUMMYFUNCTION("""COMPUTED_VALUE"""),"NOTES")</f>
        <v>NOTES</v>
      </c>
      <c r="C2394" s="2" t="str">
        <f>IFERROR(__xludf.DUMMYFUNCTION("""COMPUTED_VALUE"""),"Hosts Only")</f>
        <v>Hosts Only</v>
      </c>
    </row>
    <row r="2395" ht="15.75" customHeight="1">
      <c r="A2395" s="2">
        <f>IFERROR(__xludf.DUMMYFUNCTION("""COMPUTED_VALUE"""),45677.0)</f>
        <v>45677</v>
      </c>
      <c r="B2395" s="2" t="str">
        <f>IFERROR(__xludf.DUMMYFUNCTION("""COMPUTED_VALUE"""),"# of Sandwiches")</f>
        <v># of Sandwiches</v>
      </c>
      <c r="C2395" s="2">
        <f>IFERROR(__xludf.DUMMYFUNCTION("""COMPUTED_VALUE"""),0.0)</f>
        <v>0</v>
      </c>
    </row>
    <row r="2396" ht="15.75" customHeight="1">
      <c r="A2396" s="2">
        <f>IFERROR(__xludf.DUMMYFUNCTION("""COMPUTED_VALUE"""),45677.0)</f>
        <v>45677</v>
      </c>
      <c r="B2396" s="2" t="str">
        <f>IFERROR(__xludf.DUMMYFUNCTION("""COMPUTED_VALUE"""),"ALPHARETTA")</f>
        <v>ALPHARETTA</v>
      </c>
      <c r="C2396" s="2"/>
    </row>
    <row r="2397" ht="15.75" customHeight="1">
      <c r="A2397" s="2">
        <f>IFERROR(__xludf.DUMMYFUNCTION("""COMPUTED_VALUE"""),45677.0)</f>
        <v>45677</v>
      </c>
      <c r="B2397" s="2" t="str">
        <f>IFERROR(__xludf.DUMMYFUNCTION("""COMPUTED_VALUE"""),"PREVIOUS BUCKHEAD")</f>
        <v>PREVIOUS BUCKHEAD</v>
      </c>
      <c r="C2397" s="2"/>
    </row>
    <row r="2398" ht="15.75" customHeight="1">
      <c r="A2398" s="2">
        <f>IFERROR(__xludf.DUMMYFUNCTION("""COMPUTED_VALUE"""),45677.0)</f>
        <v>45677</v>
      </c>
      <c r="B2398" s="2" t="str">
        <f>IFERROR(__xludf.DUMMYFUNCTION("""COMPUTED_VALUE"""),"PREVIOUS OAK GROVE")</f>
        <v>PREVIOUS OAK GROVE</v>
      </c>
      <c r="C2398" s="2"/>
    </row>
    <row r="2399" ht="15.75" customHeight="1">
      <c r="A2399" s="2">
        <f>IFERROR(__xludf.DUMMYFUNCTION("""COMPUTED_VALUE"""),45677.0)</f>
        <v>45677</v>
      </c>
      <c r="B2399" s="2" t="str">
        <f>IFERROR(__xludf.DUMMYFUNCTION("""COMPUTED_VALUE"""),"DUNWOODY/PTC ")</f>
        <v>DUNWOODY/PTC </v>
      </c>
      <c r="C2399" s="2"/>
    </row>
    <row r="2400" ht="15.75" customHeight="1">
      <c r="A2400" s="2">
        <f>IFERROR(__xludf.DUMMYFUNCTION("""COMPUTED_VALUE"""),45677.0)</f>
        <v>45677</v>
      </c>
      <c r="B2400" s="2" t="str">
        <f>IFERROR(__xludf.DUMMYFUNCTION("""COMPUTED_VALUE"""),"E COBB/ROSWELL")</f>
        <v>E COBB/ROSWELL</v>
      </c>
      <c r="C2400" s="2"/>
    </row>
    <row r="2401" ht="15.75" customHeight="1">
      <c r="A2401" s="2">
        <f>IFERROR(__xludf.DUMMYFUNCTION("""COMPUTED_VALUE"""),45677.0)</f>
        <v>45677</v>
      </c>
      <c r="B2401" s="2" t="str">
        <f>IFERROR(__xludf.DUMMYFUNCTION("""COMPUTED_VALUE"""),"DECATUR")</f>
        <v>DECATUR</v>
      </c>
      <c r="C2401" s="2">
        <f>IFERROR(__xludf.DUMMYFUNCTION("""COMPUTED_VALUE"""),0.0)</f>
        <v>0</v>
      </c>
    </row>
    <row r="2402" ht="15.75" customHeight="1">
      <c r="A2402" s="2">
        <f>IFERROR(__xludf.DUMMYFUNCTION("""COMPUTED_VALUE"""),45677.0)</f>
        <v>45677</v>
      </c>
      <c r="B2402" s="2" t="str">
        <f>IFERROR(__xludf.DUMMYFUNCTION("""COMPUTED_VALUE"""),"P'TREE CORNERS ")</f>
        <v>P'TREE CORNERS </v>
      </c>
      <c r="C2402" s="2" t="str">
        <f>IFERROR(__xludf.DUMMYFUNCTION("""COMPUTED_VALUE"""),"N/A")</f>
        <v>N/A</v>
      </c>
    </row>
    <row r="2403" ht="15.75" customHeight="1">
      <c r="A2403" s="2">
        <f>IFERROR(__xludf.DUMMYFUNCTION("""COMPUTED_VALUE"""),45677.0)</f>
        <v>45677</v>
      </c>
      <c r="B2403" s="2" t="str">
        <f>IFERROR(__xludf.DUMMYFUNCTION("""COMPUTED_VALUE"""),"UGA/Athens")</f>
        <v>UGA/Athens</v>
      </c>
      <c r="C2403" s="2"/>
    </row>
    <row r="2404" ht="15.75" customHeight="1">
      <c r="A2404" s="2">
        <f>IFERROR(__xludf.DUMMYFUNCTION("""COMPUTED_VALUE"""),45677.0)</f>
        <v>45677</v>
      </c>
      <c r="B2404" s="2" t="str">
        <f>IFERROR(__xludf.DUMMYFUNCTION("""COMPUTED_VALUE"""),"SANDY SPRINGS ")</f>
        <v>SANDY SPRINGS </v>
      </c>
      <c r="C2404" s="2"/>
    </row>
    <row r="2405" ht="15.75" customHeight="1">
      <c r="A2405" s="2">
        <f>IFERROR(__xludf.DUMMYFUNCTION("""COMPUTED_VALUE"""),45677.0)</f>
        <v>45677</v>
      </c>
      <c r="B2405" s="2" t="str">
        <f>IFERROR(__xludf.DUMMYFUNCTION("""COMPUTED_VALUE"""),"INTOWN/DRUID HILLS ")</f>
        <v>INTOWN/DRUID HILLS </v>
      </c>
      <c r="C2405" s="2"/>
    </row>
    <row r="2406" ht="15.75" customHeight="1">
      <c r="A2406" s="2">
        <f>IFERROR(__xludf.DUMMYFUNCTION("""COMPUTED_VALUE"""),45677.0)</f>
        <v>45677</v>
      </c>
      <c r="B2406" s="2" t="str">
        <f>IFERROR(__xludf.DUMMYFUNCTION("""COMPUTED_VALUE"""),"SNELLVILLE")</f>
        <v>SNELLVILLE</v>
      </c>
      <c r="C2406" s="2"/>
    </row>
    <row r="2407" ht="15.75" customHeight="1">
      <c r="A2407" s="2">
        <f>IFERROR(__xludf.DUMMYFUNCTION("""COMPUTED_VALUE"""),45677.0)</f>
        <v>45677</v>
      </c>
      <c r="B2407" s="2" t="str">
        <f>IFERROR(__xludf.DUMMYFUNCTION("""COMPUTED_VALUE"""),"GROUPS")</f>
        <v>GROUPS</v>
      </c>
      <c r="C2407" s="2"/>
    </row>
    <row r="2408" ht="15.75" customHeight="1">
      <c r="A2408" s="2">
        <f>IFERROR(__xludf.DUMMYFUNCTION("""COMPUTED_VALUE"""),45677.0)</f>
        <v>45677</v>
      </c>
      <c r="B2408" s="2" t="str">
        <f>IFERROR(__xludf.DUMMYFUNCTION("""COMPUTED_VALUE"""),"Previous Woodstock")</f>
        <v>Previous Woodstock</v>
      </c>
      <c r="C2408" s="2"/>
    </row>
    <row r="2409" ht="15.75" customHeight="1">
      <c r="A2409" s="2">
        <f>IFERROR(__xludf.DUMMYFUNCTION("""COMPUTED_VALUE"""),45677.0)</f>
        <v>45677</v>
      </c>
      <c r="B2409" s="2" t="str">
        <f>IFERROR(__xludf.DUMMYFUNCTION("""COMPUTED_VALUE"""),"Previous Lenox/Brookhaven")</f>
        <v>Previous Lenox/Brookhaven</v>
      </c>
      <c r="C2409" s="2"/>
    </row>
    <row r="2410" ht="15.75" customHeight="1">
      <c r="A2410" s="2">
        <f>IFERROR(__xludf.DUMMYFUNCTION("""COMPUTED_VALUE"""),45677.0)</f>
        <v>45677</v>
      </c>
      <c r="B2410" s="2" t="str">
        <f>IFERROR(__xludf.DUMMYFUNCTION("""COMPUTED_VALUE"""),"Previous New Chastain")</f>
        <v>Previous New Chastain</v>
      </c>
      <c r="C2410" s="2"/>
    </row>
    <row r="2411" ht="15.75" customHeight="1">
      <c r="A2411" s="2">
        <f>IFERROR(__xludf.DUMMYFUNCTION("""COMPUTED_VALUE"""),45677.0)</f>
        <v>45677</v>
      </c>
      <c r="B2411" s="2" t="str">
        <f>IFERROR(__xludf.DUMMYFUNCTION("""COMPUTED_VALUE"""),"Previous Glenwood Park")</f>
        <v>Previous Glenwood Park</v>
      </c>
      <c r="C2411" s="2"/>
    </row>
    <row r="2412" ht="15.75" customHeight="1">
      <c r="A2412" s="2">
        <f>IFERROR(__xludf.DUMMYFUNCTION("""COMPUTED_VALUE"""),45677.0)</f>
        <v>45677</v>
      </c>
      <c r="B2412" s="2" t="str">
        <f>IFERROR(__xludf.DUMMYFUNCTION("""COMPUTED_VALUE"""),"FLOWERY BRANCH")</f>
        <v>FLOWERY BRANCH</v>
      </c>
      <c r="C2412" s="2"/>
    </row>
    <row r="2413" ht="15.75" customHeight="1">
      <c r="A2413" s="2">
        <f>IFERROR(__xludf.DUMMYFUNCTION("""COMPUTED_VALUE"""),45677.0)</f>
        <v>45677</v>
      </c>
      <c r="B2413" s="2" t="str">
        <f>IFERROR(__xludf.DUMMYFUNCTION("""COMPUTED_VALUE"""),"GROUPS ")</f>
        <v>GROUPS </v>
      </c>
      <c r="C2413" s="2"/>
    </row>
    <row r="2414" ht="15.75" customHeight="1">
      <c r="A2414" s="2">
        <f>IFERROR(__xludf.DUMMYFUNCTION("""COMPUTED_VALUE"""),45677.0)</f>
        <v>45677</v>
      </c>
      <c r="B2414" s="2" t="str">
        <f>IFERROR(__xludf.DUMMYFUNCTION("""COMPUTED_VALUE"""),"TOTAL")</f>
        <v>TOTAL</v>
      </c>
      <c r="C2414" s="2"/>
    </row>
    <row r="2415" ht="15.75" customHeight="1">
      <c r="A2415" s="2">
        <f>IFERROR(__xludf.DUMMYFUNCTION("""COMPUTED_VALUE"""),45677.0)</f>
        <v>45677</v>
      </c>
      <c r="B2415" s="2" t="str">
        <f>IFERROR(__xludf.DUMMYFUNCTION("""COMPUTED_VALUE"""),"Collective Learning")</f>
        <v>Collective Learning</v>
      </c>
      <c r="C2415" s="2"/>
    </row>
    <row r="2416" ht="15.75" customHeight="1">
      <c r="A2416" s="2">
        <f>IFERROR(__xludf.DUMMYFUNCTION("""COMPUTED_VALUE"""),45677.0)</f>
        <v>45677</v>
      </c>
      <c r="B2416" s="2" t="str">
        <f>IFERROR(__xludf.DUMMYFUNCTION("""COMPUTED_VALUE"""),"NOTES")</f>
        <v>NOTES</v>
      </c>
      <c r="C2416" s="2" t="str">
        <f>IFERROR(__xludf.DUMMYFUNCTION("""COMPUTED_VALUE"""),"Groups")</f>
        <v>Groups</v>
      </c>
    </row>
    <row r="2417" ht="15.75" customHeight="1">
      <c r="A2417" s="2">
        <f>IFERROR(__xludf.DUMMYFUNCTION("""COMPUTED_VALUE"""),45679.0)</f>
        <v>45679</v>
      </c>
      <c r="B2417" s="2" t="str">
        <f>IFERROR(__xludf.DUMMYFUNCTION("""COMPUTED_VALUE"""),"# of Sandwiches")</f>
        <v># of Sandwiches</v>
      </c>
      <c r="C2417" s="2">
        <f>IFERROR(__xludf.DUMMYFUNCTION("""COMPUTED_VALUE"""),4507.0)</f>
        <v>4507</v>
      </c>
    </row>
    <row r="2418" ht="15.75" customHeight="1">
      <c r="A2418" s="2">
        <f>IFERROR(__xludf.DUMMYFUNCTION("""COMPUTED_VALUE"""),45679.0)</f>
        <v>45679</v>
      </c>
      <c r="B2418" s="2" t="str">
        <f>IFERROR(__xludf.DUMMYFUNCTION("""COMPUTED_VALUE"""),"ALPHARETTA")</f>
        <v>ALPHARETTA</v>
      </c>
      <c r="C2418" s="2">
        <f>IFERROR(__xludf.DUMMYFUNCTION("""COMPUTED_VALUE"""),864.0)</f>
        <v>864</v>
      </c>
    </row>
    <row r="2419" ht="15.75" customHeight="1">
      <c r="A2419" s="2">
        <f>IFERROR(__xludf.DUMMYFUNCTION("""COMPUTED_VALUE"""),45679.0)</f>
        <v>45679</v>
      </c>
      <c r="B2419" s="2" t="str">
        <f>IFERROR(__xludf.DUMMYFUNCTION("""COMPUTED_VALUE"""),"PREVIOUS BUCKHEAD")</f>
        <v>PREVIOUS BUCKHEAD</v>
      </c>
      <c r="C2419" s="2"/>
    </row>
    <row r="2420" ht="15.75" customHeight="1">
      <c r="A2420" s="2">
        <f>IFERROR(__xludf.DUMMYFUNCTION("""COMPUTED_VALUE"""),45679.0)</f>
        <v>45679</v>
      </c>
      <c r="B2420" s="2" t="str">
        <f>IFERROR(__xludf.DUMMYFUNCTION("""COMPUTED_VALUE"""),"PREVIOUS OAK GROVE")</f>
        <v>PREVIOUS OAK GROVE</v>
      </c>
      <c r="C2420" s="2"/>
    </row>
    <row r="2421" ht="15.75" customHeight="1">
      <c r="A2421" s="2">
        <f>IFERROR(__xludf.DUMMYFUNCTION("""COMPUTED_VALUE"""),45679.0)</f>
        <v>45679</v>
      </c>
      <c r="B2421" s="2" t="str">
        <f>IFERROR(__xludf.DUMMYFUNCTION("""COMPUTED_VALUE"""),"DUNWOODY/PTC ")</f>
        <v>DUNWOODY/PTC </v>
      </c>
      <c r="C2421" s="2">
        <f>IFERROR(__xludf.DUMMYFUNCTION("""COMPUTED_VALUE"""),986.0)</f>
        <v>986</v>
      </c>
    </row>
    <row r="2422" ht="15.75" customHeight="1">
      <c r="A2422" s="2">
        <f>IFERROR(__xludf.DUMMYFUNCTION("""COMPUTED_VALUE"""),45679.0)</f>
        <v>45679</v>
      </c>
      <c r="B2422" s="2" t="str">
        <f>IFERROR(__xludf.DUMMYFUNCTION("""COMPUTED_VALUE"""),"E COBB/ROSWELL")</f>
        <v>E COBB/ROSWELL</v>
      </c>
      <c r="C2422" s="2">
        <f>IFERROR(__xludf.DUMMYFUNCTION("""COMPUTED_VALUE"""),1192.0)</f>
        <v>1192</v>
      </c>
    </row>
    <row r="2423" ht="15.75" customHeight="1">
      <c r="A2423" s="2">
        <f>IFERROR(__xludf.DUMMYFUNCTION("""COMPUTED_VALUE"""),45679.0)</f>
        <v>45679</v>
      </c>
      <c r="B2423" s="2" t="str">
        <f>IFERROR(__xludf.DUMMYFUNCTION("""COMPUTED_VALUE"""),"DECATUR")</f>
        <v>DECATUR</v>
      </c>
      <c r="C2423" s="2"/>
    </row>
    <row r="2424" ht="15.75" customHeight="1">
      <c r="A2424" s="2">
        <f>IFERROR(__xludf.DUMMYFUNCTION("""COMPUTED_VALUE"""),45679.0)</f>
        <v>45679</v>
      </c>
      <c r="B2424" s="2" t="str">
        <f>IFERROR(__xludf.DUMMYFUNCTION("""COMPUTED_VALUE"""),"P'TREE CORNERS ")</f>
        <v>P'TREE CORNERS </v>
      </c>
      <c r="C2424" s="2" t="str">
        <f>IFERROR(__xludf.DUMMYFUNCTION("""COMPUTED_VALUE"""),"N/A")</f>
        <v>N/A</v>
      </c>
    </row>
    <row r="2425" ht="15.75" customHeight="1">
      <c r="A2425" s="2">
        <f>IFERROR(__xludf.DUMMYFUNCTION("""COMPUTED_VALUE"""),45679.0)</f>
        <v>45679</v>
      </c>
      <c r="B2425" s="2" t="str">
        <f>IFERROR(__xludf.DUMMYFUNCTION("""COMPUTED_VALUE"""),"UGA/Athens")</f>
        <v>UGA/Athens</v>
      </c>
      <c r="C2425" s="2"/>
    </row>
    <row r="2426" ht="15.75" customHeight="1">
      <c r="A2426" s="2">
        <f>IFERROR(__xludf.DUMMYFUNCTION("""COMPUTED_VALUE"""),45679.0)</f>
        <v>45679</v>
      </c>
      <c r="B2426" s="2" t="str">
        <f>IFERROR(__xludf.DUMMYFUNCTION("""COMPUTED_VALUE"""),"SANDY SPRINGS ")</f>
        <v>SANDY SPRINGS </v>
      </c>
      <c r="C2426" s="2">
        <f>IFERROR(__xludf.DUMMYFUNCTION("""COMPUTED_VALUE"""),545.0)</f>
        <v>545</v>
      </c>
    </row>
    <row r="2427" ht="15.75" customHeight="1">
      <c r="A2427" s="2">
        <f>IFERROR(__xludf.DUMMYFUNCTION("""COMPUTED_VALUE"""),45679.0)</f>
        <v>45679</v>
      </c>
      <c r="B2427" s="2" t="str">
        <f>IFERROR(__xludf.DUMMYFUNCTION("""COMPUTED_VALUE"""),"INTOWN/DRUID HILLS ")</f>
        <v>INTOWN/DRUID HILLS </v>
      </c>
      <c r="C2427" s="2">
        <f>IFERROR(__xludf.DUMMYFUNCTION("""COMPUTED_VALUE"""),662.0)</f>
        <v>662</v>
      </c>
    </row>
    <row r="2428" ht="15.75" customHeight="1">
      <c r="A2428" s="2">
        <f>IFERROR(__xludf.DUMMYFUNCTION("""COMPUTED_VALUE"""),45679.0)</f>
        <v>45679</v>
      </c>
      <c r="B2428" s="2" t="str">
        <f>IFERROR(__xludf.DUMMYFUNCTION("""COMPUTED_VALUE"""),"SNELLVILLE")</f>
        <v>SNELLVILLE</v>
      </c>
      <c r="C2428" s="2"/>
    </row>
    <row r="2429" ht="15.75" customHeight="1">
      <c r="A2429" s="2">
        <f>IFERROR(__xludf.DUMMYFUNCTION("""COMPUTED_VALUE"""),45679.0)</f>
        <v>45679</v>
      </c>
      <c r="B2429" s="2" t="str">
        <f>IFERROR(__xludf.DUMMYFUNCTION("""COMPUTED_VALUE"""),"GROUPS")</f>
        <v>GROUPS</v>
      </c>
      <c r="C2429" s="2"/>
    </row>
    <row r="2430" ht="15.75" customHeight="1">
      <c r="A2430" s="2">
        <f>IFERROR(__xludf.DUMMYFUNCTION("""COMPUTED_VALUE"""),45679.0)</f>
        <v>45679</v>
      </c>
      <c r="B2430" s="2" t="str">
        <f>IFERROR(__xludf.DUMMYFUNCTION("""COMPUTED_VALUE"""),"Previous Woodstock")</f>
        <v>Previous Woodstock</v>
      </c>
      <c r="C2430" s="2"/>
    </row>
    <row r="2431" ht="15.75" customHeight="1">
      <c r="A2431" s="2">
        <f>IFERROR(__xludf.DUMMYFUNCTION("""COMPUTED_VALUE"""),45679.0)</f>
        <v>45679</v>
      </c>
      <c r="B2431" s="2" t="str">
        <f>IFERROR(__xludf.DUMMYFUNCTION("""COMPUTED_VALUE"""),"Previous Lenox/Brookhaven")</f>
        <v>Previous Lenox/Brookhaven</v>
      </c>
      <c r="C2431" s="2"/>
    </row>
    <row r="2432" ht="15.75" customHeight="1">
      <c r="A2432" s="2">
        <f>IFERROR(__xludf.DUMMYFUNCTION("""COMPUTED_VALUE"""),45679.0)</f>
        <v>45679</v>
      </c>
      <c r="B2432" s="2" t="str">
        <f>IFERROR(__xludf.DUMMYFUNCTION("""COMPUTED_VALUE"""),"Previous New Chastain")</f>
        <v>Previous New Chastain</v>
      </c>
      <c r="C2432" s="2"/>
    </row>
    <row r="2433" ht="15.75" customHeight="1">
      <c r="A2433" s="2">
        <f>IFERROR(__xludf.DUMMYFUNCTION("""COMPUTED_VALUE"""),45679.0)</f>
        <v>45679</v>
      </c>
      <c r="B2433" s="2" t="str">
        <f>IFERROR(__xludf.DUMMYFUNCTION("""COMPUTED_VALUE"""),"Previous Glenwood Park")</f>
        <v>Previous Glenwood Park</v>
      </c>
      <c r="C2433" s="2"/>
    </row>
    <row r="2434" ht="15.75" customHeight="1">
      <c r="A2434" s="2">
        <f>IFERROR(__xludf.DUMMYFUNCTION("""COMPUTED_VALUE"""),45679.0)</f>
        <v>45679</v>
      </c>
      <c r="B2434" s="2" t="str">
        <f>IFERROR(__xludf.DUMMYFUNCTION("""COMPUTED_VALUE"""),"FLOWERY BRANCH")</f>
        <v>FLOWERY BRANCH</v>
      </c>
      <c r="C2434" s="2">
        <f>IFERROR(__xludf.DUMMYFUNCTION("""COMPUTED_VALUE"""),258.0)</f>
        <v>258</v>
      </c>
    </row>
    <row r="2435" ht="15.75" customHeight="1">
      <c r="A2435" s="2">
        <f>IFERROR(__xludf.DUMMYFUNCTION("""COMPUTED_VALUE"""),45679.0)</f>
        <v>45679</v>
      </c>
      <c r="B2435" s="2" t="str">
        <f>IFERROR(__xludf.DUMMYFUNCTION("""COMPUTED_VALUE"""),"GROUPS ")</f>
        <v>GROUPS </v>
      </c>
      <c r="C2435" s="2"/>
    </row>
    <row r="2436" ht="15.75" customHeight="1">
      <c r="A2436" s="2">
        <f>IFERROR(__xludf.DUMMYFUNCTION("""COMPUTED_VALUE"""),45679.0)</f>
        <v>45679</v>
      </c>
      <c r="B2436" s="2" t="str">
        <f>IFERROR(__xludf.DUMMYFUNCTION("""COMPUTED_VALUE"""),"TOTAL")</f>
        <v>TOTAL</v>
      </c>
      <c r="C2436" s="2"/>
    </row>
    <row r="2437" ht="15.75" customHeight="1">
      <c r="A2437" s="2">
        <f>IFERROR(__xludf.DUMMYFUNCTION("""COMPUTED_VALUE"""),45679.0)</f>
        <v>45679</v>
      </c>
      <c r="B2437" s="2" t="str">
        <f>IFERROR(__xludf.DUMMYFUNCTION("""COMPUTED_VALUE"""),"Collective Learning")</f>
        <v>Collective Learning</v>
      </c>
      <c r="C2437" s="2"/>
    </row>
    <row r="2438" ht="15.75" customHeight="1">
      <c r="A2438" s="2">
        <f>IFERROR(__xludf.DUMMYFUNCTION("""COMPUTED_VALUE"""),45679.0)</f>
        <v>45679</v>
      </c>
      <c r="B2438" s="2" t="str">
        <f>IFERROR(__xludf.DUMMYFUNCTION("""COMPUTED_VALUE"""),"NOTES")</f>
        <v>NOTES</v>
      </c>
      <c r="C2438" s="2"/>
    </row>
    <row r="2439" ht="15.75" customHeight="1">
      <c r="A2439" s="2">
        <f>IFERROR(__xludf.DUMMYFUNCTION("""COMPUTED_VALUE"""),45686.0)</f>
        <v>45686</v>
      </c>
      <c r="B2439" s="2" t="str">
        <f>IFERROR(__xludf.DUMMYFUNCTION("""COMPUTED_VALUE"""),"# of Sandwiches")</f>
        <v># of Sandwiches</v>
      </c>
      <c r="C2439" s="2">
        <f>IFERROR(__xludf.DUMMYFUNCTION("""COMPUTED_VALUE"""),12130.0)</f>
        <v>12130</v>
      </c>
    </row>
    <row r="2440" ht="15.75" customHeight="1">
      <c r="A2440" s="2">
        <f>IFERROR(__xludf.DUMMYFUNCTION("""COMPUTED_VALUE"""),45686.0)</f>
        <v>45686</v>
      </c>
      <c r="B2440" s="2" t="str">
        <f>IFERROR(__xludf.DUMMYFUNCTION("""COMPUTED_VALUE"""),"ALPHARETTA")</f>
        <v>ALPHARETTA</v>
      </c>
      <c r="C2440" s="2" t="str">
        <f>IFERROR(__xludf.DUMMYFUNCTION("""COMPUTED_VALUE"""),"936?")</f>
        <v>936?</v>
      </c>
    </row>
    <row r="2441" ht="15.75" customHeight="1">
      <c r="A2441" s="2">
        <f>IFERROR(__xludf.DUMMYFUNCTION("""COMPUTED_VALUE"""),45686.0)</f>
        <v>45686</v>
      </c>
      <c r="B2441" s="2" t="str">
        <f>IFERROR(__xludf.DUMMYFUNCTION("""COMPUTED_VALUE"""),"PREVIOUS BUCKHEAD")</f>
        <v>PREVIOUS BUCKHEAD</v>
      </c>
      <c r="C2441" s="2"/>
    </row>
    <row r="2442" ht="15.75" customHeight="1">
      <c r="A2442" s="2">
        <f>IFERROR(__xludf.DUMMYFUNCTION("""COMPUTED_VALUE"""),45686.0)</f>
        <v>45686</v>
      </c>
      <c r="B2442" s="2" t="str">
        <f>IFERROR(__xludf.DUMMYFUNCTION("""COMPUTED_VALUE"""),"PREVIOUS OAK GROVE")</f>
        <v>PREVIOUS OAK GROVE</v>
      </c>
      <c r="C2442" s="2"/>
    </row>
    <row r="2443" ht="15.75" customHeight="1">
      <c r="A2443" s="2">
        <f>IFERROR(__xludf.DUMMYFUNCTION("""COMPUTED_VALUE"""),45686.0)</f>
        <v>45686</v>
      </c>
      <c r="B2443" s="2" t="str">
        <f>IFERROR(__xludf.DUMMYFUNCTION("""COMPUTED_VALUE"""),"DUNWOODY/PTC ")</f>
        <v>DUNWOODY/PTC </v>
      </c>
      <c r="C2443" s="2" t="str">
        <f>IFERROR(__xludf.DUMMYFUNCTION("""COMPUTED_VALUE"""),"TBD")</f>
        <v>TBD</v>
      </c>
    </row>
    <row r="2444" ht="15.75" customHeight="1">
      <c r="A2444" s="2">
        <f>IFERROR(__xludf.DUMMYFUNCTION("""COMPUTED_VALUE"""),45686.0)</f>
        <v>45686</v>
      </c>
      <c r="B2444" s="2" t="str">
        <f>IFERROR(__xludf.DUMMYFUNCTION("""COMPUTED_VALUE"""),"E COBB/ROSWELL")</f>
        <v>E COBB/ROSWELL</v>
      </c>
      <c r="C2444" s="2">
        <f>IFERROR(__xludf.DUMMYFUNCTION("""COMPUTED_VALUE"""),1890.0)</f>
        <v>1890</v>
      </c>
    </row>
    <row r="2445" ht="15.75" customHeight="1">
      <c r="A2445" s="2">
        <f>IFERROR(__xludf.DUMMYFUNCTION("""COMPUTED_VALUE"""),45686.0)</f>
        <v>45686</v>
      </c>
      <c r="B2445" s="2" t="str">
        <f>IFERROR(__xludf.DUMMYFUNCTION("""COMPUTED_VALUE"""),"DECATUR")</f>
        <v>DECATUR</v>
      </c>
      <c r="C2445" s="2"/>
    </row>
    <row r="2446" ht="15.75" customHeight="1">
      <c r="A2446" s="2">
        <f>IFERROR(__xludf.DUMMYFUNCTION("""COMPUTED_VALUE"""),45686.0)</f>
        <v>45686</v>
      </c>
      <c r="B2446" s="2" t="str">
        <f>IFERROR(__xludf.DUMMYFUNCTION("""COMPUTED_VALUE"""),"P'TREE CORNERS ")</f>
        <v>P'TREE CORNERS </v>
      </c>
      <c r="C2446" s="2"/>
    </row>
    <row r="2447" ht="15.75" customHeight="1">
      <c r="A2447" s="2">
        <f>IFERROR(__xludf.DUMMYFUNCTION("""COMPUTED_VALUE"""),45686.0)</f>
        <v>45686</v>
      </c>
      <c r="B2447" s="2" t="str">
        <f>IFERROR(__xludf.DUMMYFUNCTION("""COMPUTED_VALUE"""),"UGA/Athens")</f>
        <v>UGA/Athens</v>
      </c>
      <c r="C2447" s="2"/>
    </row>
    <row r="2448" ht="15.75" customHeight="1">
      <c r="A2448" s="2">
        <f>IFERROR(__xludf.DUMMYFUNCTION("""COMPUTED_VALUE"""),45686.0)</f>
        <v>45686</v>
      </c>
      <c r="B2448" s="2" t="str">
        <f>IFERROR(__xludf.DUMMYFUNCTION("""COMPUTED_VALUE"""),"SANDY SPRINGS ")</f>
        <v>SANDY SPRINGS </v>
      </c>
      <c r="C2448" s="2">
        <f>IFERROR(__xludf.DUMMYFUNCTION("""COMPUTED_VALUE"""),706.0)</f>
        <v>706</v>
      </c>
    </row>
    <row r="2449" ht="15.75" customHeight="1">
      <c r="A2449" s="2">
        <f>IFERROR(__xludf.DUMMYFUNCTION("""COMPUTED_VALUE"""),45686.0)</f>
        <v>45686</v>
      </c>
      <c r="B2449" s="2" t="str">
        <f>IFERROR(__xludf.DUMMYFUNCTION("""COMPUTED_VALUE"""),"INTOWN/DRUID HILLS ")</f>
        <v>INTOWN/DRUID HILLS </v>
      </c>
      <c r="C2449" s="2">
        <f>IFERROR(__xludf.DUMMYFUNCTION("""COMPUTED_VALUE"""),1992.0)</f>
        <v>1992</v>
      </c>
    </row>
    <row r="2450" ht="15.75" customHeight="1">
      <c r="A2450" s="2">
        <f>IFERROR(__xludf.DUMMYFUNCTION("""COMPUTED_VALUE"""),45686.0)</f>
        <v>45686</v>
      </c>
      <c r="B2450" s="2" t="str">
        <f>IFERROR(__xludf.DUMMYFUNCTION("""COMPUTED_VALUE"""),"SNELLVILLE")</f>
        <v>SNELLVILLE</v>
      </c>
      <c r="C2450" s="2"/>
    </row>
    <row r="2451" ht="15.75" customHeight="1">
      <c r="A2451" s="2">
        <f>IFERROR(__xludf.DUMMYFUNCTION("""COMPUTED_VALUE"""),45686.0)</f>
        <v>45686</v>
      </c>
      <c r="B2451" s="2" t="str">
        <f>IFERROR(__xludf.DUMMYFUNCTION("""COMPUTED_VALUE"""),"GROUPS")</f>
        <v>GROUPS</v>
      </c>
      <c r="C2451" s="2"/>
    </row>
    <row r="2452" ht="15.75" customHeight="1">
      <c r="A2452" s="2">
        <f>IFERROR(__xludf.DUMMYFUNCTION("""COMPUTED_VALUE"""),45686.0)</f>
        <v>45686</v>
      </c>
      <c r="B2452" s="2" t="str">
        <f>IFERROR(__xludf.DUMMYFUNCTION("""COMPUTED_VALUE"""),"Previous Woodstock")</f>
        <v>Previous Woodstock</v>
      </c>
      <c r="C2452" s="2"/>
    </row>
    <row r="2453" ht="15.75" customHeight="1">
      <c r="A2453" s="2">
        <f>IFERROR(__xludf.DUMMYFUNCTION("""COMPUTED_VALUE"""),45686.0)</f>
        <v>45686</v>
      </c>
      <c r="B2453" s="2" t="str">
        <f>IFERROR(__xludf.DUMMYFUNCTION("""COMPUTED_VALUE"""),"Previous Lenox/Brookhaven")</f>
        <v>Previous Lenox/Brookhaven</v>
      </c>
      <c r="C2453" s="2"/>
    </row>
    <row r="2454" ht="15.75" customHeight="1">
      <c r="A2454" s="2">
        <f>IFERROR(__xludf.DUMMYFUNCTION("""COMPUTED_VALUE"""),45686.0)</f>
        <v>45686</v>
      </c>
      <c r="B2454" s="2" t="str">
        <f>IFERROR(__xludf.DUMMYFUNCTION("""COMPUTED_VALUE"""),"Previous New Chastain")</f>
        <v>Previous New Chastain</v>
      </c>
      <c r="C2454" s="2"/>
    </row>
    <row r="2455" ht="15.75" customHeight="1">
      <c r="A2455" s="2">
        <f>IFERROR(__xludf.DUMMYFUNCTION("""COMPUTED_VALUE"""),45686.0)</f>
        <v>45686</v>
      </c>
      <c r="B2455" s="2" t="str">
        <f>IFERROR(__xludf.DUMMYFUNCTION("""COMPUTED_VALUE"""),"Previous Glenwood Park")</f>
        <v>Previous Glenwood Park</v>
      </c>
      <c r="C2455" s="2"/>
    </row>
    <row r="2456" ht="15.75" customHeight="1">
      <c r="A2456" s="2">
        <f>IFERROR(__xludf.DUMMYFUNCTION("""COMPUTED_VALUE"""),45686.0)</f>
        <v>45686</v>
      </c>
      <c r="B2456" s="2" t="str">
        <f>IFERROR(__xludf.DUMMYFUNCTION("""COMPUTED_VALUE"""),"FLOWERY BRANCH")</f>
        <v>FLOWERY BRANCH</v>
      </c>
      <c r="C2456" s="2">
        <f>IFERROR(__xludf.DUMMYFUNCTION("""COMPUTED_VALUE"""),402.0)</f>
        <v>402</v>
      </c>
    </row>
    <row r="2457" ht="15.75" customHeight="1">
      <c r="A2457" s="2">
        <f>IFERROR(__xludf.DUMMYFUNCTION("""COMPUTED_VALUE"""),45686.0)</f>
        <v>45686</v>
      </c>
      <c r="B2457" s="2" t="str">
        <f>IFERROR(__xludf.DUMMYFUNCTION("""COMPUTED_VALUE"""),"GROUPS ")</f>
        <v>GROUPS </v>
      </c>
      <c r="C2457" s="2">
        <f>IFERROR(__xludf.DUMMYFUNCTION("""COMPUTED_VALUE"""),7140.0)</f>
        <v>7140</v>
      </c>
    </row>
    <row r="2458" ht="15.75" customHeight="1">
      <c r="A2458" s="2">
        <f>IFERROR(__xludf.DUMMYFUNCTION("""COMPUTED_VALUE"""),45686.0)</f>
        <v>45686</v>
      </c>
      <c r="B2458" s="2" t="str">
        <f>IFERROR(__xludf.DUMMYFUNCTION("""COMPUTED_VALUE"""),"TOTAL")</f>
        <v>TOTAL</v>
      </c>
      <c r="C2458" s="2"/>
    </row>
    <row r="2459" ht="15.75" customHeight="1">
      <c r="A2459" s="2">
        <f>IFERROR(__xludf.DUMMYFUNCTION("""COMPUTED_VALUE"""),45686.0)</f>
        <v>45686</v>
      </c>
      <c r="B2459" s="2" t="str">
        <f>IFERROR(__xludf.DUMMYFUNCTION("""COMPUTED_VALUE"""),"Collective Learning")</f>
        <v>Collective Learning</v>
      </c>
      <c r="C2459" s="2"/>
    </row>
    <row r="2460" ht="15.75" customHeight="1">
      <c r="A2460" s="2">
        <f>IFERROR(__xludf.DUMMYFUNCTION("""COMPUTED_VALUE"""),45686.0)</f>
        <v>45686</v>
      </c>
      <c r="B2460" s="2" t="str">
        <f>IFERROR(__xludf.DUMMYFUNCTION("""COMPUTED_VALUE"""),"NOTES")</f>
        <v>NOTES</v>
      </c>
      <c r="C2460" s="2"/>
    </row>
    <row r="2461" ht="15.75" customHeight="1">
      <c r="A2461" s="2">
        <f>IFERROR(__xludf.DUMMYFUNCTION("""COMPUTED_VALUE"""),45693.0)</f>
        <v>45693</v>
      </c>
      <c r="B2461" s="2" t="str">
        <f>IFERROR(__xludf.DUMMYFUNCTION("""COMPUTED_VALUE"""),"# of Sandwiches")</f>
        <v># of Sandwiches</v>
      </c>
      <c r="C2461" s="2">
        <f>IFERROR(__xludf.DUMMYFUNCTION("""COMPUTED_VALUE"""),8693.0)</f>
        <v>8693</v>
      </c>
    </row>
    <row r="2462" ht="15.75" customHeight="1">
      <c r="A2462" s="2">
        <f>IFERROR(__xludf.DUMMYFUNCTION("""COMPUTED_VALUE"""),45693.0)</f>
        <v>45693</v>
      </c>
      <c r="B2462" s="2" t="str">
        <f>IFERROR(__xludf.DUMMYFUNCTION("""COMPUTED_VALUE"""),"ALPHARETTA")</f>
        <v>ALPHARETTA</v>
      </c>
      <c r="C2462" s="2">
        <f>IFERROR(__xludf.DUMMYFUNCTION("""COMPUTED_VALUE"""),1252.0)</f>
        <v>1252</v>
      </c>
    </row>
    <row r="2463" ht="15.75" customHeight="1">
      <c r="A2463" s="2">
        <f>IFERROR(__xludf.DUMMYFUNCTION("""COMPUTED_VALUE"""),45693.0)</f>
        <v>45693</v>
      </c>
      <c r="B2463" s="2" t="str">
        <f>IFERROR(__xludf.DUMMYFUNCTION("""COMPUTED_VALUE"""),"PREVIOUS BUCKHEAD")</f>
        <v>PREVIOUS BUCKHEAD</v>
      </c>
      <c r="C2463" s="2"/>
    </row>
    <row r="2464" ht="15.75" customHeight="1">
      <c r="A2464" s="2">
        <f>IFERROR(__xludf.DUMMYFUNCTION("""COMPUTED_VALUE"""),45693.0)</f>
        <v>45693</v>
      </c>
      <c r="B2464" s="2" t="str">
        <f>IFERROR(__xludf.DUMMYFUNCTION("""COMPUTED_VALUE"""),"PREVIOUS OAK GROVE")</f>
        <v>PREVIOUS OAK GROVE</v>
      </c>
      <c r="C2464" s="2"/>
    </row>
    <row r="2465" ht="15.75" customHeight="1">
      <c r="A2465" s="2">
        <f>IFERROR(__xludf.DUMMYFUNCTION("""COMPUTED_VALUE"""),45693.0)</f>
        <v>45693</v>
      </c>
      <c r="B2465" s="2" t="str">
        <f>IFERROR(__xludf.DUMMYFUNCTION("""COMPUTED_VALUE"""),"DUNWOODY/PTC ")</f>
        <v>DUNWOODY/PTC </v>
      </c>
      <c r="C2465" s="2">
        <f>IFERROR(__xludf.DUMMYFUNCTION("""COMPUTED_VALUE"""),2173.0)</f>
        <v>2173</v>
      </c>
    </row>
    <row r="2466" ht="15.75" customHeight="1">
      <c r="A2466" s="2">
        <f>IFERROR(__xludf.DUMMYFUNCTION("""COMPUTED_VALUE"""),45693.0)</f>
        <v>45693</v>
      </c>
      <c r="B2466" s="2" t="str">
        <f>IFERROR(__xludf.DUMMYFUNCTION("""COMPUTED_VALUE"""),"E COBB/ROSWELL")</f>
        <v>E COBB/ROSWELL</v>
      </c>
      <c r="C2466" s="2">
        <f>IFERROR(__xludf.DUMMYFUNCTION("""COMPUTED_VALUE"""),1265.0)</f>
        <v>1265</v>
      </c>
    </row>
    <row r="2467" ht="15.75" customHeight="1">
      <c r="A2467" s="2">
        <f>IFERROR(__xludf.DUMMYFUNCTION("""COMPUTED_VALUE"""),45693.0)</f>
        <v>45693</v>
      </c>
      <c r="B2467" s="2" t="str">
        <f>IFERROR(__xludf.DUMMYFUNCTION("""COMPUTED_VALUE"""),"DECATUR")</f>
        <v>DECATUR</v>
      </c>
      <c r="C2467" s="2"/>
    </row>
    <row r="2468" ht="15.75" customHeight="1">
      <c r="A2468" s="2">
        <f>IFERROR(__xludf.DUMMYFUNCTION("""COMPUTED_VALUE"""),45693.0)</f>
        <v>45693</v>
      </c>
      <c r="B2468" s="2" t="str">
        <f>IFERROR(__xludf.DUMMYFUNCTION("""COMPUTED_VALUE"""),"P'TREE CORNERS ")</f>
        <v>P'TREE CORNERS </v>
      </c>
      <c r="C2468" s="2"/>
    </row>
    <row r="2469" ht="15.75" customHeight="1">
      <c r="A2469" s="2">
        <f>IFERROR(__xludf.DUMMYFUNCTION("""COMPUTED_VALUE"""),45693.0)</f>
        <v>45693</v>
      </c>
      <c r="B2469" s="2" t="str">
        <f>IFERROR(__xludf.DUMMYFUNCTION("""COMPUTED_VALUE"""),"UGA/Athens")</f>
        <v>UGA/Athens</v>
      </c>
      <c r="C2469" s="2"/>
    </row>
    <row r="2470" ht="15.75" customHeight="1">
      <c r="A2470" s="2">
        <f>IFERROR(__xludf.DUMMYFUNCTION("""COMPUTED_VALUE"""),45693.0)</f>
        <v>45693</v>
      </c>
      <c r="B2470" s="2" t="str">
        <f>IFERROR(__xludf.DUMMYFUNCTION("""COMPUTED_VALUE"""),"SANDY SPRINGS ")</f>
        <v>SANDY SPRINGS </v>
      </c>
      <c r="C2470" s="2">
        <f>IFERROR(__xludf.DUMMYFUNCTION("""COMPUTED_VALUE"""),549.0)</f>
        <v>549</v>
      </c>
    </row>
    <row r="2471" ht="15.75" customHeight="1">
      <c r="A2471" s="2">
        <f>IFERROR(__xludf.DUMMYFUNCTION("""COMPUTED_VALUE"""),45693.0)</f>
        <v>45693</v>
      </c>
      <c r="B2471" s="2" t="str">
        <f>IFERROR(__xludf.DUMMYFUNCTION("""COMPUTED_VALUE"""),"INTOWN/DRUID HILLS ")</f>
        <v>INTOWN/DRUID HILLS </v>
      </c>
      <c r="C2471" s="2">
        <f>IFERROR(__xludf.DUMMYFUNCTION("""COMPUTED_VALUE"""),854.0)</f>
        <v>854</v>
      </c>
    </row>
    <row r="2472" ht="15.75" customHeight="1">
      <c r="A2472" s="2">
        <f>IFERROR(__xludf.DUMMYFUNCTION("""COMPUTED_VALUE"""),45693.0)</f>
        <v>45693</v>
      </c>
      <c r="B2472" s="2" t="str">
        <f>IFERROR(__xludf.DUMMYFUNCTION("""COMPUTED_VALUE"""),"SNELLVILLE")</f>
        <v>SNELLVILLE</v>
      </c>
      <c r="C2472" s="2"/>
    </row>
    <row r="2473" ht="15.75" customHeight="1">
      <c r="A2473" s="2">
        <f>IFERROR(__xludf.DUMMYFUNCTION("""COMPUTED_VALUE"""),45693.0)</f>
        <v>45693</v>
      </c>
      <c r="B2473" s="2" t="str">
        <f>IFERROR(__xludf.DUMMYFUNCTION("""COMPUTED_VALUE"""),"GROUPS")</f>
        <v>GROUPS</v>
      </c>
      <c r="C2473" s="2"/>
    </row>
    <row r="2474" ht="15.75" customHeight="1">
      <c r="A2474" s="2">
        <f>IFERROR(__xludf.DUMMYFUNCTION("""COMPUTED_VALUE"""),45693.0)</f>
        <v>45693</v>
      </c>
      <c r="B2474" s="2" t="str">
        <f>IFERROR(__xludf.DUMMYFUNCTION("""COMPUTED_VALUE"""),"Previous Woodstock")</f>
        <v>Previous Woodstock</v>
      </c>
      <c r="C2474" s="2"/>
    </row>
    <row r="2475" ht="15.75" customHeight="1">
      <c r="A2475" s="2">
        <f>IFERROR(__xludf.DUMMYFUNCTION("""COMPUTED_VALUE"""),45693.0)</f>
        <v>45693</v>
      </c>
      <c r="B2475" s="2" t="str">
        <f>IFERROR(__xludf.DUMMYFUNCTION("""COMPUTED_VALUE"""),"Previous Lenox/Brookhaven")</f>
        <v>Previous Lenox/Brookhaven</v>
      </c>
      <c r="C2475" s="2"/>
    </row>
    <row r="2476" ht="15.75" customHeight="1">
      <c r="A2476" s="2">
        <f>IFERROR(__xludf.DUMMYFUNCTION("""COMPUTED_VALUE"""),45693.0)</f>
        <v>45693</v>
      </c>
      <c r="B2476" s="2" t="str">
        <f>IFERROR(__xludf.DUMMYFUNCTION("""COMPUTED_VALUE"""),"Previous New Chastain")</f>
        <v>Previous New Chastain</v>
      </c>
      <c r="C2476" s="2"/>
    </row>
    <row r="2477" ht="15.75" customHeight="1">
      <c r="A2477" s="2">
        <f>IFERROR(__xludf.DUMMYFUNCTION("""COMPUTED_VALUE"""),45693.0)</f>
        <v>45693</v>
      </c>
      <c r="B2477" s="2" t="str">
        <f>IFERROR(__xludf.DUMMYFUNCTION("""COMPUTED_VALUE"""),"Previous Glenwood Park")</f>
        <v>Previous Glenwood Park</v>
      </c>
      <c r="C2477" s="2"/>
    </row>
    <row r="2478" ht="15.75" customHeight="1">
      <c r="A2478" s="2">
        <f>IFERROR(__xludf.DUMMYFUNCTION("""COMPUTED_VALUE"""),45693.0)</f>
        <v>45693</v>
      </c>
      <c r="B2478" s="2" t="str">
        <f>IFERROR(__xludf.DUMMYFUNCTION("""COMPUTED_VALUE"""),"FLOWERY BRANCH")</f>
        <v>FLOWERY BRANCH</v>
      </c>
      <c r="C2478" s="2">
        <f>IFERROR(__xludf.DUMMYFUNCTION("""COMPUTED_VALUE"""),0.0)</f>
        <v>0</v>
      </c>
    </row>
    <row r="2479" ht="15.75" customHeight="1">
      <c r="A2479" s="2">
        <f>IFERROR(__xludf.DUMMYFUNCTION("""COMPUTED_VALUE"""),45693.0)</f>
        <v>45693</v>
      </c>
      <c r="B2479" s="2" t="str">
        <f>IFERROR(__xludf.DUMMYFUNCTION("""COMPUTED_VALUE"""),"GROUPS ")</f>
        <v>GROUPS </v>
      </c>
      <c r="C2479" s="2">
        <f>IFERROR(__xludf.DUMMYFUNCTION("""COMPUTED_VALUE"""),2600.0)</f>
        <v>2600</v>
      </c>
    </row>
    <row r="2480" ht="15.75" customHeight="1">
      <c r="A2480" s="2">
        <f>IFERROR(__xludf.DUMMYFUNCTION("""COMPUTED_VALUE"""),45693.0)</f>
        <v>45693</v>
      </c>
      <c r="B2480" s="2" t="str">
        <f>IFERROR(__xludf.DUMMYFUNCTION("""COMPUTED_VALUE"""),"TOTAL")</f>
        <v>TOTAL</v>
      </c>
      <c r="C2480" s="2"/>
    </row>
    <row r="2481" ht="15.75" customHeight="1">
      <c r="A2481" s="2">
        <f>IFERROR(__xludf.DUMMYFUNCTION("""COMPUTED_VALUE"""),45693.0)</f>
        <v>45693</v>
      </c>
      <c r="B2481" s="2" t="str">
        <f>IFERROR(__xludf.DUMMYFUNCTION("""COMPUTED_VALUE"""),"Collective Learning")</f>
        <v>Collective Learning</v>
      </c>
      <c r="C2481" s="2">
        <f>IFERROR(__xludf.DUMMYFUNCTION("""COMPUTED_VALUE"""),50.0)</f>
        <v>50</v>
      </c>
    </row>
    <row r="2482" ht="15.75" customHeight="1">
      <c r="A2482" s="2">
        <f>IFERROR(__xludf.DUMMYFUNCTION("""COMPUTED_VALUE"""),45693.0)</f>
        <v>45693</v>
      </c>
      <c r="B2482" s="2" t="str">
        <f>IFERROR(__xludf.DUMMYFUNCTION("""COMPUTED_VALUE"""),"NOTES")</f>
        <v>NOTES</v>
      </c>
      <c r="C2482" s="2"/>
    </row>
    <row r="2483" ht="15.75" customHeight="1">
      <c r="A2483" s="2">
        <f>IFERROR(__xludf.DUMMYFUNCTION("""COMPUTED_VALUE"""),45700.0)</f>
        <v>45700</v>
      </c>
      <c r="B2483" s="2" t="str">
        <f>IFERROR(__xludf.DUMMYFUNCTION("""COMPUTED_VALUE"""),"# of Sandwiches")</f>
        <v># of Sandwiches</v>
      </c>
      <c r="C2483" s="2">
        <f>IFERROR(__xludf.DUMMYFUNCTION("""COMPUTED_VALUE"""),8500.0)</f>
        <v>8500</v>
      </c>
    </row>
    <row r="2484" ht="15.75" customHeight="1">
      <c r="A2484" s="2">
        <f>IFERROR(__xludf.DUMMYFUNCTION("""COMPUTED_VALUE"""),45700.0)</f>
        <v>45700</v>
      </c>
      <c r="B2484" s="2" t="str">
        <f>IFERROR(__xludf.DUMMYFUNCTION("""COMPUTED_VALUE"""),"ALPHARETTA")</f>
        <v>ALPHARETTA</v>
      </c>
      <c r="C2484" s="2">
        <f>IFERROR(__xludf.DUMMYFUNCTION("""COMPUTED_VALUE"""),1852.0)</f>
        <v>1852</v>
      </c>
    </row>
    <row r="2485" ht="15.75" customHeight="1">
      <c r="A2485" s="2">
        <f>IFERROR(__xludf.DUMMYFUNCTION("""COMPUTED_VALUE"""),45700.0)</f>
        <v>45700</v>
      </c>
      <c r="B2485" s="2" t="str">
        <f>IFERROR(__xludf.DUMMYFUNCTION("""COMPUTED_VALUE"""),"PREVIOUS BUCKHEAD")</f>
        <v>PREVIOUS BUCKHEAD</v>
      </c>
      <c r="C2485" s="2"/>
    </row>
    <row r="2486" ht="15.75" customHeight="1">
      <c r="A2486" s="2">
        <f>IFERROR(__xludf.DUMMYFUNCTION("""COMPUTED_VALUE"""),45700.0)</f>
        <v>45700</v>
      </c>
      <c r="B2486" s="2" t="str">
        <f>IFERROR(__xludf.DUMMYFUNCTION("""COMPUTED_VALUE"""),"PREVIOUS OAK GROVE")</f>
        <v>PREVIOUS OAK GROVE</v>
      </c>
      <c r="C2486" s="2"/>
    </row>
    <row r="2487" ht="15.75" customHeight="1">
      <c r="A2487" s="2">
        <f>IFERROR(__xludf.DUMMYFUNCTION("""COMPUTED_VALUE"""),45700.0)</f>
        <v>45700</v>
      </c>
      <c r="B2487" s="2" t="str">
        <f>IFERROR(__xludf.DUMMYFUNCTION("""COMPUTED_VALUE"""),"DUNWOODY/PTC ")</f>
        <v>DUNWOODY/PTC </v>
      </c>
      <c r="C2487" s="2">
        <f>IFERROR(__xludf.DUMMYFUNCTION("""COMPUTED_VALUE"""),1272.0)</f>
        <v>1272</v>
      </c>
    </row>
    <row r="2488" ht="15.75" customHeight="1">
      <c r="A2488" s="2">
        <f>IFERROR(__xludf.DUMMYFUNCTION("""COMPUTED_VALUE"""),45700.0)</f>
        <v>45700</v>
      </c>
      <c r="B2488" s="2" t="str">
        <f>IFERROR(__xludf.DUMMYFUNCTION("""COMPUTED_VALUE"""),"E COBB/ROSWELL")</f>
        <v>E COBB/ROSWELL</v>
      </c>
      <c r="C2488" s="2">
        <f>IFERROR(__xludf.DUMMYFUNCTION("""COMPUTED_VALUE"""),976.0)</f>
        <v>976</v>
      </c>
    </row>
    <row r="2489" ht="15.75" customHeight="1">
      <c r="A2489" s="2">
        <f>IFERROR(__xludf.DUMMYFUNCTION("""COMPUTED_VALUE"""),45700.0)</f>
        <v>45700</v>
      </c>
      <c r="B2489" s="2" t="str">
        <f>IFERROR(__xludf.DUMMYFUNCTION("""COMPUTED_VALUE"""),"DECATUR")</f>
        <v>DECATUR</v>
      </c>
      <c r="C2489" s="2"/>
    </row>
    <row r="2490" ht="15.75" customHeight="1">
      <c r="A2490" s="2">
        <f>IFERROR(__xludf.DUMMYFUNCTION("""COMPUTED_VALUE"""),45700.0)</f>
        <v>45700</v>
      </c>
      <c r="B2490" s="2" t="str">
        <f>IFERROR(__xludf.DUMMYFUNCTION("""COMPUTED_VALUE"""),"P'TREE CORNERS ")</f>
        <v>P'TREE CORNERS </v>
      </c>
      <c r="C2490" s="2"/>
    </row>
    <row r="2491" ht="15.75" customHeight="1">
      <c r="A2491" s="2">
        <f>IFERROR(__xludf.DUMMYFUNCTION("""COMPUTED_VALUE"""),45700.0)</f>
        <v>45700</v>
      </c>
      <c r="B2491" s="2" t="str">
        <f>IFERROR(__xludf.DUMMYFUNCTION("""COMPUTED_VALUE"""),"UGA/Athens")</f>
        <v>UGA/Athens</v>
      </c>
      <c r="C2491" s="2"/>
    </row>
    <row r="2492" ht="15.75" customHeight="1">
      <c r="A2492" s="2">
        <f>IFERROR(__xludf.DUMMYFUNCTION("""COMPUTED_VALUE"""),45700.0)</f>
        <v>45700</v>
      </c>
      <c r="B2492" s="2" t="str">
        <f>IFERROR(__xludf.DUMMYFUNCTION("""COMPUTED_VALUE"""),"SANDY SPRINGS ")</f>
        <v>SANDY SPRINGS </v>
      </c>
      <c r="C2492" s="2">
        <f>IFERROR(__xludf.DUMMYFUNCTION("""COMPUTED_VALUE"""),538.0)</f>
        <v>538</v>
      </c>
    </row>
    <row r="2493" ht="15.75" customHeight="1">
      <c r="A2493" s="2">
        <f>IFERROR(__xludf.DUMMYFUNCTION("""COMPUTED_VALUE"""),45700.0)</f>
        <v>45700</v>
      </c>
      <c r="B2493" s="2" t="str">
        <f>IFERROR(__xludf.DUMMYFUNCTION("""COMPUTED_VALUE"""),"INTOWN/DRUID HILLS ")</f>
        <v>INTOWN/DRUID HILLS </v>
      </c>
      <c r="C2493" s="2">
        <f>IFERROR(__xludf.DUMMYFUNCTION("""COMPUTED_VALUE"""),719.0)</f>
        <v>719</v>
      </c>
    </row>
    <row r="2494" ht="15.75" customHeight="1">
      <c r="A2494" s="2">
        <f>IFERROR(__xludf.DUMMYFUNCTION("""COMPUTED_VALUE"""),45700.0)</f>
        <v>45700</v>
      </c>
      <c r="B2494" s="2" t="str">
        <f>IFERROR(__xludf.DUMMYFUNCTION("""COMPUTED_VALUE"""),"SNELLVILLE")</f>
        <v>SNELLVILLE</v>
      </c>
      <c r="C2494" s="2"/>
    </row>
    <row r="2495" ht="15.75" customHeight="1">
      <c r="A2495" s="2">
        <f>IFERROR(__xludf.DUMMYFUNCTION("""COMPUTED_VALUE"""),45700.0)</f>
        <v>45700</v>
      </c>
      <c r="B2495" s="2" t="str">
        <f>IFERROR(__xludf.DUMMYFUNCTION("""COMPUTED_VALUE"""),"GROUPS")</f>
        <v>GROUPS</v>
      </c>
      <c r="C2495" s="2"/>
    </row>
    <row r="2496" ht="15.75" customHeight="1">
      <c r="A2496" s="2">
        <f>IFERROR(__xludf.DUMMYFUNCTION("""COMPUTED_VALUE"""),45700.0)</f>
        <v>45700</v>
      </c>
      <c r="B2496" s="2" t="str">
        <f>IFERROR(__xludf.DUMMYFUNCTION("""COMPUTED_VALUE"""),"Previous Woodstock")</f>
        <v>Previous Woodstock</v>
      </c>
      <c r="C2496" s="2"/>
    </row>
    <row r="2497" ht="15.75" customHeight="1">
      <c r="A2497" s="2">
        <f>IFERROR(__xludf.DUMMYFUNCTION("""COMPUTED_VALUE"""),45700.0)</f>
        <v>45700</v>
      </c>
      <c r="B2497" s="2" t="str">
        <f>IFERROR(__xludf.DUMMYFUNCTION("""COMPUTED_VALUE"""),"Previous Lenox/Brookhaven")</f>
        <v>Previous Lenox/Brookhaven</v>
      </c>
      <c r="C2497" s="2"/>
    </row>
    <row r="2498" ht="15.75" customHeight="1">
      <c r="A2498" s="2">
        <f>IFERROR(__xludf.DUMMYFUNCTION("""COMPUTED_VALUE"""),45700.0)</f>
        <v>45700</v>
      </c>
      <c r="B2498" s="2" t="str">
        <f>IFERROR(__xludf.DUMMYFUNCTION("""COMPUTED_VALUE"""),"Previous New Chastain")</f>
        <v>Previous New Chastain</v>
      </c>
      <c r="C2498" s="2"/>
    </row>
    <row r="2499" ht="15.75" customHeight="1">
      <c r="A2499" s="2">
        <f>IFERROR(__xludf.DUMMYFUNCTION("""COMPUTED_VALUE"""),45700.0)</f>
        <v>45700</v>
      </c>
      <c r="B2499" s="2" t="str">
        <f>IFERROR(__xludf.DUMMYFUNCTION("""COMPUTED_VALUE"""),"Previous Glenwood Park")</f>
        <v>Previous Glenwood Park</v>
      </c>
      <c r="C2499" s="2"/>
    </row>
    <row r="2500" ht="15.75" customHeight="1">
      <c r="A2500" s="2">
        <f>IFERROR(__xludf.DUMMYFUNCTION("""COMPUTED_VALUE"""),45700.0)</f>
        <v>45700</v>
      </c>
      <c r="B2500" s="2" t="str">
        <f>IFERROR(__xludf.DUMMYFUNCTION("""COMPUTED_VALUE"""),"FLOWERY BRANCH")</f>
        <v>FLOWERY BRANCH</v>
      </c>
      <c r="C2500" s="2">
        <f>IFERROR(__xludf.DUMMYFUNCTION("""COMPUTED_VALUE"""),141.0)</f>
        <v>141</v>
      </c>
    </row>
    <row r="2501" ht="15.75" customHeight="1">
      <c r="A2501" s="2">
        <f>IFERROR(__xludf.DUMMYFUNCTION("""COMPUTED_VALUE"""),45700.0)</f>
        <v>45700</v>
      </c>
      <c r="B2501" s="2" t="str">
        <f>IFERROR(__xludf.DUMMYFUNCTION("""COMPUTED_VALUE"""),"GROUPS ")</f>
        <v>GROUPS </v>
      </c>
      <c r="C2501" s="2">
        <f>IFERROR(__xludf.DUMMYFUNCTION("""COMPUTED_VALUE"""),4474.0)</f>
        <v>4474</v>
      </c>
    </row>
    <row r="2502" ht="15.75" customHeight="1">
      <c r="A2502" s="2">
        <f>IFERROR(__xludf.DUMMYFUNCTION("""COMPUTED_VALUE"""),45700.0)</f>
        <v>45700</v>
      </c>
      <c r="B2502" s="2" t="str">
        <f>IFERROR(__xludf.DUMMYFUNCTION("""COMPUTED_VALUE"""),"TOTAL")</f>
        <v>TOTAL</v>
      </c>
      <c r="C2502" s="2"/>
    </row>
    <row r="2503" ht="15.75" customHeight="1">
      <c r="A2503" s="2">
        <f>IFERROR(__xludf.DUMMYFUNCTION("""COMPUTED_VALUE"""),45700.0)</f>
        <v>45700</v>
      </c>
      <c r="B2503" s="2" t="str">
        <f>IFERROR(__xludf.DUMMYFUNCTION("""COMPUTED_VALUE"""),"Collective Learning")</f>
        <v>Collective Learning</v>
      </c>
      <c r="C2503" s="2">
        <f>IFERROR(__xludf.DUMMYFUNCTION("""COMPUTED_VALUE"""),50.0)</f>
        <v>50</v>
      </c>
    </row>
    <row r="2504" ht="15.75" customHeight="1">
      <c r="A2504" s="2">
        <f>IFERROR(__xludf.DUMMYFUNCTION("""COMPUTED_VALUE"""),45700.0)</f>
        <v>45700</v>
      </c>
      <c r="B2504" s="2" t="str">
        <f>IFERROR(__xludf.DUMMYFUNCTION("""COMPUTED_VALUE"""),"NOTES")</f>
        <v>NOTES</v>
      </c>
      <c r="C2504" s="2"/>
    </row>
    <row r="2505" ht="15.75" customHeight="1">
      <c r="A2505" s="2">
        <f>IFERROR(__xludf.DUMMYFUNCTION("""COMPUTED_VALUE"""),45707.0)</f>
        <v>45707</v>
      </c>
      <c r="B2505" s="2" t="str">
        <f>IFERROR(__xludf.DUMMYFUNCTION("""COMPUTED_VALUE"""),"# of Sandwiches")</f>
        <v># of Sandwiches</v>
      </c>
      <c r="C2505" s="2">
        <f>IFERROR(__xludf.DUMMYFUNCTION("""COMPUTED_VALUE"""),9446.0)</f>
        <v>9446</v>
      </c>
    </row>
    <row r="2506" ht="15.75" customHeight="1">
      <c r="A2506" s="2">
        <f>IFERROR(__xludf.DUMMYFUNCTION("""COMPUTED_VALUE"""),45707.0)</f>
        <v>45707</v>
      </c>
      <c r="B2506" s="2" t="str">
        <f>IFERROR(__xludf.DUMMYFUNCTION("""COMPUTED_VALUE"""),"ALPHARETTA")</f>
        <v>ALPHARETTA</v>
      </c>
      <c r="C2506" s="2">
        <f>IFERROR(__xludf.DUMMYFUNCTION("""COMPUTED_VALUE"""),900.0)</f>
        <v>900</v>
      </c>
    </row>
    <row r="2507" ht="15.75" customHeight="1">
      <c r="A2507" s="2">
        <f>IFERROR(__xludf.DUMMYFUNCTION("""COMPUTED_VALUE"""),45707.0)</f>
        <v>45707</v>
      </c>
      <c r="B2507" s="2" t="str">
        <f>IFERROR(__xludf.DUMMYFUNCTION("""COMPUTED_VALUE"""),"PREVIOUS BUCKHEAD")</f>
        <v>PREVIOUS BUCKHEAD</v>
      </c>
      <c r="C2507" s="2"/>
    </row>
    <row r="2508" ht="15.75" customHeight="1">
      <c r="A2508" s="2">
        <f>IFERROR(__xludf.DUMMYFUNCTION("""COMPUTED_VALUE"""),45707.0)</f>
        <v>45707</v>
      </c>
      <c r="B2508" s="2" t="str">
        <f>IFERROR(__xludf.DUMMYFUNCTION("""COMPUTED_VALUE"""),"PREVIOUS OAK GROVE")</f>
        <v>PREVIOUS OAK GROVE</v>
      </c>
      <c r="C2508" s="2"/>
    </row>
    <row r="2509" ht="15.75" customHeight="1">
      <c r="A2509" s="2">
        <f>IFERROR(__xludf.DUMMYFUNCTION("""COMPUTED_VALUE"""),45707.0)</f>
        <v>45707</v>
      </c>
      <c r="B2509" s="2" t="str">
        <f>IFERROR(__xludf.DUMMYFUNCTION("""COMPUTED_VALUE"""),"DUNWOODY/PTC ")</f>
        <v>DUNWOODY/PTC </v>
      </c>
      <c r="C2509" s="2">
        <f>IFERROR(__xludf.DUMMYFUNCTION("""COMPUTED_VALUE"""),2667.0)</f>
        <v>2667</v>
      </c>
    </row>
    <row r="2510" ht="15.75" customHeight="1">
      <c r="A2510" s="2">
        <f>IFERROR(__xludf.DUMMYFUNCTION("""COMPUTED_VALUE"""),45707.0)</f>
        <v>45707</v>
      </c>
      <c r="B2510" s="2" t="str">
        <f>IFERROR(__xludf.DUMMYFUNCTION("""COMPUTED_VALUE"""),"E COBB/ROSWELL")</f>
        <v>E COBB/ROSWELL</v>
      </c>
      <c r="C2510" s="2">
        <f>IFERROR(__xludf.DUMMYFUNCTION("""COMPUTED_VALUE"""),1381.0)</f>
        <v>1381</v>
      </c>
    </row>
    <row r="2511" ht="15.75" customHeight="1">
      <c r="A2511" s="2">
        <f>IFERROR(__xludf.DUMMYFUNCTION("""COMPUTED_VALUE"""),45707.0)</f>
        <v>45707</v>
      </c>
      <c r="B2511" s="2" t="str">
        <f>IFERROR(__xludf.DUMMYFUNCTION("""COMPUTED_VALUE"""),"DECATUR")</f>
        <v>DECATUR</v>
      </c>
      <c r="C2511" s="2"/>
    </row>
    <row r="2512" ht="15.75" customHeight="1">
      <c r="A2512" s="2">
        <f>IFERROR(__xludf.DUMMYFUNCTION("""COMPUTED_VALUE"""),45707.0)</f>
        <v>45707</v>
      </c>
      <c r="B2512" s="2" t="str">
        <f>IFERROR(__xludf.DUMMYFUNCTION("""COMPUTED_VALUE"""),"P'TREE CORNERS ")</f>
        <v>P'TREE CORNERS </v>
      </c>
      <c r="C2512" s="2"/>
    </row>
    <row r="2513" ht="15.75" customHeight="1">
      <c r="A2513" s="2">
        <f>IFERROR(__xludf.DUMMYFUNCTION("""COMPUTED_VALUE"""),45707.0)</f>
        <v>45707</v>
      </c>
      <c r="B2513" s="2" t="str">
        <f>IFERROR(__xludf.DUMMYFUNCTION("""COMPUTED_VALUE"""),"UGA/Athens")</f>
        <v>UGA/Athens</v>
      </c>
      <c r="C2513" s="2"/>
    </row>
    <row r="2514" ht="15.75" customHeight="1">
      <c r="A2514" s="2">
        <f>IFERROR(__xludf.DUMMYFUNCTION("""COMPUTED_VALUE"""),45707.0)</f>
        <v>45707</v>
      </c>
      <c r="B2514" s="2" t="str">
        <f>IFERROR(__xludf.DUMMYFUNCTION("""COMPUTED_VALUE"""),"SANDY SPRINGS ")</f>
        <v>SANDY SPRINGS </v>
      </c>
      <c r="C2514" s="2">
        <f>IFERROR(__xludf.DUMMYFUNCTION("""COMPUTED_VALUE"""),677.0)</f>
        <v>677</v>
      </c>
    </row>
    <row r="2515" ht="15.75" customHeight="1">
      <c r="A2515" s="2">
        <f>IFERROR(__xludf.DUMMYFUNCTION("""COMPUTED_VALUE"""),45707.0)</f>
        <v>45707</v>
      </c>
      <c r="B2515" s="2" t="str">
        <f>IFERROR(__xludf.DUMMYFUNCTION("""COMPUTED_VALUE"""),"INTOWN/DRUID HILLS ")</f>
        <v>INTOWN/DRUID HILLS </v>
      </c>
      <c r="C2515" s="2">
        <f>IFERROR(__xludf.DUMMYFUNCTION("""COMPUTED_VALUE"""),1371.0)</f>
        <v>1371</v>
      </c>
    </row>
    <row r="2516" ht="15.75" customHeight="1">
      <c r="A2516" s="2">
        <f>IFERROR(__xludf.DUMMYFUNCTION("""COMPUTED_VALUE"""),45707.0)</f>
        <v>45707</v>
      </c>
      <c r="B2516" s="2" t="str">
        <f>IFERROR(__xludf.DUMMYFUNCTION("""COMPUTED_VALUE"""),"SNELLVILLE")</f>
        <v>SNELLVILLE</v>
      </c>
      <c r="C2516" s="2"/>
    </row>
    <row r="2517" ht="15.75" customHeight="1">
      <c r="A2517" s="2">
        <f>IFERROR(__xludf.DUMMYFUNCTION("""COMPUTED_VALUE"""),45707.0)</f>
        <v>45707</v>
      </c>
      <c r="B2517" s="2" t="str">
        <f>IFERROR(__xludf.DUMMYFUNCTION("""COMPUTED_VALUE"""),"GROUPS")</f>
        <v>GROUPS</v>
      </c>
      <c r="C2517" s="2"/>
    </row>
    <row r="2518" ht="15.75" customHeight="1">
      <c r="A2518" s="2">
        <f>IFERROR(__xludf.DUMMYFUNCTION("""COMPUTED_VALUE"""),45707.0)</f>
        <v>45707</v>
      </c>
      <c r="B2518" s="2" t="str">
        <f>IFERROR(__xludf.DUMMYFUNCTION("""COMPUTED_VALUE"""),"Previous Woodstock")</f>
        <v>Previous Woodstock</v>
      </c>
      <c r="C2518" s="2"/>
    </row>
    <row r="2519" ht="15.75" customHeight="1">
      <c r="A2519" s="2">
        <f>IFERROR(__xludf.DUMMYFUNCTION("""COMPUTED_VALUE"""),45707.0)</f>
        <v>45707</v>
      </c>
      <c r="B2519" s="2" t="str">
        <f>IFERROR(__xludf.DUMMYFUNCTION("""COMPUTED_VALUE"""),"Previous Lenox/Brookhaven")</f>
        <v>Previous Lenox/Brookhaven</v>
      </c>
      <c r="C2519" s="2"/>
    </row>
    <row r="2520" ht="15.75" customHeight="1">
      <c r="A2520" s="2">
        <f>IFERROR(__xludf.DUMMYFUNCTION("""COMPUTED_VALUE"""),45707.0)</f>
        <v>45707</v>
      </c>
      <c r="B2520" s="2" t="str">
        <f>IFERROR(__xludf.DUMMYFUNCTION("""COMPUTED_VALUE"""),"Previous New Chastain")</f>
        <v>Previous New Chastain</v>
      </c>
      <c r="C2520" s="2"/>
    </row>
    <row r="2521" ht="15.75" customHeight="1">
      <c r="A2521" s="2">
        <f>IFERROR(__xludf.DUMMYFUNCTION("""COMPUTED_VALUE"""),45707.0)</f>
        <v>45707</v>
      </c>
      <c r="B2521" s="2" t="str">
        <f>IFERROR(__xludf.DUMMYFUNCTION("""COMPUTED_VALUE"""),"Previous Glenwood Park")</f>
        <v>Previous Glenwood Park</v>
      </c>
      <c r="C2521" s="2"/>
    </row>
    <row r="2522" ht="15.75" customHeight="1">
      <c r="A2522" s="2">
        <f>IFERROR(__xludf.DUMMYFUNCTION("""COMPUTED_VALUE"""),45707.0)</f>
        <v>45707</v>
      </c>
      <c r="B2522" s="2" t="str">
        <f>IFERROR(__xludf.DUMMYFUNCTION("""COMPUTED_VALUE"""),"FLOWERY BRANCH")</f>
        <v>FLOWERY BRANCH</v>
      </c>
      <c r="C2522" s="2">
        <f>IFERROR(__xludf.DUMMYFUNCTION("""COMPUTED_VALUE"""),284.0)</f>
        <v>284</v>
      </c>
    </row>
    <row r="2523" ht="15.75" customHeight="1">
      <c r="A2523" s="2">
        <f>IFERROR(__xludf.DUMMYFUNCTION("""COMPUTED_VALUE"""),45707.0)</f>
        <v>45707</v>
      </c>
      <c r="B2523" s="2" t="str">
        <f>IFERROR(__xludf.DUMMYFUNCTION("""COMPUTED_VALUE"""),"GROUPS ")</f>
        <v>GROUPS </v>
      </c>
      <c r="C2523" s="2">
        <f>IFERROR(__xludf.DUMMYFUNCTION("""COMPUTED_VALUE"""),2650.0)</f>
        <v>2650</v>
      </c>
    </row>
    <row r="2524" ht="15.75" customHeight="1">
      <c r="A2524" s="2">
        <f>IFERROR(__xludf.DUMMYFUNCTION("""COMPUTED_VALUE"""),45707.0)</f>
        <v>45707</v>
      </c>
      <c r="B2524" s="2" t="str">
        <f>IFERROR(__xludf.DUMMYFUNCTION("""COMPUTED_VALUE"""),"TOTAL")</f>
        <v>TOTAL</v>
      </c>
      <c r="C2524" s="2"/>
    </row>
    <row r="2525" ht="15.75" customHeight="1">
      <c r="A2525" s="2">
        <f>IFERROR(__xludf.DUMMYFUNCTION("""COMPUTED_VALUE"""),45707.0)</f>
        <v>45707</v>
      </c>
      <c r="B2525" s="2" t="str">
        <f>IFERROR(__xludf.DUMMYFUNCTION("""COMPUTED_VALUE"""),"Collective Learning")</f>
        <v>Collective Learning</v>
      </c>
      <c r="C2525" s="2">
        <f>IFERROR(__xludf.DUMMYFUNCTION("""COMPUTED_VALUE"""),50.0)</f>
        <v>50</v>
      </c>
    </row>
    <row r="2526" ht="15.75" customHeight="1">
      <c r="A2526" s="2">
        <f>IFERROR(__xludf.DUMMYFUNCTION("""COMPUTED_VALUE"""),45707.0)</f>
        <v>45707</v>
      </c>
      <c r="B2526" s="2" t="str">
        <f>IFERROR(__xludf.DUMMYFUNCTION("""COMPUTED_VALUE"""),"NOTES")</f>
        <v>NOTES</v>
      </c>
      <c r="C2526" s="2"/>
    </row>
    <row r="2527" ht="15.75" customHeight="1">
      <c r="A2527" s="2">
        <f>IFERROR(__xludf.DUMMYFUNCTION("""COMPUTED_VALUE"""),45714.0)</f>
        <v>45714</v>
      </c>
      <c r="B2527" s="2" t="str">
        <f>IFERROR(__xludf.DUMMYFUNCTION("""COMPUTED_VALUE"""),"# of Sandwiches")</f>
        <v># of Sandwiches</v>
      </c>
      <c r="C2527" s="2">
        <f>IFERROR(__xludf.DUMMYFUNCTION("""COMPUTED_VALUE"""),5363.0)</f>
        <v>5363</v>
      </c>
    </row>
    <row r="2528" ht="15.75" customHeight="1">
      <c r="A2528" s="2">
        <f>IFERROR(__xludf.DUMMYFUNCTION("""COMPUTED_VALUE"""),45714.0)</f>
        <v>45714</v>
      </c>
      <c r="B2528" s="2" t="str">
        <f>IFERROR(__xludf.DUMMYFUNCTION("""COMPUTED_VALUE"""),"ALPHARETTA")</f>
        <v>ALPHARETTA</v>
      </c>
      <c r="C2528" s="2">
        <f>IFERROR(__xludf.DUMMYFUNCTION("""COMPUTED_VALUE"""),1010.0)</f>
        <v>1010</v>
      </c>
    </row>
    <row r="2529" ht="15.75" customHeight="1">
      <c r="A2529" s="2">
        <f>IFERROR(__xludf.DUMMYFUNCTION("""COMPUTED_VALUE"""),45714.0)</f>
        <v>45714</v>
      </c>
      <c r="B2529" s="2" t="str">
        <f>IFERROR(__xludf.DUMMYFUNCTION("""COMPUTED_VALUE"""),"PREVIOUS BUCKHEAD")</f>
        <v>PREVIOUS BUCKHEAD</v>
      </c>
      <c r="C2529" s="2"/>
    </row>
    <row r="2530" ht="15.75" customHeight="1">
      <c r="A2530" s="2">
        <f>IFERROR(__xludf.DUMMYFUNCTION("""COMPUTED_VALUE"""),45714.0)</f>
        <v>45714</v>
      </c>
      <c r="B2530" s="2" t="str">
        <f>IFERROR(__xludf.DUMMYFUNCTION("""COMPUTED_VALUE"""),"PREVIOUS OAK GROVE")</f>
        <v>PREVIOUS OAK GROVE</v>
      </c>
      <c r="C2530" s="2"/>
    </row>
    <row r="2531" ht="15.75" customHeight="1">
      <c r="A2531" s="2">
        <f>IFERROR(__xludf.DUMMYFUNCTION("""COMPUTED_VALUE"""),45714.0)</f>
        <v>45714</v>
      </c>
      <c r="B2531" s="2" t="str">
        <f>IFERROR(__xludf.DUMMYFUNCTION("""COMPUTED_VALUE"""),"DUNWOODY/PTC ")</f>
        <v>DUNWOODY/PTC </v>
      </c>
      <c r="C2531" s="2">
        <f>IFERROR(__xludf.DUMMYFUNCTION("""COMPUTED_VALUE"""),1153.0)</f>
        <v>1153</v>
      </c>
    </row>
    <row r="2532" ht="15.75" customHeight="1">
      <c r="A2532" s="2">
        <f>IFERROR(__xludf.DUMMYFUNCTION("""COMPUTED_VALUE"""),45714.0)</f>
        <v>45714</v>
      </c>
      <c r="B2532" s="2" t="str">
        <f>IFERROR(__xludf.DUMMYFUNCTION("""COMPUTED_VALUE"""),"E COBB/ROSWELL")</f>
        <v>E COBB/ROSWELL</v>
      </c>
      <c r="C2532" s="2">
        <f>IFERROR(__xludf.DUMMYFUNCTION("""COMPUTED_VALUE"""),854.0)</f>
        <v>854</v>
      </c>
    </row>
    <row r="2533" ht="15.75" customHeight="1">
      <c r="A2533" s="2">
        <f>IFERROR(__xludf.DUMMYFUNCTION("""COMPUTED_VALUE"""),45714.0)</f>
        <v>45714</v>
      </c>
      <c r="B2533" s="2" t="str">
        <f>IFERROR(__xludf.DUMMYFUNCTION("""COMPUTED_VALUE"""),"DECATUR")</f>
        <v>DECATUR</v>
      </c>
      <c r="C2533" s="2"/>
    </row>
    <row r="2534" ht="15.75" customHeight="1">
      <c r="A2534" s="2">
        <f>IFERROR(__xludf.DUMMYFUNCTION("""COMPUTED_VALUE"""),45714.0)</f>
        <v>45714</v>
      </c>
      <c r="B2534" s="2" t="str">
        <f>IFERROR(__xludf.DUMMYFUNCTION("""COMPUTED_VALUE"""),"P'TREE CORNERS ")</f>
        <v>P'TREE CORNERS </v>
      </c>
      <c r="C2534" s="2"/>
    </row>
    <row r="2535" ht="15.75" customHeight="1">
      <c r="A2535" s="2">
        <f>IFERROR(__xludf.DUMMYFUNCTION("""COMPUTED_VALUE"""),45714.0)</f>
        <v>45714</v>
      </c>
      <c r="B2535" s="2" t="str">
        <f>IFERROR(__xludf.DUMMYFUNCTION("""COMPUTED_VALUE"""),"UGA/Athens")</f>
        <v>UGA/Athens</v>
      </c>
      <c r="C2535" s="2"/>
    </row>
    <row r="2536" ht="15.75" customHeight="1">
      <c r="A2536" s="2">
        <f>IFERROR(__xludf.DUMMYFUNCTION("""COMPUTED_VALUE"""),45714.0)</f>
        <v>45714</v>
      </c>
      <c r="B2536" s="2" t="str">
        <f>IFERROR(__xludf.DUMMYFUNCTION("""COMPUTED_VALUE"""),"SANDY SPRINGS ")</f>
        <v>SANDY SPRINGS </v>
      </c>
      <c r="C2536" s="2">
        <f>IFERROR(__xludf.DUMMYFUNCTION("""COMPUTED_VALUE"""),650.0)</f>
        <v>650</v>
      </c>
    </row>
    <row r="2537" ht="15.75" customHeight="1">
      <c r="A2537" s="2">
        <f>IFERROR(__xludf.DUMMYFUNCTION("""COMPUTED_VALUE"""),45714.0)</f>
        <v>45714</v>
      </c>
      <c r="B2537" s="2" t="str">
        <f>IFERROR(__xludf.DUMMYFUNCTION("""COMPUTED_VALUE"""),"INTOWN/DRUID HILLS ")</f>
        <v>INTOWN/DRUID HILLS </v>
      </c>
      <c r="C2537" s="2">
        <f>IFERROR(__xludf.DUMMYFUNCTION("""COMPUTED_VALUE"""),605.0)</f>
        <v>605</v>
      </c>
    </row>
    <row r="2538" ht="15.75" customHeight="1">
      <c r="A2538" s="2">
        <f>IFERROR(__xludf.DUMMYFUNCTION("""COMPUTED_VALUE"""),45714.0)</f>
        <v>45714</v>
      </c>
      <c r="B2538" s="2" t="str">
        <f>IFERROR(__xludf.DUMMYFUNCTION("""COMPUTED_VALUE"""),"SNELLVILLE")</f>
        <v>SNELLVILLE</v>
      </c>
      <c r="C2538" s="2"/>
    </row>
    <row r="2539" ht="15.75" customHeight="1">
      <c r="A2539" s="2">
        <f>IFERROR(__xludf.DUMMYFUNCTION("""COMPUTED_VALUE"""),45714.0)</f>
        <v>45714</v>
      </c>
      <c r="B2539" s="2" t="str">
        <f>IFERROR(__xludf.DUMMYFUNCTION("""COMPUTED_VALUE"""),"GROUPS")</f>
        <v>GROUPS</v>
      </c>
      <c r="C2539" s="2"/>
    </row>
    <row r="2540" ht="15.75" customHeight="1">
      <c r="A2540" s="2">
        <f>IFERROR(__xludf.DUMMYFUNCTION("""COMPUTED_VALUE"""),45714.0)</f>
        <v>45714</v>
      </c>
      <c r="B2540" s="2" t="str">
        <f>IFERROR(__xludf.DUMMYFUNCTION("""COMPUTED_VALUE"""),"Previous Woodstock")</f>
        <v>Previous Woodstock</v>
      </c>
      <c r="C2540" s="2"/>
    </row>
    <row r="2541" ht="15.75" customHeight="1">
      <c r="A2541" s="2">
        <f>IFERROR(__xludf.DUMMYFUNCTION("""COMPUTED_VALUE"""),45714.0)</f>
        <v>45714</v>
      </c>
      <c r="B2541" s="2" t="str">
        <f>IFERROR(__xludf.DUMMYFUNCTION("""COMPUTED_VALUE"""),"Previous Lenox/Brookhaven")</f>
        <v>Previous Lenox/Brookhaven</v>
      </c>
      <c r="C2541" s="2"/>
    </row>
    <row r="2542" ht="15.75" customHeight="1">
      <c r="A2542" s="2">
        <f>IFERROR(__xludf.DUMMYFUNCTION("""COMPUTED_VALUE"""),45714.0)</f>
        <v>45714</v>
      </c>
      <c r="B2542" s="2" t="str">
        <f>IFERROR(__xludf.DUMMYFUNCTION("""COMPUTED_VALUE"""),"Previous New Chastain")</f>
        <v>Previous New Chastain</v>
      </c>
      <c r="C2542" s="2"/>
    </row>
    <row r="2543" ht="15.75" customHeight="1">
      <c r="A2543" s="2">
        <f>IFERROR(__xludf.DUMMYFUNCTION("""COMPUTED_VALUE"""),45714.0)</f>
        <v>45714</v>
      </c>
      <c r="B2543" s="2" t="str">
        <f>IFERROR(__xludf.DUMMYFUNCTION("""COMPUTED_VALUE"""),"Previous Glenwood Park")</f>
        <v>Previous Glenwood Park</v>
      </c>
      <c r="C2543" s="2"/>
    </row>
    <row r="2544" ht="15.75" customHeight="1">
      <c r="A2544" s="2">
        <f>IFERROR(__xludf.DUMMYFUNCTION("""COMPUTED_VALUE"""),45714.0)</f>
        <v>45714</v>
      </c>
      <c r="B2544" s="2" t="str">
        <f>IFERROR(__xludf.DUMMYFUNCTION("""COMPUTED_VALUE"""),"FLOWERY BRANCH")</f>
        <v>FLOWERY BRANCH</v>
      </c>
      <c r="C2544" s="2">
        <f>IFERROR(__xludf.DUMMYFUNCTION("""COMPUTED_VALUE"""),516.0)</f>
        <v>516</v>
      </c>
    </row>
    <row r="2545" ht="15.75" customHeight="1">
      <c r="A2545" s="2">
        <f>IFERROR(__xludf.DUMMYFUNCTION("""COMPUTED_VALUE"""),45714.0)</f>
        <v>45714</v>
      </c>
      <c r="B2545" s="2" t="str">
        <f>IFERROR(__xludf.DUMMYFUNCTION("""COMPUTED_VALUE"""),"GROUPS ")</f>
        <v>GROUPS </v>
      </c>
      <c r="C2545" s="2">
        <f>IFERROR(__xludf.DUMMYFUNCTION("""COMPUTED_VALUE"""),1380.0)</f>
        <v>1380</v>
      </c>
    </row>
    <row r="2546" ht="15.75" customHeight="1">
      <c r="A2546" s="2">
        <f>IFERROR(__xludf.DUMMYFUNCTION("""COMPUTED_VALUE"""),45714.0)</f>
        <v>45714</v>
      </c>
      <c r="B2546" s="2" t="str">
        <f>IFERROR(__xludf.DUMMYFUNCTION("""COMPUTED_VALUE"""),"TOTAL")</f>
        <v>TOTAL</v>
      </c>
      <c r="C2546" s="2"/>
    </row>
    <row r="2547" ht="15.75" customHeight="1">
      <c r="A2547" s="2">
        <f>IFERROR(__xludf.DUMMYFUNCTION("""COMPUTED_VALUE"""),45714.0)</f>
        <v>45714</v>
      </c>
      <c r="B2547" s="2" t="str">
        <f>IFERROR(__xludf.DUMMYFUNCTION("""COMPUTED_VALUE"""),"Collective Learning")</f>
        <v>Collective Learning</v>
      </c>
      <c r="C2547" s="2">
        <f>IFERROR(__xludf.DUMMYFUNCTION("""COMPUTED_VALUE"""),50.0)</f>
        <v>50</v>
      </c>
    </row>
    <row r="2548" ht="15.75" customHeight="1">
      <c r="A2548" s="2">
        <f>IFERROR(__xludf.DUMMYFUNCTION("""COMPUTED_VALUE"""),45714.0)</f>
        <v>45714</v>
      </c>
      <c r="B2548" s="2" t="str">
        <f>IFERROR(__xludf.DUMMYFUNCTION("""COMPUTED_VALUE"""),"NOTES")</f>
        <v>NOTES</v>
      </c>
      <c r="C2548" s="2"/>
    </row>
    <row r="2549" ht="15.75" customHeight="1">
      <c r="A2549" s="2">
        <f>IFERROR(__xludf.DUMMYFUNCTION("""COMPUTED_VALUE"""),45721.0)</f>
        <v>45721</v>
      </c>
      <c r="B2549" s="2" t="str">
        <f>IFERROR(__xludf.DUMMYFUNCTION("""COMPUTED_VALUE"""),"# of Sandwiches")</f>
        <v># of Sandwiches</v>
      </c>
      <c r="C2549" s="2">
        <f>IFERROR(__xludf.DUMMYFUNCTION("""COMPUTED_VALUE"""),8722.0)</f>
        <v>8722</v>
      </c>
    </row>
    <row r="2550" ht="15.75" customHeight="1">
      <c r="A2550" s="2">
        <f>IFERROR(__xludf.DUMMYFUNCTION("""COMPUTED_VALUE"""),45721.0)</f>
        <v>45721</v>
      </c>
      <c r="B2550" s="2" t="str">
        <f>IFERROR(__xludf.DUMMYFUNCTION("""COMPUTED_VALUE"""),"ALPHARETTA")</f>
        <v>ALPHARETTA</v>
      </c>
      <c r="C2550" s="2">
        <f>IFERROR(__xludf.DUMMYFUNCTION("""COMPUTED_VALUE"""),1092.0)</f>
        <v>1092</v>
      </c>
    </row>
    <row r="2551" ht="15.75" customHeight="1">
      <c r="A2551" s="2">
        <f>IFERROR(__xludf.DUMMYFUNCTION("""COMPUTED_VALUE"""),45721.0)</f>
        <v>45721</v>
      </c>
      <c r="B2551" s="2" t="str">
        <f>IFERROR(__xludf.DUMMYFUNCTION("""COMPUTED_VALUE"""),"PREVIOUS BUCKHEAD")</f>
        <v>PREVIOUS BUCKHEAD</v>
      </c>
      <c r="C2551" s="2"/>
    </row>
    <row r="2552" ht="15.75" customHeight="1">
      <c r="A2552" s="2">
        <f>IFERROR(__xludf.DUMMYFUNCTION("""COMPUTED_VALUE"""),45721.0)</f>
        <v>45721</v>
      </c>
      <c r="B2552" s="2" t="str">
        <f>IFERROR(__xludf.DUMMYFUNCTION("""COMPUTED_VALUE"""),"PREVIOUS OAK GROVE")</f>
        <v>PREVIOUS OAK GROVE</v>
      </c>
      <c r="C2552" s="2"/>
    </row>
    <row r="2553" ht="15.75" customHeight="1">
      <c r="A2553" s="2">
        <f>IFERROR(__xludf.DUMMYFUNCTION("""COMPUTED_VALUE"""),45721.0)</f>
        <v>45721</v>
      </c>
      <c r="B2553" s="2" t="str">
        <f>IFERROR(__xludf.DUMMYFUNCTION("""COMPUTED_VALUE"""),"DUNWOODY/PTC ")</f>
        <v>DUNWOODY/PTC </v>
      </c>
      <c r="C2553" s="2">
        <f>IFERROR(__xludf.DUMMYFUNCTION("""COMPUTED_VALUE"""),769.0)</f>
        <v>769</v>
      </c>
    </row>
    <row r="2554" ht="15.75" customHeight="1">
      <c r="A2554" s="2">
        <f>IFERROR(__xludf.DUMMYFUNCTION("""COMPUTED_VALUE"""),45721.0)</f>
        <v>45721</v>
      </c>
      <c r="B2554" s="2" t="str">
        <f>IFERROR(__xludf.DUMMYFUNCTION("""COMPUTED_VALUE"""),"E COBB/ROSWELL")</f>
        <v>E COBB/ROSWELL</v>
      </c>
      <c r="C2554" s="2">
        <f>IFERROR(__xludf.DUMMYFUNCTION("""COMPUTED_VALUE"""),983.0)</f>
        <v>983</v>
      </c>
    </row>
    <row r="2555" ht="15.75" customHeight="1">
      <c r="A2555" s="2">
        <f>IFERROR(__xludf.DUMMYFUNCTION("""COMPUTED_VALUE"""),45721.0)</f>
        <v>45721</v>
      </c>
      <c r="B2555" s="2" t="str">
        <f>IFERROR(__xludf.DUMMYFUNCTION("""COMPUTED_VALUE"""),"DECATUR")</f>
        <v>DECATUR</v>
      </c>
      <c r="C2555" s="2"/>
    </row>
    <row r="2556" ht="15.75" customHeight="1">
      <c r="A2556" s="2">
        <f>IFERROR(__xludf.DUMMYFUNCTION("""COMPUTED_VALUE"""),45721.0)</f>
        <v>45721</v>
      </c>
      <c r="B2556" s="2" t="str">
        <f>IFERROR(__xludf.DUMMYFUNCTION("""COMPUTED_VALUE"""),"P'TREE CORNERS ")</f>
        <v>P'TREE CORNERS </v>
      </c>
      <c r="C2556" s="2"/>
    </row>
    <row r="2557" ht="15.75" customHeight="1">
      <c r="A2557" s="2">
        <f>IFERROR(__xludf.DUMMYFUNCTION("""COMPUTED_VALUE"""),45721.0)</f>
        <v>45721</v>
      </c>
      <c r="B2557" s="2" t="str">
        <f>IFERROR(__xludf.DUMMYFUNCTION("""COMPUTED_VALUE"""),"UGA/Athens")</f>
        <v>UGA/Athens</v>
      </c>
      <c r="C2557" s="2"/>
    </row>
    <row r="2558" ht="15.75" customHeight="1">
      <c r="A2558" s="2">
        <f>IFERROR(__xludf.DUMMYFUNCTION("""COMPUTED_VALUE"""),45721.0)</f>
        <v>45721</v>
      </c>
      <c r="B2558" s="2" t="str">
        <f>IFERROR(__xludf.DUMMYFUNCTION("""COMPUTED_VALUE"""),"SANDY SPRINGS ")</f>
        <v>SANDY SPRINGS </v>
      </c>
      <c r="C2558" s="2">
        <f>IFERROR(__xludf.DUMMYFUNCTION("""COMPUTED_VALUE"""),117.0)</f>
        <v>117</v>
      </c>
    </row>
    <row r="2559" ht="15.75" customHeight="1">
      <c r="A2559" s="2">
        <f>IFERROR(__xludf.DUMMYFUNCTION("""COMPUTED_VALUE"""),45721.0)</f>
        <v>45721</v>
      </c>
      <c r="B2559" s="2" t="str">
        <f>IFERROR(__xludf.DUMMYFUNCTION("""COMPUTED_VALUE"""),"INTOWN/DRUID HILLS ")</f>
        <v>INTOWN/DRUID HILLS </v>
      </c>
      <c r="C2559" s="2">
        <f>IFERROR(__xludf.DUMMYFUNCTION("""COMPUTED_VALUE"""),815.0)</f>
        <v>815</v>
      </c>
    </row>
    <row r="2560" ht="15.75" customHeight="1">
      <c r="A2560" s="2">
        <f>IFERROR(__xludf.DUMMYFUNCTION("""COMPUTED_VALUE"""),45721.0)</f>
        <v>45721</v>
      </c>
      <c r="B2560" s="2" t="str">
        <f>IFERROR(__xludf.DUMMYFUNCTION("""COMPUTED_VALUE"""),"SNELLVILLE")</f>
        <v>SNELLVILLE</v>
      </c>
      <c r="C2560" s="2"/>
    </row>
    <row r="2561" ht="15.75" customHeight="1">
      <c r="A2561" s="2">
        <f>IFERROR(__xludf.DUMMYFUNCTION("""COMPUTED_VALUE"""),45721.0)</f>
        <v>45721</v>
      </c>
      <c r="B2561" s="2" t="str">
        <f>IFERROR(__xludf.DUMMYFUNCTION("""COMPUTED_VALUE"""),"GROUPS")</f>
        <v>GROUPS</v>
      </c>
      <c r="C2561" s="2"/>
    </row>
    <row r="2562" ht="15.75" customHeight="1">
      <c r="A2562" s="2">
        <f>IFERROR(__xludf.DUMMYFUNCTION("""COMPUTED_VALUE"""),45721.0)</f>
        <v>45721</v>
      </c>
      <c r="B2562" s="2" t="str">
        <f>IFERROR(__xludf.DUMMYFUNCTION("""COMPUTED_VALUE"""),"Previous Woodstock")</f>
        <v>Previous Woodstock</v>
      </c>
      <c r="C2562" s="2"/>
    </row>
    <row r="2563" ht="15.75" customHeight="1">
      <c r="A2563" s="2">
        <f>IFERROR(__xludf.DUMMYFUNCTION("""COMPUTED_VALUE"""),45721.0)</f>
        <v>45721</v>
      </c>
      <c r="B2563" s="2" t="str">
        <f>IFERROR(__xludf.DUMMYFUNCTION("""COMPUTED_VALUE"""),"Previous Lenox/Brookhaven")</f>
        <v>Previous Lenox/Brookhaven</v>
      </c>
      <c r="C2563" s="2"/>
    </row>
    <row r="2564" ht="15.75" customHeight="1">
      <c r="A2564" s="2">
        <f>IFERROR(__xludf.DUMMYFUNCTION("""COMPUTED_VALUE"""),45721.0)</f>
        <v>45721</v>
      </c>
      <c r="B2564" s="2" t="str">
        <f>IFERROR(__xludf.DUMMYFUNCTION("""COMPUTED_VALUE"""),"Previous New Chastain")</f>
        <v>Previous New Chastain</v>
      </c>
      <c r="C2564" s="2"/>
    </row>
    <row r="2565" ht="15.75" customHeight="1">
      <c r="A2565" s="2">
        <f>IFERROR(__xludf.DUMMYFUNCTION("""COMPUTED_VALUE"""),45721.0)</f>
        <v>45721</v>
      </c>
      <c r="B2565" s="2" t="str">
        <f>IFERROR(__xludf.DUMMYFUNCTION("""COMPUTED_VALUE"""),"Previous Glenwood Park")</f>
        <v>Previous Glenwood Park</v>
      </c>
      <c r="C2565" s="2"/>
    </row>
    <row r="2566" ht="15.75" customHeight="1">
      <c r="A2566" s="2">
        <f>IFERROR(__xludf.DUMMYFUNCTION("""COMPUTED_VALUE"""),45721.0)</f>
        <v>45721</v>
      </c>
      <c r="B2566" s="2" t="str">
        <f>IFERROR(__xludf.DUMMYFUNCTION("""COMPUTED_VALUE"""),"FLOWERY BRANCH")</f>
        <v>FLOWERY BRANCH</v>
      </c>
      <c r="C2566" s="2">
        <f>IFERROR(__xludf.DUMMYFUNCTION("""COMPUTED_VALUE"""),351.0)</f>
        <v>351</v>
      </c>
    </row>
    <row r="2567" ht="15.75" customHeight="1">
      <c r="A2567" s="2">
        <f>IFERROR(__xludf.DUMMYFUNCTION("""COMPUTED_VALUE"""),45721.0)</f>
        <v>45721</v>
      </c>
      <c r="B2567" s="2" t="str">
        <f>IFERROR(__xludf.DUMMYFUNCTION("""COMPUTED_VALUE"""),"GROUPS ")</f>
        <v>GROUPS </v>
      </c>
      <c r="C2567" s="2">
        <f>IFERROR(__xludf.DUMMYFUNCTION("""COMPUTED_VALUE"""),4795.0)</f>
        <v>4795</v>
      </c>
    </row>
    <row r="2568" ht="15.75" customHeight="1">
      <c r="A2568" s="2">
        <f>IFERROR(__xludf.DUMMYFUNCTION("""COMPUTED_VALUE"""),45721.0)</f>
        <v>45721</v>
      </c>
      <c r="B2568" s="2" t="str">
        <f>IFERROR(__xludf.DUMMYFUNCTION("""COMPUTED_VALUE"""),"TOTAL")</f>
        <v>TOTAL</v>
      </c>
      <c r="C2568" s="2"/>
    </row>
    <row r="2569" ht="15.75" customHeight="1">
      <c r="A2569" s="2">
        <f>IFERROR(__xludf.DUMMYFUNCTION("""COMPUTED_VALUE"""),45721.0)</f>
        <v>45721</v>
      </c>
      <c r="B2569" s="2" t="str">
        <f>IFERROR(__xludf.DUMMYFUNCTION("""COMPUTED_VALUE"""),"Collective Learning")</f>
        <v>Collective Learning</v>
      </c>
      <c r="C2569" s="2">
        <f>IFERROR(__xludf.DUMMYFUNCTION("""COMPUTED_VALUE"""),50.0)</f>
        <v>50</v>
      </c>
    </row>
    <row r="2570" ht="15.75" customHeight="1">
      <c r="A2570" s="2">
        <f>IFERROR(__xludf.DUMMYFUNCTION("""COMPUTED_VALUE"""),45721.0)</f>
        <v>45721</v>
      </c>
      <c r="B2570" s="2" t="str">
        <f>IFERROR(__xludf.DUMMYFUNCTION("""COMPUTED_VALUE"""),"NOTES")</f>
        <v>NOTES</v>
      </c>
      <c r="C2570" s="2"/>
    </row>
    <row r="2571" ht="15.75" customHeight="1">
      <c r="A2571" s="2">
        <f>IFERROR(__xludf.DUMMYFUNCTION("""COMPUTED_VALUE"""),45728.0)</f>
        <v>45728</v>
      </c>
      <c r="B2571" s="2" t="str">
        <f>IFERROR(__xludf.DUMMYFUNCTION("""COMPUTED_VALUE"""),"# of Sandwiches")</f>
        <v># of Sandwiches</v>
      </c>
      <c r="C2571" s="2">
        <f>IFERROR(__xludf.DUMMYFUNCTION("""COMPUTED_VALUE"""),9874.0)</f>
        <v>9874</v>
      </c>
    </row>
    <row r="2572" ht="15.75" customHeight="1">
      <c r="A2572" s="2">
        <f>IFERROR(__xludf.DUMMYFUNCTION("""COMPUTED_VALUE"""),45728.0)</f>
        <v>45728</v>
      </c>
      <c r="B2572" s="2" t="str">
        <f>IFERROR(__xludf.DUMMYFUNCTION("""COMPUTED_VALUE"""),"ALPHARETTA")</f>
        <v>ALPHARETTA</v>
      </c>
      <c r="C2572" s="2">
        <f>IFERROR(__xludf.DUMMYFUNCTION("""COMPUTED_VALUE"""),1301.0)</f>
        <v>1301</v>
      </c>
    </row>
    <row r="2573" ht="15.75" customHeight="1">
      <c r="A2573" s="2">
        <f>IFERROR(__xludf.DUMMYFUNCTION("""COMPUTED_VALUE"""),45728.0)</f>
        <v>45728</v>
      </c>
      <c r="B2573" s="2" t="str">
        <f>IFERROR(__xludf.DUMMYFUNCTION("""COMPUTED_VALUE"""),"PREVIOUS BUCKHEAD")</f>
        <v>PREVIOUS BUCKHEAD</v>
      </c>
      <c r="C2573" s="2"/>
    </row>
    <row r="2574" ht="15.75" customHeight="1">
      <c r="A2574" s="2">
        <f>IFERROR(__xludf.DUMMYFUNCTION("""COMPUTED_VALUE"""),45728.0)</f>
        <v>45728</v>
      </c>
      <c r="B2574" s="2" t="str">
        <f>IFERROR(__xludf.DUMMYFUNCTION("""COMPUTED_VALUE"""),"PREVIOUS OAK GROVE")</f>
        <v>PREVIOUS OAK GROVE</v>
      </c>
      <c r="C2574" s="2"/>
    </row>
    <row r="2575" ht="15.75" customHeight="1">
      <c r="A2575" s="2">
        <f>IFERROR(__xludf.DUMMYFUNCTION("""COMPUTED_VALUE"""),45728.0)</f>
        <v>45728</v>
      </c>
      <c r="B2575" s="2" t="str">
        <f>IFERROR(__xludf.DUMMYFUNCTION("""COMPUTED_VALUE"""),"DUNWOODY/PTC ")</f>
        <v>DUNWOODY/PTC </v>
      </c>
      <c r="C2575" s="2">
        <f>IFERROR(__xludf.DUMMYFUNCTION("""COMPUTED_VALUE"""),840.0)</f>
        <v>840</v>
      </c>
    </row>
    <row r="2576" ht="15.75" customHeight="1">
      <c r="A2576" s="2">
        <f>IFERROR(__xludf.DUMMYFUNCTION("""COMPUTED_VALUE"""),45728.0)</f>
        <v>45728</v>
      </c>
      <c r="B2576" s="2" t="str">
        <f>IFERROR(__xludf.DUMMYFUNCTION("""COMPUTED_VALUE"""),"E COBB/ROSWELL")</f>
        <v>E COBB/ROSWELL</v>
      </c>
      <c r="C2576" s="2">
        <f>IFERROR(__xludf.DUMMYFUNCTION("""COMPUTED_VALUE"""),1597.0)</f>
        <v>1597</v>
      </c>
    </row>
    <row r="2577" ht="15.75" customHeight="1">
      <c r="A2577" s="2">
        <f>IFERROR(__xludf.DUMMYFUNCTION("""COMPUTED_VALUE"""),45728.0)</f>
        <v>45728</v>
      </c>
      <c r="B2577" s="2" t="str">
        <f>IFERROR(__xludf.DUMMYFUNCTION("""COMPUTED_VALUE"""),"DECATUR")</f>
        <v>DECATUR</v>
      </c>
      <c r="C2577" s="2"/>
    </row>
    <row r="2578" ht="15.75" customHeight="1">
      <c r="A2578" s="2">
        <f>IFERROR(__xludf.DUMMYFUNCTION("""COMPUTED_VALUE"""),45728.0)</f>
        <v>45728</v>
      </c>
      <c r="B2578" s="2" t="str">
        <f>IFERROR(__xludf.DUMMYFUNCTION("""COMPUTED_VALUE"""),"P'TREE CORNERS ")</f>
        <v>P'TREE CORNERS </v>
      </c>
      <c r="C2578" s="2"/>
    </row>
    <row r="2579" ht="15.75" customHeight="1">
      <c r="A2579" s="2">
        <f>IFERROR(__xludf.DUMMYFUNCTION("""COMPUTED_VALUE"""),45728.0)</f>
        <v>45728</v>
      </c>
      <c r="B2579" s="2" t="str">
        <f>IFERROR(__xludf.DUMMYFUNCTION("""COMPUTED_VALUE"""),"UGA/Athens")</f>
        <v>UGA/Athens</v>
      </c>
      <c r="C2579" s="2"/>
    </row>
    <row r="2580" ht="15.75" customHeight="1">
      <c r="A2580" s="2">
        <f>IFERROR(__xludf.DUMMYFUNCTION("""COMPUTED_VALUE"""),45728.0)</f>
        <v>45728</v>
      </c>
      <c r="B2580" s="2" t="str">
        <f>IFERROR(__xludf.DUMMYFUNCTION("""COMPUTED_VALUE"""),"SANDY SPRINGS ")</f>
        <v>SANDY SPRINGS </v>
      </c>
      <c r="C2580" s="2">
        <f>IFERROR(__xludf.DUMMYFUNCTION("""COMPUTED_VALUE"""),485.0)</f>
        <v>485</v>
      </c>
    </row>
    <row r="2581" ht="15.75" customHeight="1">
      <c r="A2581" s="2">
        <f>IFERROR(__xludf.DUMMYFUNCTION("""COMPUTED_VALUE"""),45728.0)</f>
        <v>45728</v>
      </c>
      <c r="B2581" s="2" t="str">
        <f>IFERROR(__xludf.DUMMYFUNCTION("""COMPUTED_VALUE"""),"INTOWN/DRUID HILLS ")</f>
        <v>INTOWN/DRUID HILLS </v>
      </c>
      <c r="C2581" s="2">
        <f>IFERROR(__xludf.DUMMYFUNCTION("""COMPUTED_VALUE"""),796.0)</f>
        <v>796</v>
      </c>
    </row>
    <row r="2582" ht="15.75" customHeight="1">
      <c r="A2582" s="2">
        <f>IFERROR(__xludf.DUMMYFUNCTION("""COMPUTED_VALUE"""),45728.0)</f>
        <v>45728</v>
      </c>
      <c r="B2582" s="2" t="str">
        <f>IFERROR(__xludf.DUMMYFUNCTION("""COMPUTED_VALUE"""),"SNELLVILLE")</f>
        <v>SNELLVILLE</v>
      </c>
      <c r="C2582" s="2"/>
    </row>
    <row r="2583" ht="15.75" customHeight="1">
      <c r="A2583" s="2">
        <f>IFERROR(__xludf.DUMMYFUNCTION("""COMPUTED_VALUE"""),45728.0)</f>
        <v>45728</v>
      </c>
      <c r="B2583" s="2" t="str">
        <f>IFERROR(__xludf.DUMMYFUNCTION("""COMPUTED_VALUE"""),"GROUPS")</f>
        <v>GROUPS</v>
      </c>
      <c r="C2583" s="2"/>
    </row>
    <row r="2584" ht="15.75" customHeight="1">
      <c r="A2584" s="2">
        <f>IFERROR(__xludf.DUMMYFUNCTION("""COMPUTED_VALUE"""),45728.0)</f>
        <v>45728</v>
      </c>
      <c r="B2584" s="2" t="str">
        <f>IFERROR(__xludf.DUMMYFUNCTION("""COMPUTED_VALUE"""),"Previous Woodstock")</f>
        <v>Previous Woodstock</v>
      </c>
      <c r="C2584" s="2"/>
    </row>
    <row r="2585" ht="15.75" customHeight="1">
      <c r="A2585" s="2">
        <f>IFERROR(__xludf.DUMMYFUNCTION("""COMPUTED_VALUE"""),45728.0)</f>
        <v>45728</v>
      </c>
      <c r="B2585" s="2" t="str">
        <f>IFERROR(__xludf.DUMMYFUNCTION("""COMPUTED_VALUE"""),"Previous Lenox/Brookhaven")</f>
        <v>Previous Lenox/Brookhaven</v>
      </c>
      <c r="C2585" s="2"/>
    </row>
    <row r="2586" ht="15.75" customHeight="1">
      <c r="A2586" s="2">
        <f>IFERROR(__xludf.DUMMYFUNCTION("""COMPUTED_VALUE"""),45728.0)</f>
        <v>45728</v>
      </c>
      <c r="B2586" s="2" t="str">
        <f>IFERROR(__xludf.DUMMYFUNCTION("""COMPUTED_VALUE"""),"Previous New Chastain")</f>
        <v>Previous New Chastain</v>
      </c>
      <c r="C2586" s="2"/>
    </row>
    <row r="2587" ht="15.75" customHeight="1">
      <c r="A2587" s="2">
        <f>IFERROR(__xludf.DUMMYFUNCTION("""COMPUTED_VALUE"""),45728.0)</f>
        <v>45728</v>
      </c>
      <c r="B2587" s="2" t="str">
        <f>IFERROR(__xludf.DUMMYFUNCTION("""COMPUTED_VALUE"""),"Previous Glenwood Park")</f>
        <v>Previous Glenwood Park</v>
      </c>
      <c r="C2587" s="2"/>
    </row>
    <row r="2588" ht="15.75" customHeight="1">
      <c r="A2588" s="2">
        <f>IFERROR(__xludf.DUMMYFUNCTION("""COMPUTED_VALUE"""),45728.0)</f>
        <v>45728</v>
      </c>
      <c r="B2588" s="2" t="str">
        <f>IFERROR(__xludf.DUMMYFUNCTION("""COMPUTED_VALUE"""),"FLOWERY BRANCH")</f>
        <v>FLOWERY BRANCH</v>
      </c>
      <c r="C2588" s="2">
        <f>IFERROR(__xludf.DUMMYFUNCTION("""COMPUTED_VALUE"""),275.0)</f>
        <v>275</v>
      </c>
    </row>
    <row r="2589" ht="15.75" customHeight="1">
      <c r="A2589" s="2">
        <f>IFERROR(__xludf.DUMMYFUNCTION("""COMPUTED_VALUE"""),45728.0)</f>
        <v>45728</v>
      </c>
      <c r="B2589" s="2" t="str">
        <f>IFERROR(__xludf.DUMMYFUNCTION("""COMPUTED_VALUE"""),"GROUPS ")</f>
        <v>GROUPS </v>
      </c>
      <c r="C2589" s="2">
        <f>IFERROR(__xludf.DUMMYFUNCTION("""COMPUTED_VALUE"""),4780.0)</f>
        <v>4780</v>
      </c>
    </row>
    <row r="2590" ht="15.75" customHeight="1">
      <c r="A2590" s="2">
        <f>IFERROR(__xludf.DUMMYFUNCTION("""COMPUTED_VALUE"""),45728.0)</f>
        <v>45728</v>
      </c>
      <c r="B2590" s="2" t="str">
        <f>IFERROR(__xludf.DUMMYFUNCTION("""COMPUTED_VALUE"""),"TOTAL")</f>
        <v>TOTAL</v>
      </c>
      <c r="C2590" s="2"/>
    </row>
    <row r="2591" ht="15.75" customHeight="1">
      <c r="A2591" s="2">
        <f>IFERROR(__xludf.DUMMYFUNCTION("""COMPUTED_VALUE"""),45728.0)</f>
        <v>45728</v>
      </c>
      <c r="B2591" s="2" t="str">
        <f>IFERROR(__xludf.DUMMYFUNCTION("""COMPUTED_VALUE"""),"Collective Learning")</f>
        <v>Collective Learning</v>
      </c>
      <c r="C2591" s="2">
        <f>IFERROR(__xludf.DUMMYFUNCTION("""COMPUTED_VALUE"""),50.0)</f>
        <v>50</v>
      </c>
    </row>
    <row r="2592" ht="15.75" customHeight="1">
      <c r="A2592" s="2">
        <f>IFERROR(__xludf.DUMMYFUNCTION("""COMPUTED_VALUE"""),45728.0)</f>
        <v>45728</v>
      </c>
      <c r="B2592" s="2" t="str">
        <f>IFERROR(__xludf.DUMMYFUNCTION("""COMPUTED_VALUE"""),"NOTES")</f>
        <v>NOTES</v>
      </c>
      <c r="C2592" s="2"/>
    </row>
    <row r="2593" ht="15.75" customHeight="1">
      <c r="A2593" s="2">
        <f>IFERROR(__xludf.DUMMYFUNCTION("""COMPUTED_VALUE"""),45735.0)</f>
        <v>45735</v>
      </c>
      <c r="B2593" s="2" t="str">
        <f>IFERROR(__xludf.DUMMYFUNCTION("""COMPUTED_VALUE"""),"# of Sandwiches")</f>
        <v># of Sandwiches</v>
      </c>
      <c r="C2593" s="2">
        <f>IFERROR(__xludf.DUMMYFUNCTION("""COMPUTED_VALUE"""),7974.0)</f>
        <v>7974</v>
      </c>
    </row>
    <row r="2594" ht="15.75" customHeight="1">
      <c r="A2594" s="2">
        <f>IFERROR(__xludf.DUMMYFUNCTION("""COMPUTED_VALUE"""),45735.0)</f>
        <v>45735</v>
      </c>
      <c r="B2594" s="2" t="str">
        <f>IFERROR(__xludf.DUMMYFUNCTION("""COMPUTED_VALUE"""),"ALPHARETTA")</f>
        <v>ALPHARETTA</v>
      </c>
      <c r="C2594" s="2">
        <f>IFERROR(__xludf.DUMMYFUNCTION("""COMPUTED_VALUE"""),1106.0)</f>
        <v>1106</v>
      </c>
    </row>
    <row r="2595" ht="15.75" customHeight="1">
      <c r="A2595" s="2">
        <f>IFERROR(__xludf.DUMMYFUNCTION("""COMPUTED_VALUE"""),45735.0)</f>
        <v>45735</v>
      </c>
      <c r="B2595" s="2" t="str">
        <f>IFERROR(__xludf.DUMMYFUNCTION("""COMPUTED_VALUE"""),"PREVIOUS BUCKHEAD")</f>
        <v>PREVIOUS BUCKHEAD</v>
      </c>
      <c r="C2595" s="2"/>
    </row>
    <row r="2596" ht="15.75" customHeight="1">
      <c r="A2596" s="2">
        <f>IFERROR(__xludf.DUMMYFUNCTION("""COMPUTED_VALUE"""),45735.0)</f>
        <v>45735</v>
      </c>
      <c r="B2596" s="2" t="str">
        <f>IFERROR(__xludf.DUMMYFUNCTION("""COMPUTED_VALUE"""),"PREVIOUS OAK GROVE")</f>
        <v>PREVIOUS OAK GROVE</v>
      </c>
      <c r="C2596" s="2"/>
    </row>
    <row r="2597" ht="15.75" customHeight="1">
      <c r="A2597" s="2">
        <f>IFERROR(__xludf.DUMMYFUNCTION("""COMPUTED_VALUE"""),45735.0)</f>
        <v>45735</v>
      </c>
      <c r="B2597" s="2" t="str">
        <f>IFERROR(__xludf.DUMMYFUNCTION("""COMPUTED_VALUE"""),"DUNWOODY/PTC ")</f>
        <v>DUNWOODY/PTC </v>
      </c>
      <c r="C2597" s="2">
        <f>IFERROR(__xludf.DUMMYFUNCTION("""COMPUTED_VALUE"""),1097.0)</f>
        <v>1097</v>
      </c>
    </row>
    <row r="2598" ht="15.75" customHeight="1">
      <c r="A2598" s="2">
        <f>IFERROR(__xludf.DUMMYFUNCTION("""COMPUTED_VALUE"""),45735.0)</f>
        <v>45735</v>
      </c>
      <c r="B2598" s="2" t="str">
        <f>IFERROR(__xludf.DUMMYFUNCTION("""COMPUTED_VALUE"""),"E COBB/ROSWELL")</f>
        <v>E COBB/ROSWELL</v>
      </c>
      <c r="C2598" s="2">
        <f>IFERROR(__xludf.DUMMYFUNCTION("""COMPUTED_VALUE"""),1270.0)</f>
        <v>1270</v>
      </c>
    </row>
    <row r="2599" ht="15.75" customHeight="1">
      <c r="A2599" s="2">
        <f>IFERROR(__xludf.DUMMYFUNCTION("""COMPUTED_VALUE"""),45735.0)</f>
        <v>45735</v>
      </c>
      <c r="B2599" s="2" t="str">
        <f>IFERROR(__xludf.DUMMYFUNCTION("""COMPUTED_VALUE"""),"DECATUR")</f>
        <v>DECATUR</v>
      </c>
      <c r="C2599" s="2"/>
    </row>
    <row r="2600" ht="15.75" customHeight="1">
      <c r="A2600" s="2">
        <f>IFERROR(__xludf.DUMMYFUNCTION("""COMPUTED_VALUE"""),45735.0)</f>
        <v>45735</v>
      </c>
      <c r="B2600" s="2" t="str">
        <f>IFERROR(__xludf.DUMMYFUNCTION("""COMPUTED_VALUE"""),"P'TREE CORNERS ")</f>
        <v>P'TREE CORNERS </v>
      </c>
      <c r="C2600" s="2"/>
    </row>
    <row r="2601" ht="15.75" customHeight="1">
      <c r="A2601" s="2">
        <f>IFERROR(__xludf.DUMMYFUNCTION("""COMPUTED_VALUE"""),45735.0)</f>
        <v>45735</v>
      </c>
      <c r="B2601" s="2" t="str">
        <f>IFERROR(__xludf.DUMMYFUNCTION("""COMPUTED_VALUE"""),"UGA/Athens")</f>
        <v>UGA/Athens</v>
      </c>
      <c r="C2601" s="2"/>
    </row>
    <row r="2602" ht="15.75" customHeight="1">
      <c r="A2602" s="2">
        <f>IFERROR(__xludf.DUMMYFUNCTION("""COMPUTED_VALUE"""),45735.0)</f>
        <v>45735</v>
      </c>
      <c r="B2602" s="2" t="str">
        <f>IFERROR(__xludf.DUMMYFUNCTION("""COMPUTED_VALUE"""),"SANDY SPRINGS ")</f>
        <v>SANDY SPRINGS </v>
      </c>
      <c r="C2602" s="2">
        <f>IFERROR(__xludf.DUMMYFUNCTION("""COMPUTED_VALUE"""),601.0)</f>
        <v>601</v>
      </c>
    </row>
    <row r="2603" ht="15.75" customHeight="1">
      <c r="A2603" s="2">
        <f>IFERROR(__xludf.DUMMYFUNCTION("""COMPUTED_VALUE"""),45735.0)</f>
        <v>45735</v>
      </c>
      <c r="B2603" s="2" t="str">
        <f>IFERROR(__xludf.DUMMYFUNCTION("""COMPUTED_VALUE"""),"INTOWN/DRUID HILLS ")</f>
        <v>INTOWN/DRUID HILLS </v>
      </c>
      <c r="C2603" s="2">
        <f>IFERROR(__xludf.DUMMYFUNCTION("""COMPUTED_VALUE"""),882.0)</f>
        <v>882</v>
      </c>
    </row>
    <row r="2604" ht="15.75" customHeight="1">
      <c r="A2604" s="2">
        <f>IFERROR(__xludf.DUMMYFUNCTION("""COMPUTED_VALUE"""),45735.0)</f>
        <v>45735</v>
      </c>
      <c r="B2604" s="2" t="str">
        <f>IFERROR(__xludf.DUMMYFUNCTION("""COMPUTED_VALUE"""),"SNELLVILLE")</f>
        <v>SNELLVILLE</v>
      </c>
      <c r="C2604" s="2"/>
    </row>
    <row r="2605" ht="15.75" customHeight="1">
      <c r="A2605" s="2">
        <f>IFERROR(__xludf.DUMMYFUNCTION("""COMPUTED_VALUE"""),45735.0)</f>
        <v>45735</v>
      </c>
      <c r="B2605" s="2" t="str">
        <f>IFERROR(__xludf.DUMMYFUNCTION("""COMPUTED_VALUE"""),"GROUPS")</f>
        <v>GROUPS</v>
      </c>
      <c r="C2605" s="2"/>
    </row>
    <row r="2606" ht="15.75" customHeight="1">
      <c r="A2606" s="2">
        <f>IFERROR(__xludf.DUMMYFUNCTION("""COMPUTED_VALUE"""),45735.0)</f>
        <v>45735</v>
      </c>
      <c r="B2606" s="2" t="str">
        <f>IFERROR(__xludf.DUMMYFUNCTION("""COMPUTED_VALUE"""),"Previous Woodstock")</f>
        <v>Previous Woodstock</v>
      </c>
      <c r="C2606" s="2"/>
    </row>
    <row r="2607" ht="15.75" customHeight="1">
      <c r="A2607" s="2">
        <f>IFERROR(__xludf.DUMMYFUNCTION("""COMPUTED_VALUE"""),45735.0)</f>
        <v>45735</v>
      </c>
      <c r="B2607" s="2" t="str">
        <f>IFERROR(__xludf.DUMMYFUNCTION("""COMPUTED_VALUE"""),"Previous Lenox/Brookhaven")</f>
        <v>Previous Lenox/Brookhaven</v>
      </c>
      <c r="C2607" s="2"/>
    </row>
    <row r="2608" ht="15.75" customHeight="1">
      <c r="A2608" s="2">
        <f>IFERROR(__xludf.DUMMYFUNCTION("""COMPUTED_VALUE"""),45735.0)</f>
        <v>45735</v>
      </c>
      <c r="B2608" s="2" t="str">
        <f>IFERROR(__xludf.DUMMYFUNCTION("""COMPUTED_VALUE"""),"Previous New Chastain")</f>
        <v>Previous New Chastain</v>
      </c>
      <c r="C2608" s="2"/>
    </row>
    <row r="2609" ht="15.75" customHeight="1">
      <c r="A2609" s="2">
        <f>IFERROR(__xludf.DUMMYFUNCTION("""COMPUTED_VALUE"""),45735.0)</f>
        <v>45735</v>
      </c>
      <c r="B2609" s="2" t="str">
        <f>IFERROR(__xludf.DUMMYFUNCTION("""COMPUTED_VALUE"""),"Previous Glenwood Park")</f>
        <v>Previous Glenwood Park</v>
      </c>
      <c r="C2609" s="2"/>
    </row>
    <row r="2610" ht="15.75" customHeight="1">
      <c r="A2610" s="2">
        <f>IFERROR(__xludf.DUMMYFUNCTION("""COMPUTED_VALUE"""),45735.0)</f>
        <v>45735</v>
      </c>
      <c r="B2610" s="2" t="str">
        <f>IFERROR(__xludf.DUMMYFUNCTION("""COMPUTED_VALUE"""),"FLOWERY BRANCH")</f>
        <v>FLOWERY BRANCH</v>
      </c>
      <c r="C2610" s="2">
        <f>IFERROR(__xludf.DUMMYFUNCTION("""COMPUTED_VALUE"""),400.0)</f>
        <v>400</v>
      </c>
    </row>
    <row r="2611" ht="15.75" customHeight="1">
      <c r="A2611" s="2">
        <f>IFERROR(__xludf.DUMMYFUNCTION("""COMPUTED_VALUE"""),45735.0)</f>
        <v>45735</v>
      </c>
      <c r="B2611" s="2" t="str">
        <f>IFERROR(__xludf.DUMMYFUNCTION("""COMPUTED_VALUE"""),"GROUPS ")</f>
        <v>GROUPS </v>
      </c>
      <c r="C2611" s="2">
        <f>IFERROR(__xludf.DUMMYFUNCTION("""COMPUTED_VALUE"""),2618.0)</f>
        <v>2618</v>
      </c>
    </row>
    <row r="2612" ht="15.75" customHeight="1">
      <c r="A2612" s="2">
        <f>IFERROR(__xludf.DUMMYFUNCTION("""COMPUTED_VALUE"""),45735.0)</f>
        <v>45735</v>
      </c>
      <c r="B2612" s="2" t="str">
        <f>IFERROR(__xludf.DUMMYFUNCTION("""COMPUTED_VALUE"""),"TOTAL")</f>
        <v>TOTAL</v>
      </c>
      <c r="C2612" s="2"/>
    </row>
    <row r="2613" ht="15.75" customHeight="1">
      <c r="A2613" s="2">
        <f>IFERROR(__xludf.DUMMYFUNCTION("""COMPUTED_VALUE"""),45735.0)</f>
        <v>45735</v>
      </c>
      <c r="B2613" s="2" t="str">
        <f>IFERROR(__xludf.DUMMYFUNCTION("""COMPUTED_VALUE"""),"Collective Learning")</f>
        <v>Collective Learning</v>
      </c>
      <c r="C2613" s="2">
        <f>IFERROR(__xludf.DUMMYFUNCTION("""COMPUTED_VALUE"""),50.0)</f>
        <v>50</v>
      </c>
    </row>
    <row r="2614" ht="15.75" customHeight="1">
      <c r="A2614" s="2">
        <f>IFERROR(__xludf.DUMMYFUNCTION("""COMPUTED_VALUE"""),45735.0)</f>
        <v>45735</v>
      </c>
      <c r="B2614" s="2" t="str">
        <f>IFERROR(__xludf.DUMMYFUNCTION("""COMPUTED_VALUE"""),"NOTES")</f>
        <v>NOTES</v>
      </c>
      <c r="C2614" s="2"/>
    </row>
    <row r="2615" ht="15.75" customHeight="1">
      <c r="A2615" s="2">
        <f>IFERROR(__xludf.DUMMYFUNCTION("""COMPUTED_VALUE"""),45743.0)</f>
        <v>45743</v>
      </c>
      <c r="B2615" s="2" t="str">
        <f>IFERROR(__xludf.DUMMYFUNCTION("""COMPUTED_VALUE"""),"# of Sandwiches")</f>
        <v># of Sandwiches</v>
      </c>
      <c r="C2615" s="2">
        <f>IFERROR(__xludf.DUMMYFUNCTION("""COMPUTED_VALUE"""),7297.0)</f>
        <v>7297</v>
      </c>
    </row>
    <row r="2616" ht="15.75" customHeight="1">
      <c r="A2616" s="2">
        <f>IFERROR(__xludf.DUMMYFUNCTION("""COMPUTED_VALUE"""),45743.0)</f>
        <v>45743</v>
      </c>
      <c r="B2616" s="2" t="str">
        <f>IFERROR(__xludf.DUMMYFUNCTION("""COMPUTED_VALUE"""),"ALPHARETTA")</f>
        <v>ALPHARETTA</v>
      </c>
      <c r="C2616" s="2">
        <f>IFERROR(__xludf.DUMMYFUNCTION("""COMPUTED_VALUE"""),1100.0)</f>
        <v>1100</v>
      </c>
    </row>
    <row r="2617" ht="15.75" customHeight="1">
      <c r="A2617" s="2">
        <f>IFERROR(__xludf.DUMMYFUNCTION("""COMPUTED_VALUE"""),45743.0)</f>
        <v>45743</v>
      </c>
      <c r="B2617" s="2" t="str">
        <f>IFERROR(__xludf.DUMMYFUNCTION("""COMPUTED_VALUE"""),"PREVIOUS BUCKHEAD")</f>
        <v>PREVIOUS BUCKHEAD</v>
      </c>
      <c r="C2617" s="2"/>
    </row>
    <row r="2618" ht="15.75" customHeight="1">
      <c r="A2618" s="2">
        <f>IFERROR(__xludf.DUMMYFUNCTION("""COMPUTED_VALUE"""),45743.0)</f>
        <v>45743</v>
      </c>
      <c r="B2618" s="2" t="str">
        <f>IFERROR(__xludf.DUMMYFUNCTION("""COMPUTED_VALUE"""),"PREVIOUS OAK GROVE")</f>
        <v>PREVIOUS OAK GROVE</v>
      </c>
      <c r="C2618" s="2"/>
    </row>
    <row r="2619" ht="15.75" customHeight="1">
      <c r="A2619" s="2">
        <f>IFERROR(__xludf.DUMMYFUNCTION("""COMPUTED_VALUE"""),45743.0)</f>
        <v>45743</v>
      </c>
      <c r="B2619" s="2" t="str">
        <f>IFERROR(__xludf.DUMMYFUNCTION("""COMPUTED_VALUE"""),"DUNWOODY/PTC ")</f>
        <v>DUNWOODY/PTC </v>
      </c>
      <c r="C2619" s="2">
        <f>IFERROR(__xludf.DUMMYFUNCTION("""COMPUTED_VALUE"""),1503.0)</f>
        <v>1503</v>
      </c>
    </row>
    <row r="2620" ht="15.75" customHeight="1">
      <c r="A2620" s="2">
        <f>IFERROR(__xludf.DUMMYFUNCTION("""COMPUTED_VALUE"""),45743.0)</f>
        <v>45743</v>
      </c>
      <c r="B2620" s="2" t="str">
        <f>IFERROR(__xludf.DUMMYFUNCTION("""COMPUTED_VALUE"""),"E COBB/ROSWELL")</f>
        <v>E COBB/ROSWELL</v>
      </c>
      <c r="C2620" s="2">
        <f>IFERROR(__xludf.DUMMYFUNCTION("""COMPUTED_VALUE"""),907.0)</f>
        <v>907</v>
      </c>
    </row>
    <row r="2621" ht="15.75" customHeight="1">
      <c r="A2621" s="2">
        <f>IFERROR(__xludf.DUMMYFUNCTION("""COMPUTED_VALUE"""),45743.0)</f>
        <v>45743</v>
      </c>
      <c r="B2621" s="2" t="str">
        <f>IFERROR(__xludf.DUMMYFUNCTION("""COMPUTED_VALUE"""),"DECATUR")</f>
        <v>DECATUR</v>
      </c>
      <c r="C2621" s="2"/>
    </row>
    <row r="2622" ht="15.75" customHeight="1">
      <c r="A2622" s="2">
        <f>IFERROR(__xludf.DUMMYFUNCTION("""COMPUTED_VALUE"""),45743.0)</f>
        <v>45743</v>
      </c>
      <c r="B2622" s="2" t="str">
        <f>IFERROR(__xludf.DUMMYFUNCTION("""COMPUTED_VALUE"""),"P'TREE CORNERS ")</f>
        <v>P'TREE CORNERS </v>
      </c>
      <c r="C2622" s="2"/>
    </row>
    <row r="2623" ht="15.75" customHeight="1">
      <c r="A2623" s="2">
        <f>IFERROR(__xludf.DUMMYFUNCTION("""COMPUTED_VALUE"""),45743.0)</f>
        <v>45743</v>
      </c>
      <c r="B2623" s="2" t="str">
        <f>IFERROR(__xludf.DUMMYFUNCTION("""COMPUTED_VALUE"""),"UGA/Athens")</f>
        <v>UGA/Athens</v>
      </c>
      <c r="C2623" s="2"/>
    </row>
    <row r="2624" ht="15.75" customHeight="1">
      <c r="A2624" s="2">
        <f>IFERROR(__xludf.DUMMYFUNCTION("""COMPUTED_VALUE"""),45743.0)</f>
        <v>45743</v>
      </c>
      <c r="B2624" s="2" t="str">
        <f>IFERROR(__xludf.DUMMYFUNCTION("""COMPUTED_VALUE"""),"SANDY SPRINGS ")</f>
        <v>SANDY SPRINGS </v>
      </c>
      <c r="C2624" s="2">
        <f>IFERROR(__xludf.DUMMYFUNCTION("""COMPUTED_VALUE"""),649.0)</f>
        <v>649</v>
      </c>
    </row>
    <row r="2625" ht="15.75" customHeight="1">
      <c r="A2625" s="2">
        <f>IFERROR(__xludf.DUMMYFUNCTION("""COMPUTED_VALUE"""),45743.0)</f>
        <v>45743</v>
      </c>
      <c r="B2625" s="2" t="str">
        <f>IFERROR(__xludf.DUMMYFUNCTION("""COMPUTED_VALUE"""),"INTOWN/DRUID HILLS ")</f>
        <v>INTOWN/DRUID HILLS </v>
      </c>
      <c r="C2625" s="2">
        <f>IFERROR(__xludf.DUMMYFUNCTION("""COMPUTED_VALUE"""),884.0)</f>
        <v>884</v>
      </c>
    </row>
    <row r="2626" ht="15.75" customHeight="1">
      <c r="A2626" s="2">
        <f>IFERROR(__xludf.DUMMYFUNCTION("""COMPUTED_VALUE"""),45743.0)</f>
        <v>45743</v>
      </c>
      <c r="B2626" s="2" t="str">
        <f>IFERROR(__xludf.DUMMYFUNCTION("""COMPUTED_VALUE"""),"SNELLVILLE")</f>
        <v>SNELLVILLE</v>
      </c>
      <c r="C2626" s="2"/>
    </row>
    <row r="2627" ht="15.75" customHeight="1">
      <c r="A2627" s="2">
        <f>IFERROR(__xludf.DUMMYFUNCTION("""COMPUTED_VALUE"""),45743.0)</f>
        <v>45743</v>
      </c>
      <c r="B2627" s="2" t="str">
        <f>IFERROR(__xludf.DUMMYFUNCTION("""COMPUTED_VALUE"""),"GROUPS")</f>
        <v>GROUPS</v>
      </c>
      <c r="C2627" s="2"/>
    </row>
    <row r="2628" ht="15.75" customHeight="1">
      <c r="A2628" s="2">
        <f>IFERROR(__xludf.DUMMYFUNCTION("""COMPUTED_VALUE"""),45743.0)</f>
        <v>45743</v>
      </c>
      <c r="B2628" s="2" t="str">
        <f>IFERROR(__xludf.DUMMYFUNCTION("""COMPUTED_VALUE"""),"Previous Woodstock")</f>
        <v>Previous Woodstock</v>
      </c>
      <c r="C2628" s="2"/>
    </row>
    <row r="2629" ht="15.75" customHeight="1">
      <c r="A2629" s="2">
        <f>IFERROR(__xludf.DUMMYFUNCTION("""COMPUTED_VALUE"""),45743.0)</f>
        <v>45743</v>
      </c>
      <c r="B2629" s="2" t="str">
        <f>IFERROR(__xludf.DUMMYFUNCTION("""COMPUTED_VALUE"""),"Previous Lenox/Brookhaven")</f>
        <v>Previous Lenox/Brookhaven</v>
      </c>
      <c r="C2629" s="2"/>
    </row>
    <row r="2630" ht="15.75" customHeight="1">
      <c r="A2630" s="2">
        <f>IFERROR(__xludf.DUMMYFUNCTION("""COMPUTED_VALUE"""),45743.0)</f>
        <v>45743</v>
      </c>
      <c r="B2630" s="2" t="str">
        <f>IFERROR(__xludf.DUMMYFUNCTION("""COMPUTED_VALUE"""),"Previous New Chastain")</f>
        <v>Previous New Chastain</v>
      </c>
      <c r="C2630" s="2"/>
    </row>
    <row r="2631" ht="15.75" customHeight="1">
      <c r="A2631" s="2">
        <f>IFERROR(__xludf.DUMMYFUNCTION("""COMPUTED_VALUE"""),45743.0)</f>
        <v>45743</v>
      </c>
      <c r="B2631" s="2" t="str">
        <f>IFERROR(__xludf.DUMMYFUNCTION("""COMPUTED_VALUE"""),"Previous Glenwood Park")</f>
        <v>Previous Glenwood Park</v>
      </c>
      <c r="C2631" s="2"/>
    </row>
    <row r="2632" ht="15.75" customHeight="1">
      <c r="A2632" s="2">
        <f>IFERROR(__xludf.DUMMYFUNCTION("""COMPUTED_VALUE"""),45743.0)</f>
        <v>45743</v>
      </c>
      <c r="B2632" s="2" t="str">
        <f>IFERROR(__xludf.DUMMYFUNCTION("""COMPUTED_VALUE"""),"FLOWERY BRANCH")</f>
        <v>FLOWERY BRANCH</v>
      </c>
      <c r="C2632" s="2">
        <f>IFERROR(__xludf.DUMMYFUNCTION("""COMPUTED_VALUE"""),256.0)</f>
        <v>256</v>
      </c>
    </row>
    <row r="2633" ht="15.75" customHeight="1">
      <c r="A2633" s="2">
        <f>IFERROR(__xludf.DUMMYFUNCTION("""COMPUTED_VALUE"""),45743.0)</f>
        <v>45743</v>
      </c>
      <c r="B2633" s="2" t="str">
        <f>IFERROR(__xludf.DUMMYFUNCTION("""COMPUTED_VALUE"""),"GROUPS ")</f>
        <v>GROUPS </v>
      </c>
      <c r="C2633" s="2">
        <f>IFERROR(__xludf.DUMMYFUNCTION("""COMPUTED_VALUE"""),3278.0)</f>
        <v>3278</v>
      </c>
    </row>
    <row r="2634" ht="15.75" customHeight="1">
      <c r="A2634" s="2">
        <f>IFERROR(__xludf.DUMMYFUNCTION("""COMPUTED_VALUE"""),45743.0)</f>
        <v>45743</v>
      </c>
      <c r="B2634" s="2" t="str">
        <f>IFERROR(__xludf.DUMMYFUNCTION("""COMPUTED_VALUE"""),"TOTAL")</f>
        <v>TOTAL</v>
      </c>
      <c r="C2634" s="2"/>
    </row>
    <row r="2635" ht="15.75" customHeight="1">
      <c r="A2635" s="2">
        <f>IFERROR(__xludf.DUMMYFUNCTION("""COMPUTED_VALUE"""),45743.0)</f>
        <v>45743</v>
      </c>
      <c r="B2635" s="2" t="str">
        <f>IFERROR(__xludf.DUMMYFUNCTION("""COMPUTED_VALUE"""),"Collective Learning")</f>
        <v>Collective Learning</v>
      </c>
      <c r="C2635" s="2">
        <f>IFERROR(__xludf.DUMMYFUNCTION("""COMPUTED_VALUE"""),50.0)</f>
        <v>50</v>
      </c>
    </row>
    <row r="2636" ht="15.75" customHeight="1">
      <c r="A2636" s="2">
        <f>IFERROR(__xludf.DUMMYFUNCTION("""COMPUTED_VALUE"""),45743.0)</f>
        <v>45743</v>
      </c>
      <c r="B2636" s="2" t="str">
        <f>IFERROR(__xludf.DUMMYFUNCTION("""COMPUTED_VALUE"""),"NOTES")</f>
        <v>NOTES</v>
      </c>
      <c r="C2636" s="2"/>
    </row>
    <row r="2637" ht="15.75" customHeight="1">
      <c r="A2637" s="2">
        <f>IFERROR(__xludf.DUMMYFUNCTION("""COMPUTED_VALUE"""),45749.0)</f>
        <v>45749</v>
      </c>
      <c r="B2637" s="2" t="str">
        <f>IFERROR(__xludf.DUMMYFUNCTION("""COMPUTED_VALUE"""),"# of Sandwiches")</f>
        <v># of Sandwiches</v>
      </c>
      <c r="C2637" s="2">
        <f>IFERROR(__xludf.DUMMYFUNCTION("""COMPUTED_VALUE"""),12057.0)</f>
        <v>12057</v>
      </c>
    </row>
    <row r="2638" ht="15.75" customHeight="1">
      <c r="A2638" s="2">
        <f>IFERROR(__xludf.DUMMYFUNCTION("""COMPUTED_VALUE"""),45749.0)</f>
        <v>45749</v>
      </c>
      <c r="B2638" s="2" t="str">
        <f>IFERROR(__xludf.DUMMYFUNCTION("""COMPUTED_VALUE"""),"ALPHARETTA")</f>
        <v>ALPHARETTA</v>
      </c>
      <c r="C2638" s="2">
        <f>IFERROR(__xludf.DUMMYFUNCTION("""COMPUTED_VALUE"""),850.0)</f>
        <v>850</v>
      </c>
    </row>
    <row r="2639" ht="15.75" customHeight="1">
      <c r="A2639" s="2">
        <f>IFERROR(__xludf.DUMMYFUNCTION("""COMPUTED_VALUE"""),45749.0)</f>
        <v>45749</v>
      </c>
      <c r="B2639" s="2" t="str">
        <f>IFERROR(__xludf.DUMMYFUNCTION("""COMPUTED_VALUE"""),"PREVIOUS BUCKHEAD")</f>
        <v>PREVIOUS BUCKHEAD</v>
      </c>
      <c r="C2639" s="2"/>
    </row>
    <row r="2640" ht="15.75" customHeight="1">
      <c r="A2640" s="2">
        <f>IFERROR(__xludf.DUMMYFUNCTION("""COMPUTED_VALUE"""),45749.0)</f>
        <v>45749</v>
      </c>
      <c r="B2640" s="2" t="str">
        <f>IFERROR(__xludf.DUMMYFUNCTION("""COMPUTED_VALUE"""),"PREVIOUS OAK GROVE")</f>
        <v>PREVIOUS OAK GROVE</v>
      </c>
      <c r="C2640" s="2"/>
    </row>
    <row r="2641" ht="15.75" customHeight="1">
      <c r="A2641" s="2">
        <f>IFERROR(__xludf.DUMMYFUNCTION("""COMPUTED_VALUE"""),45749.0)</f>
        <v>45749</v>
      </c>
      <c r="B2641" s="2" t="str">
        <f>IFERROR(__xludf.DUMMYFUNCTION("""COMPUTED_VALUE"""),"DUNWOODY/PTC ")</f>
        <v>DUNWOODY/PTC </v>
      </c>
      <c r="C2641" s="2">
        <f>IFERROR(__xludf.DUMMYFUNCTION("""COMPUTED_VALUE"""),2053.0)</f>
        <v>2053</v>
      </c>
    </row>
    <row r="2642" ht="15.75" customHeight="1">
      <c r="A2642" s="2">
        <f>IFERROR(__xludf.DUMMYFUNCTION("""COMPUTED_VALUE"""),45749.0)</f>
        <v>45749</v>
      </c>
      <c r="B2642" s="2" t="str">
        <f>IFERROR(__xludf.DUMMYFUNCTION("""COMPUTED_VALUE"""),"E COBB/ROSWELL")</f>
        <v>E COBB/ROSWELL</v>
      </c>
      <c r="C2642" s="2">
        <f>IFERROR(__xludf.DUMMYFUNCTION("""COMPUTED_VALUE"""),878.0)</f>
        <v>878</v>
      </c>
    </row>
    <row r="2643" ht="15.75" customHeight="1">
      <c r="A2643" s="2">
        <f>IFERROR(__xludf.DUMMYFUNCTION("""COMPUTED_VALUE"""),45749.0)</f>
        <v>45749</v>
      </c>
      <c r="B2643" s="2" t="str">
        <f>IFERROR(__xludf.DUMMYFUNCTION("""COMPUTED_VALUE"""),"DECATUR")</f>
        <v>DECATUR</v>
      </c>
      <c r="C2643" s="2"/>
    </row>
    <row r="2644" ht="15.75" customHeight="1">
      <c r="A2644" s="2">
        <f>IFERROR(__xludf.DUMMYFUNCTION("""COMPUTED_VALUE"""),45749.0)</f>
        <v>45749</v>
      </c>
      <c r="B2644" s="2" t="str">
        <f>IFERROR(__xludf.DUMMYFUNCTION("""COMPUTED_VALUE"""),"P'TREE CORNERS ")</f>
        <v>P'TREE CORNERS </v>
      </c>
      <c r="C2644" s="2"/>
    </row>
    <row r="2645" ht="15.75" customHeight="1">
      <c r="A2645" s="2">
        <f>IFERROR(__xludf.DUMMYFUNCTION("""COMPUTED_VALUE"""),45749.0)</f>
        <v>45749</v>
      </c>
      <c r="B2645" s="2" t="str">
        <f>IFERROR(__xludf.DUMMYFUNCTION("""COMPUTED_VALUE"""),"UGA/Athens")</f>
        <v>UGA/Athens</v>
      </c>
      <c r="C2645" s="2"/>
    </row>
    <row r="2646" ht="15.75" customHeight="1">
      <c r="A2646" s="2">
        <f>IFERROR(__xludf.DUMMYFUNCTION("""COMPUTED_VALUE"""),45749.0)</f>
        <v>45749</v>
      </c>
      <c r="B2646" s="2" t="str">
        <f>IFERROR(__xludf.DUMMYFUNCTION("""COMPUTED_VALUE"""),"SANDY SPRINGS ")</f>
        <v>SANDY SPRINGS </v>
      </c>
      <c r="C2646" s="2">
        <f>IFERROR(__xludf.DUMMYFUNCTION("""COMPUTED_VALUE"""),839.0)</f>
        <v>839</v>
      </c>
    </row>
    <row r="2647" ht="15.75" customHeight="1">
      <c r="A2647" s="2">
        <f>IFERROR(__xludf.DUMMYFUNCTION("""COMPUTED_VALUE"""),45749.0)</f>
        <v>45749</v>
      </c>
      <c r="B2647" s="2" t="str">
        <f>IFERROR(__xludf.DUMMYFUNCTION("""COMPUTED_VALUE"""),"INTOWN/DRUID HILLS ")</f>
        <v>INTOWN/DRUID HILLS </v>
      </c>
      <c r="C2647" s="2">
        <f>IFERROR(__xludf.DUMMYFUNCTION("""COMPUTED_VALUE"""),1647.0)</f>
        <v>1647</v>
      </c>
    </row>
    <row r="2648" ht="15.75" customHeight="1">
      <c r="A2648" s="2">
        <f>IFERROR(__xludf.DUMMYFUNCTION("""COMPUTED_VALUE"""),45749.0)</f>
        <v>45749</v>
      </c>
      <c r="B2648" s="2" t="str">
        <f>IFERROR(__xludf.DUMMYFUNCTION("""COMPUTED_VALUE"""),"SNELLVILLE")</f>
        <v>SNELLVILLE</v>
      </c>
      <c r="C2648" s="2"/>
    </row>
    <row r="2649" ht="15.75" customHeight="1">
      <c r="A2649" s="2">
        <f>IFERROR(__xludf.DUMMYFUNCTION("""COMPUTED_VALUE"""),45749.0)</f>
        <v>45749</v>
      </c>
      <c r="B2649" s="2" t="str">
        <f>IFERROR(__xludf.DUMMYFUNCTION("""COMPUTED_VALUE"""),"GROUPS")</f>
        <v>GROUPS</v>
      </c>
      <c r="C2649" s="2"/>
    </row>
    <row r="2650" ht="15.75" customHeight="1">
      <c r="A2650" s="2">
        <f>IFERROR(__xludf.DUMMYFUNCTION("""COMPUTED_VALUE"""),45749.0)</f>
        <v>45749</v>
      </c>
      <c r="B2650" s="2" t="str">
        <f>IFERROR(__xludf.DUMMYFUNCTION("""COMPUTED_VALUE"""),"Previous Woodstock")</f>
        <v>Previous Woodstock</v>
      </c>
      <c r="C2650" s="2"/>
    </row>
    <row r="2651" ht="15.75" customHeight="1">
      <c r="A2651" s="2">
        <f>IFERROR(__xludf.DUMMYFUNCTION("""COMPUTED_VALUE"""),45749.0)</f>
        <v>45749</v>
      </c>
      <c r="B2651" s="2" t="str">
        <f>IFERROR(__xludf.DUMMYFUNCTION("""COMPUTED_VALUE"""),"Previous Lenox/Brookhaven")</f>
        <v>Previous Lenox/Brookhaven</v>
      </c>
      <c r="C2651" s="2"/>
    </row>
    <row r="2652" ht="15.75" customHeight="1">
      <c r="A2652" s="2">
        <f>IFERROR(__xludf.DUMMYFUNCTION("""COMPUTED_VALUE"""),45749.0)</f>
        <v>45749</v>
      </c>
      <c r="B2652" s="2" t="str">
        <f>IFERROR(__xludf.DUMMYFUNCTION("""COMPUTED_VALUE"""),"Previous New Chastain")</f>
        <v>Previous New Chastain</v>
      </c>
      <c r="C2652" s="2"/>
    </row>
    <row r="2653" ht="15.75" customHeight="1">
      <c r="A2653" s="2">
        <f>IFERROR(__xludf.DUMMYFUNCTION("""COMPUTED_VALUE"""),45749.0)</f>
        <v>45749</v>
      </c>
      <c r="B2653" s="2" t="str">
        <f>IFERROR(__xludf.DUMMYFUNCTION("""COMPUTED_VALUE"""),"Previous Glenwood Park")</f>
        <v>Previous Glenwood Park</v>
      </c>
      <c r="C2653" s="2"/>
    </row>
    <row r="2654" ht="15.75" customHeight="1">
      <c r="A2654" s="2">
        <f>IFERROR(__xludf.DUMMYFUNCTION("""COMPUTED_VALUE"""),45749.0)</f>
        <v>45749</v>
      </c>
      <c r="B2654" s="2" t="str">
        <f>IFERROR(__xludf.DUMMYFUNCTION("""COMPUTED_VALUE"""),"FLOWERY BRANCH")</f>
        <v>FLOWERY BRANCH</v>
      </c>
      <c r="C2654" s="2">
        <f>IFERROR(__xludf.DUMMYFUNCTION("""COMPUTED_VALUE"""),272.0)</f>
        <v>272</v>
      </c>
    </row>
    <row r="2655" ht="15.75" customHeight="1">
      <c r="A2655" s="2">
        <f>IFERROR(__xludf.DUMMYFUNCTION("""COMPUTED_VALUE"""),45749.0)</f>
        <v>45749</v>
      </c>
      <c r="B2655" s="2" t="str">
        <f>IFERROR(__xludf.DUMMYFUNCTION("""COMPUTED_VALUE"""),"GROUPS ")</f>
        <v>GROUPS </v>
      </c>
      <c r="C2655" s="2">
        <f>IFERROR(__xludf.DUMMYFUNCTION("""COMPUTED_VALUE"""),5518.0)</f>
        <v>5518</v>
      </c>
    </row>
    <row r="2656" ht="15.75" customHeight="1">
      <c r="A2656" s="2">
        <f>IFERROR(__xludf.DUMMYFUNCTION("""COMPUTED_VALUE"""),45749.0)</f>
        <v>45749</v>
      </c>
      <c r="B2656" s="2" t="str">
        <f>IFERROR(__xludf.DUMMYFUNCTION("""COMPUTED_VALUE"""),"TOTAL")</f>
        <v>TOTAL</v>
      </c>
      <c r="C2656" s="2"/>
    </row>
    <row r="2657" ht="15.75" customHeight="1">
      <c r="A2657" s="2">
        <f>IFERROR(__xludf.DUMMYFUNCTION("""COMPUTED_VALUE"""),45749.0)</f>
        <v>45749</v>
      </c>
      <c r="B2657" s="2" t="str">
        <f>IFERROR(__xludf.DUMMYFUNCTION("""COMPUTED_VALUE"""),"Collective Learning")</f>
        <v>Collective Learning</v>
      </c>
      <c r="C2657" s="2">
        <f>IFERROR(__xludf.DUMMYFUNCTION("""COMPUTED_VALUE"""),50.0)</f>
        <v>50</v>
      </c>
    </row>
    <row r="2658" ht="15.75" customHeight="1">
      <c r="A2658" s="2">
        <f>IFERROR(__xludf.DUMMYFUNCTION("""COMPUTED_VALUE"""),45749.0)</f>
        <v>45749</v>
      </c>
      <c r="B2658" s="2" t="str">
        <f>IFERROR(__xludf.DUMMYFUNCTION("""COMPUTED_VALUE"""),"NOTES")</f>
        <v>NOTES</v>
      </c>
      <c r="C2658" s="2"/>
    </row>
    <row r="2659" ht="15.75" customHeight="1">
      <c r="A2659" s="2">
        <f>IFERROR(__xludf.DUMMYFUNCTION("""COMPUTED_VALUE"""),45756.0)</f>
        <v>45756</v>
      </c>
      <c r="B2659" s="2" t="str">
        <f>IFERROR(__xludf.DUMMYFUNCTION("""COMPUTED_VALUE"""),"# of Sandwiches")</f>
        <v># of Sandwiches</v>
      </c>
      <c r="C2659" s="2">
        <f>IFERROR(__xludf.DUMMYFUNCTION("""COMPUTED_VALUE"""),4114.0)</f>
        <v>4114</v>
      </c>
    </row>
    <row r="2660" ht="15.75" customHeight="1">
      <c r="A2660" s="2">
        <f>IFERROR(__xludf.DUMMYFUNCTION("""COMPUTED_VALUE"""),45756.0)</f>
        <v>45756</v>
      </c>
      <c r="B2660" s="2" t="str">
        <f>IFERROR(__xludf.DUMMYFUNCTION("""COMPUTED_VALUE"""),"ALPHARETTA")</f>
        <v>ALPHARETTA</v>
      </c>
      <c r="C2660" s="2">
        <f>IFERROR(__xludf.DUMMYFUNCTION("""COMPUTED_VALUE"""),628.0)</f>
        <v>628</v>
      </c>
    </row>
    <row r="2661" ht="15.75" customHeight="1">
      <c r="A2661" s="2">
        <f>IFERROR(__xludf.DUMMYFUNCTION("""COMPUTED_VALUE"""),45756.0)</f>
        <v>45756</v>
      </c>
      <c r="B2661" s="2" t="str">
        <f>IFERROR(__xludf.DUMMYFUNCTION("""COMPUTED_VALUE"""),"PREVIOUS BUCKHEAD")</f>
        <v>PREVIOUS BUCKHEAD</v>
      </c>
      <c r="C2661" s="2"/>
    </row>
    <row r="2662" ht="15.75" customHeight="1">
      <c r="A2662" s="2">
        <f>IFERROR(__xludf.DUMMYFUNCTION("""COMPUTED_VALUE"""),45756.0)</f>
        <v>45756</v>
      </c>
      <c r="B2662" s="2" t="str">
        <f>IFERROR(__xludf.DUMMYFUNCTION("""COMPUTED_VALUE"""),"PREVIOUS OAK GROVE")</f>
        <v>PREVIOUS OAK GROVE</v>
      </c>
      <c r="C2662" s="2"/>
    </row>
    <row r="2663" ht="15.75" customHeight="1">
      <c r="A2663" s="2">
        <f>IFERROR(__xludf.DUMMYFUNCTION("""COMPUTED_VALUE"""),45756.0)</f>
        <v>45756</v>
      </c>
      <c r="B2663" s="2" t="str">
        <f>IFERROR(__xludf.DUMMYFUNCTION("""COMPUTED_VALUE"""),"DUNWOODY/PTC ")</f>
        <v>DUNWOODY/PTC </v>
      </c>
      <c r="C2663" s="2">
        <f>IFERROR(__xludf.DUMMYFUNCTION("""COMPUTED_VALUE"""),1226.0)</f>
        <v>1226</v>
      </c>
    </row>
    <row r="2664" ht="15.75" customHeight="1">
      <c r="A2664" s="2">
        <f>IFERROR(__xludf.DUMMYFUNCTION("""COMPUTED_VALUE"""),45756.0)</f>
        <v>45756</v>
      </c>
      <c r="B2664" s="2" t="str">
        <f>IFERROR(__xludf.DUMMYFUNCTION("""COMPUTED_VALUE"""),"E COBB/ROSWELL")</f>
        <v>E COBB/ROSWELL</v>
      </c>
      <c r="C2664" s="2">
        <f>IFERROR(__xludf.DUMMYFUNCTION("""COMPUTED_VALUE"""),950.0)</f>
        <v>950</v>
      </c>
    </row>
    <row r="2665" ht="15.75" customHeight="1">
      <c r="A2665" s="2">
        <f>IFERROR(__xludf.DUMMYFUNCTION("""COMPUTED_VALUE"""),45756.0)</f>
        <v>45756</v>
      </c>
      <c r="B2665" s="2" t="str">
        <f>IFERROR(__xludf.DUMMYFUNCTION("""COMPUTED_VALUE"""),"DECATUR")</f>
        <v>DECATUR</v>
      </c>
      <c r="C2665" s="2"/>
    </row>
    <row r="2666" ht="15.75" customHeight="1">
      <c r="A2666" s="2">
        <f>IFERROR(__xludf.DUMMYFUNCTION("""COMPUTED_VALUE"""),45756.0)</f>
        <v>45756</v>
      </c>
      <c r="B2666" s="2" t="str">
        <f>IFERROR(__xludf.DUMMYFUNCTION("""COMPUTED_VALUE"""),"P'TREE CORNERS ")</f>
        <v>P'TREE CORNERS </v>
      </c>
      <c r="C2666" s="2"/>
    </row>
    <row r="2667" ht="15.75" customHeight="1">
      <c r="A2667" s="2">
        <f>IFERROR(__xludf.DUMMYFUNCTION("""COMPUTED_VALUE"""),45756.0)</f>
        <v>45756</v>
      </c>
      <c r="B2667" s="2" t="str">
        <f>IFERROR(__xludf.DUMMYFUNCTION("""COMPUTED_VALUE"""),"UGA/Athens")</f>
        <v>UGA/Athens</v>
      </c>
      <c r="C2667" s="2"/>
    </row>
    <row r="2668" ht="15.75" customHeight="1">
      <c r="A2668" s="2">
        <f>IFERROR(__xludf.DUMMYFUNCTION("""COMPUTED_VALUE"""),45756.0)</f>
        <v>45756</v>
      </c>
      <c r="B2668" s="2" t="str">
        <f>IFERROR(__xludf.DUMMYFUNCTION("""COMPUTED_VALUE"""),"SANDY SPRINGS ")</f>
        <v>SANDY SPRINGS </v>
      </c>
      <c r="C2668" s="2">
        <f>IFERROR(__xludf.DUMMYFUNCTION("""COMPUTED_VALUE"""),418.0)</f>
        <v>418</v>
      </c>
    </row>
    <row r="2669" ht="15.75" customHeight="1">
      <c r="A2669" s="2">
        <f>IFERROR(__xludf.DUMMYFUNCTION("""COMPUTED_VALUE"""),45756.0)</f>
        <v>45756</v>
      </c>
      <c r="B2669" s="2" t="str">
        <f>IFERROR(__xludf.DUMMYFUNCTION("""COMPUTED_VALUE"""),"INTOWN/DRUID HILLS ")</f>
        <v>INTOWN/DRUID HILLS </v>
      </c>
      <c r="C2669" s="2">
        <f>IFERROR(__xludf.DUMMYFUNCTION("""COMPUTED_VALUE"""),514.0)</f>
        <v>514</v>
      </c>
    </row>
    <row r="2670" ht="15.75" customHeight="1">
      <c r="A2670" s="2">
        <f>IFERROR(__xludf.DUMMYFUNCTION("""COMPUTED_VALUE"""),45756.0)</f>
        <v>45756</v>
      </c>
      <c r="B2670" s="2" t="str">
        <f>IFERROR(__xludf.DUMMYFUNCTION("""COMPUTED_VALUE"""),"SNELLVILLE")</f>
        <v>SNELLVILLE</v>
      </c>
      <c r="C2670" s="2"/>
    </row>
    <row r="2671" ht="15.75" customHeight="1">
      <c r="A2671" s="2">
        <f>IFERROR(__xludf.DUMMYFUNCTION("""COMPUTED_VALUE"""),45756.0)</f>
        <v>45756</v>
      </c>
      <c r="B2671" s="2" t="str">
        <f>IFERROR(__xludf.DUMMYFUNCTION("""COMPUTED_VALUE"""),"GROUPS")</f>
        <v>GROUPS</v>
      </c>
      <c r="C2671" s="2"/>
    </row>
    <row r="2672" ht="15.75" customHeight="1">
      <c r="A2672" s="2">
        <f>IFERROR(__xludf.DUMMYFUNCTION("""COMPUTED_VALUE"""),45756.0)</f>
        <v>45756</v>
      </c>
      <c r="B2672" s="2" t="str">
        <f>IFERROR(__xludf.DUMMYFUNCTION("""COMPUTED_VALUE"""),"Previous Woodstock")</f>
        <v>Previous Woodstock</v>
      </c>
      <c r="C2672" s="2"/>
    </row>
    <row r="2673" ht="15.75" customHeight="1">
      <c r="A2673" s="2">
        <f>IFERROR(__xludf.DUMMYFUNCTION("""COMPUTED_VALUE"""),45756.0)</f>
        <v>45756</v>
      </c>
      <c r="B2673" s="2" t="str">
        <f>IFERROR(__xludf.DUMMYFUNCTION("""COMPUTED_VALUE"""),"Previous Lenox/Brookhaven")</f>
        <v>Previous Lenox/Brookhaven</v>
      </c>
      <c r="C2673" s="2"/>
    </row>
    <row r="2674" ht="15.75" customHeight="1">
      <c r="A2674" s="2">
        <f>IFERROR(__xludf.DUMMYFUNCTION("""COMPUTED_VALUE"""),45756.0)</f>
        <v>45756</v>
      </c>
      <c r="B2674" s="2" t="str">
        <f>IFERROR(__xludf.DUMMYFUNCTION("""COMPUTED_VALUE"""),"Previous New Chastain")</f>
        <v>Previous New Chastain</v>
      </c>
      <c r="C2674" s="2"/>
    </row>
    <row r="2675" ht="15.75" customHeight="1">
      <c r="A2675" s="2">
        <f>IFERROR(__xludf.DUMMYFUNCTION("""COMPUTED_VALUE"""),45756.0)</f>
        <v>45756</v>
      </c>
      <c r="B2675" s="2" t="str">
        <f>IFERROR(__xludf.DUMMYFUNCTION("""COMPUTED_VALUE"""),"Previous Glenwood Park")</f>
        <v>Previous Glenwood Park</v>
      </c>
      <c r="C2675" s="2"/>
    </row>
    <row r="2676" ht="15.75" customHeight="1">
      <c r="A2676" s="2">
        <f>IFERROR(__xludf.DUMMYFUNCTION("""COMPUTED_VALUE"""),45756.0)</f>
        <v>45756</v>
      </c>
      <c r="B2676" s="2" t="str">
        <f>IFERROR(__xludf.DUMMYFUNCTION("""COMPUTED_VALUE"""),"FLOWERY BRANCH")</f>
        <v>FLOWERY BRANCH</v>
      </c>
      <c r="C2676" s="2">
        <f>IFERROR(__xludf.DUMMYFUNCTION("""COMPUTED_VALUE"""),225.0)</f>
        <v>225</v>
      </c>
    </row>
    <row r="2677" ht="15.75" customHeight="1">
      <c r="A2677" s="2">
        <f>IFERROR(__xludf.DUMMYFUNCTION("""COMPUTED_VALUE"""),45756.0)</f>
        <v>45756</v>
      </c>
      <c r="B2677" s="2" t="str">
        <f>IFERROR(__xludf.DUMMYFUNCTION("""COMPUTED_VALUE"""),"GROUPS ")</f>
        <v>GROUPS </v>
      </c>
      <c r="C2677" s="2">
        <f>IFERROR(__xludf.DUMMYFUNCTION("""COMPUTED_VALUE"""),153.0)</f>
        <v>153</v>
      </c>
    </row>
    <row r="2678" ht="15.75" customHeight="1">
      <c r="A2678" s="2">
        <f>IFERROR(__xludf.DUMMYFUNCTION("""COMPUTED_VALUE"""),45756.0)</f>
        <v>45756</v>
      </c>
      <c r="B2678" s="2" t="str">
        <f>IFERROR(__xludf.DUMMYFUNCTION("""COMPUTED_VALUE"""),"TOTAL")</f>
        <v>TOTAL</v>
      </c>
      <c r="C2678" s="2"/>
    </row>
    <row r="2679" ht="15.75" customHeight="1">
      <c r="A2679" s="2">
        <f>IFERROR(__xludf.DUMMYFUNCTION("""COMPUTED_VALUE"""),45756.0)</f>
        <v>45756</v>
      </c>
      <c r="B2679" s="2" t="str">
        <f>IFERROR(__xludf.DUMMYFUNCTION("""COMPUTED_VALUE"""),"Collective Learning")</f>
        <v>Collective Learning</v>
      </c>
      <c r="C2679" s="2"/>
    </row>
    <row r="2680" ht="15.75" customHeight="1">
      <c r="A2680" s="2">
        <f>IFERROR(__xludf.DUMMYFUNCTION("""COMPUTED_VALUE"""),45756.0)</f>
        <v>45756</v>
      </c>
      <c r="B2680" s="2" t="str">
        <f>IFERROR(__xludf.DUMMYFUNCTION("""COMPUTED_VALUE"""),"NOTES")</f>
        <v>NOTES</v>
      </c>
      <c r="C2680" s="2" t="str">
        <f>IFERROR(__xludf.DUMMYFUNCTION("""COMPUTED_VALUE"""),"Spring break for Dekalb/Gwinnett/Fulton County Schools")</f>
        <v>Spring break for Dekalb/Gwinnett/Fulton County Schools</v>
      </c>
    </row>
    <row r="2681" ht="15.75" customHeight="1">
      <c r="A2681" s="2">
        <f>IFERROR(__xludf.DUMMYFUNCTION("""COMPUTED_VALUE"""),45763.0)</f>
        <v>45763</v>
      </c>
      <c r="B2681" s="2" t="str">
        <f>IFERROR(__xludf.DUMMYFUNCTION("""COMPUTED_VALUE"""),"# of Sandwiches")</f>
        <v># of Sandwiches</v>
      </c>
      <c r="C2681" s="2">
        <f>IFERROR(__xludf.DUMMYFUNCTION("""COMPUTED_VALUE"""),8640.0)</f>
        <v>8640</v>
      </c>
    </row>
    <row r="2682" ht="15.75" customHeight="1">
      <c r="A2682" s="2">
        <f>IFERROR(__xludf.DUMMYFUNCTION("""COMPUTED_VALUE"""),45763.0)</f>
        <v>45763</v>
      </c>
      <c r="B2682" s="2" t="str">
        <f>IFERROR(__xludf.DUMMYFUNCTION("""COMPUTED_VALUE"""),"ALPHARETTA")</f>
        <v>ALPHARETTA</v>
      </c>
      <c r="C2682" s="2">
        <f>IFERROR(__xludf.DUMMYFUNCTION("""COMPUTED_VALUE"""),1556.0)</f>
        <v>1556</v>
      </c>
    </row>
    <row r="2683" ht="15.75" customHeight="1">
      <c r="A2683" s="2">
        <f>IFERROR(__xludf.DUMMYFUNCTION("""COMPUTED_VALUE"""),45763.0)</f>
        <v>45763</v>
      </c>
      <c r="B2683" s="2" t="str">
        <f>IFERROR(__xludf.DUMMYFUNCTION("""COMPUTED_VALUE"""),"PREVIOUS BUCKHEAD")</f>
        <v>PREVIOUS BUCKHEAD</v>
      </c>
      <c r="C2683" s="2"/>
    </row>
    <row r="2684" ht="15.75" customHeight="1">
      <c r="A2684" s="2">
        <f>IFERROR(__xludf.DUMMYFUNCTION("""COMPUTED_VALUE"""),45763.0)</f>
        <v>45763</v>
      </c>
      <c r="B2684" s="2" t="str">
        <f>IFERROR(__xludf.DUMMYFUNCTION("""COMPUTED_VALUE"""),"PREVIOUS OAK GROVE")</f>
        <v>PREVIOUS OAK GROVE</v>
      </c>
      <c r="C2684" s="2"/>
    </row>
    <row r="2685" ht="15.75" customHeight="1">
      <c r="A2685" s="2">
        <f>IFERROR(__xludf.DUMMYFUNCTION("""COMPUTED_VALUE"""),45763.0)</f>
        <v>45763</v>
      </c>
      <c r="B2685" s="2" t="str">
        <f>IFERROR(__xludf.DUMMYFUNCTION("""COMPUTED_VALUE"""),"DUNWOODY/PTC ")</f>
        <v>DUNWOODY/PTC </v>
      </c>
      <c r="C2685" s="2">
        <f>IFERROR(__xludf.DUMMYFUNCTION("""COMPUTED_VALUE"""),2103.0)</f>
        <v>2103</v>
      </c>
    </row>
    <row r="2686" ht="15.75" customHeight="1">
      <c r="A2686" s="2">
        <f>IFERROR(__xludf.DUMMYFUNCTION("""COMPUTED_VALUE"""),45763.0)</f>
        <v>45763</v>
      </c>
      <c r="B2686" s="2" t="str">
        <f>IFERROR(__xludf.DUMMYFUNCTION("""COMPUTED_VALUE"""),"E COBB/ROSWELL")</f>
        <v>E COBB/ROSWELL</v>
      </c>
      <c r="C2686" s="2">
        <f>IFERROR(__xludf.DUMMYFUNCTION("""COMPUTED_VALUE"""),993.0)</f>
        <v>993</v>
      </c>
    </row>
    <row r="2687" ht="15.75" customHeight="1">
      <c r="A2687" s="2">
        <f>IFERROR(__xludf.DUMMYFUNCTION("""COMPUTED_VALUE"""),45763.0)</f>
        <v>45763</v>
      </c>
      <c r="B2687" s="2" t="str">
        <f>IFERROR(__xludf.DUMMYFUNCTION("""COMPUTED_VALUE"""),"DECATUR")</f>
        <v>DECATUR</v>
      </c>
      <c r="C2687" s="2"/>
    </row>
    <row r="2688" ht="15.75" customHeight="1">
      <c r="A2688" s="2">
        <f>IFERROR(__xludf.DUMMYFUNCTION("""COMPUTED_VALUE"""),45763.0)</f>
        <v>45763</v>
      </c>
      <c r="B2688" s="2" t="str">
        <f>IFERROR(__xludf.DUMMYFUNCTION("""COMPUTED_VALUE"""),"P'TREE CORNERS ")</f>
        <v>P'TREE CORNERS </v>
      </c>
      <c r="C2688" s="2"/>
    </row>
    <row r="2689" ht="15.75" customHeight="1">
      <c r="A2689" s="2">
        <f>IFERROR(__xludf.DUMMYFUNCTION("""COMPUTED_VALUE"""),45763.0)</f>
        <v>45763</v>
      </c>
      <c r="B2689" s="2" t="str">
        <f>IFERROR(__xludf.DUMMYFUNCTION("""COMPUTED_VALUE"""),"UGA/Athens")</f>
        <v>UGA/Athens</v>
      </c>
      <c r="C2689" s="2"/>
    </row>
    <row r="2690" ht="15.75" customHeight="1">
      <c r="A2690" s="2">
        <f>IFERROR(__xludf.DUMMYFUNCTION("""COMPUTED_VALUE"""),45763.0)</f>
        <v>45763</v>
      </c>
      <c r="B2690" s="2" t="str">
        <f>IFERROR(__xludf.DUMMYFUNCTION("""COMPUTED_VALUE"""),"SANDY SPRINGS ")</f>
        <v>SANDY SPRINGS </v>
      </c>
      <c r="C2690" s="2">
        <f>IFERROR(__xludf.DUMMYFUNCTION("""COMPUTED_VALUE"""),1123.0)</f>
        <v>1123</v>
      </c>
    </row>
    <row r="2691" ht="15.75" customHeight="1">
      <c r="A2691" s="2">
        <f>IFERROR(__xludf.DUMMYFUNCTION("""COMPUTED_VALUE"""),45763.0)</f>
        <v>45763</v>
      </c>
      <c r="B2691" s="2" t="str">
        <f>IFERROR(__xludf.DUMMYFUNCTION("""COMPUTED_VALUE"""),"INTOWN/DRUID HILLS ")</f>
        <v>INTOWN/DRUID HILLS </v>
      </c>
      <c r="C2691" s="2">
        <f>IFERROR(__xludf.DUMMYFUNCTION("""COMPUTED_VALUE"""),1240.0)</f>
        <v>1240</v>
      </c>
    </row>
    <row r="2692" ht="15.75" customHeight="1">
      <c r="A2692" s="2">
        <f>IFERROR(__xludf.DUMMYFUNCTION("""COMPUTED_VALUE"""),45763.0)</f>
        <v>45763</v>
      </c>
      <c r="B2692" s="2" t="str">
        <f>IFERROR(__xludf.DUMMYFUNCTION("""COMPUTED_VALUE"""),"SNELLVILLE")</f>
        <v>SNELLVILLE</v>
      </c>
      <c r="C2692" s="2"/>
    </row>
    <row r="2693" ht="15.75" customHeight="1">
      <c r="A2693" s="2">
        <f>IFERROR(__xludf.DUMMYFUNCTION("""COMPUTED_VALUE"""),45763.0)</f>
        <v>45763</v>
      </c>
      <c r="B2693" s="2" t="str">
        <f>IFERROR(__xludf.DUMMYFUNCTION("""COMPUTED_VALUE"""),"GROUPS")</f>
        <v>GROUPS</v>
      </c>
      <c r="C2693" s="2"/>
    </row>
    <row r="2694" ht="15.75" customHeight="1">
      <c r="A2694" s="2">
        <f>IFERROR(__xludf.DUMMYFUNCTION("""COMPUTED_VALUE"""),45763.0)</f>
        <v>45763</v>
      </c>
      <c r="B2694" s="2" t="str">
        <f>IFERROR(__xludf.DUMMYFUNCTION("""COMPUTED_VALUE"""),"Previous Woodstock")</f>
        <v>Previous Woodstock</v>
      </c>
      <c r="C2694" s="2"/>
    </row>
    <row r="2695" ht="15.75" customHeight="1">
      <c r="A2695" s="2">
        <f>IFERROR(__xludf.DUMMYFUNCTION("""COMPUTED_VALUE"""),45763.0)</f>
        <v>45763</v>
      </c>
      <c r="B2695" s="2" t="str">
        <f>IFERROR(__xludf.DUMMYFUNCTION("""COMPUTED_VALUE"""),"Previous Lenox/Brookhaven")</f>
        <v>Previous Lenox/Brookhaven</v>
      </c>
      <c r="C2695" s="2"/>
    </row>
    <row r="2696" ht="15.75" customHeight="1">
      <c r="A2696" s="2">
        <f>IFERROR(__xludf.DUMMYFUNCTION("""COMPUTED_VALUE"""),45763.0)</f>
        <v>45763</v>
      </c>
      <c r="B2696" s="2" t="str">
        <f>IFERROR(__xludf.DUMMYFUNCTION("""COMPUTED_VALUE"""),"Previous New Chastain")</f>
        <v>Previous New Chastain</v>
      </c>
      <c r="C2696" s="2"/>
    </row>
    <row r="2697" ht="15.75" customHeight="1">
      <c r="A2697" s="2">
        <f>IFERROR(__xludf.DUMMYFUNCTION("""COMPUTED_VALUE"""),45763.0)</f>
        <v>45763</v>
      </c>
      <c r="B2697" s="2" t="str">
        <f>IFERROR(__xludf.DUMMYFUNCTION("""COMPUTED_VALUE"""),"Previous Glenwood Park")</f>
        <v>Previous Glenwood Park</v>
      </c>
      <c r="C2697" s="2"/>
    </row>
    <row r="2698" ht="15.75" customHeight="1">
      <c r="A2698" s="2">
        <f>IFERROR(__xludf.DUMMYFUNCTION("""COMPUTED_VALUE"""),45763.0)</f>
        <v>45763</v>
      </c>
      <c r="B2698" s="2" t="str">
        <f>IFERROR(__xludf.DUMMYFUNCTION("""COMPUTED_VALUE"""),"FLOWERY BRANCH")</f>
        <v>FLOWERY BRANCH</v>
      </c>
      <c r="C2698" s="2">
        <f>IFERROR(__xludf.DUMMYFUNCTION("""COMPUTED_VALUE"""),175.0)</f>
        <v>175</v>
      </c>
    </row>
    <row r="2699" ht="15.75" customHeight="1">
      <c r="A2699" s="2">
        <f>IFERROR(__xludf.DUMMYFUNCTION("""COMPUTED_VALUE"""),45763.0)</f>
        <v>45763</v>
      </c>
      <c r="B2699" s="2" t="str">
        <f>IFERROR(__xludf.DUMMYFUNCTION("""COMPUTED_VALUE"""),"GROUPS ")</f>
        <v>GROUPS </v>
      </c>
      <c r="C2699" s="2">
        <f>IFERROR(__xludf.DUMMYFUNCTION("""COMPUTED_VALUE"""),1450.0)</f>
        <v>1450</v>
      </c>
    </row>
    <row r="2700" ht="15.75" customHeight="1">
      <c r="A2700" s="2">
        <f>IFERROR(__xludf.DUMMYFUNCTION("""COMPUTED_VALUE"""),45763.0)</f>
        <v>45763</v>
      </c>
      <c r="B2700" s="2" t="str">
        <f>IFERROR(__xludf.DUMMYFUNCTION("""COMPUTED_VALUE"""),"TOTAL")</f>
        <v>TOTAL</v>
      </c>
      <c r="C2700" s="2"/>
    </row>
    <row r="2701" ht="15.75" customHeight="1">
      <c r="A2701" s="2">
        <f>IFERROR(__xludf.DUMMYFUNCTION("""COMPUTED_VALUE"""),45763.0)</f>
        <v>45763</v>
      </c>
      <c r="B2701" s="2" t="str">
        <f>IFERROR(__xludf.DUMMYFUNCTION("""COMPUTED_VALUE"""),"Collective Learning")</f>
        <v>Collective Learning</v>
      </c>
      <c r="C2701" s="2">
        <f>IFERROR(__xludf.DUMMYFUNCTION("""COMPUTED_VALUE"""),50.0)</f>
        <v>50</v>
      </c>
    </row>
    <row r="2702" ht="15.75" customHeight="1">
      <c r="A2702" s="2">
        <f>IFERROR(__xludf.DUMMYFUNCTION("""COMPUTED_VALUE"""),45763.0)</f>
        <v>45763</v>
      </c>
      <c r="B2702" s="2" t="str">
        <f>IFERROR(__xludf.DUMMYFUNCTION("""COMPUTED_VALUE"""),"NOTES")</f>
        <v>NOTES</v>
      </c>
      <c r="C2702" s="2"/>
    </row>
    <row r="2703" ht="15.75" customHeight="1">
      <c r="A2703" s="2">
        <f>IFERROR(__xludf.DUMMYFUNCTION("""COMPUTED_VALUE"""),45405.0)</f>
        <v>45405</v>
      </c>
      <c r="B2703" s="2" t="str">
        <f>IFERROR(__xludf.DUMMYFUNCTION("""COMPUTED_VALUE"""),"# of Sandwiches")</f>
        <v># of Sandwiches</v>
      </c>
      <c r="C2703" s="2">
        <f>IFERROR(__xludf.DUMMYFUNCTION("""COMPUTED_VALUE"""),10850.0)</f>
        <v>10850</v>
      </c>
    </row>
    <row r="2704" ht="15.75" customHeight="1">
      <c r="A2704" s="2">
        <f>IFERROR(__xludf.DUMMYFUNCTION("""COMPUTED_VALUE"""),45405.0)</f>
        <v>45405</v>
      </c>
      <c r="B2704" s="2" t="str">
        <f>IFERROR(__xludf.DUMMYFUNCTION("""COMPUTED_VALUE"""),"ALPHARETTA")</f>
        <v>ALPHARETTA</v>
      </c>
      <c r="C2704" s="2">
        <f>IFERROR(__xludf.DUMMYFUNCTION("""COMPUTED_VALUE"""),2244.0)</f>
        <v>2244</v>
      </c>
    </row>
    <row r="2705" ht="15.75" customHeight="1">
      <c r="A2705" s="2">
        <f>IFERROR(__xludf.DUMMYFUNCTION("""COMPUTED_VALUE"""),45405.0)</f>
        <v>45405</v>
      </c>
      <c r="B2705" s="2" t="str">
        <f>IFERROR(__xludf.DUMMYFUNCTION("""COMPUTED_VALUE"""),"PREVIOUS BUCKHEAD")</f>
        <v>PREVIOUS BUCKHEAD</v>
      </c>
      <c r="C2705" s="2"/>
    </row>
    <row r="2706" ht="15.75" customHeight="1">
      <c r="A2706" s="2">
        <f>IFERROR(__xludf.DUMMYFUNCTION("""COMPUTED_VALUE"""),45405.0)</f>
        <v>45405</v>
      </c>
      <c r="B2706" s="2" t="str">
        <f>IFERROR(__xludf.DUMMYFUNCTION("""COMPUTED_VALUE"""),"PREVIOUS OAK GROVE")</f>
        <v>PREVIOUS OAK GROVE</v>
      </c>
      <c r="C2706" s="2"/>
    </row>
    <row r="2707" ht="15.75" customHeight="1">
      <c r="A2707" s="2">
        <f>IFERROR(__xludf.DUMMYFUNCTION("""COMPUTED_VALUE"""),45405.0)</f>
        <v>45405</v>
      </c>
      <c r="B2707" s="2" t="str">
        <f>IFERROR(__xludf.DUMMYFUNCTION("""COMPUTED_VALUE"""),"DUNWOODY/PTC ")</f>
        <v>DUNWOODY/PTC </v>
      </c>
      <c r="C2707" s="2">
        <f>IFERROR(__xludf.DUMMYFUNCTION("""COMPUTED_VALUE"""),2223.0)</f>
        <v>2223</v>
      </c>
    </row>
    <row r="2708" ht="15.75" customHeight="1">
      <c r="A2708" s="2">
        <f>IFERROR(__xludf.DUMMYFUNCTION("""COMPUTED_VALUE"""),45405.0)</f>
        <v>45405</v>
      </c>
      <c r="B2708" s="2" t="str">
        <f>IFERROR(__xludf.DUMMYFUNCTION("""COMPUTED_VALUE"""),"E COBB/ROSWELL")</f>
        <v>E COBB/ROSWELL</v>
      </c>
      <c r="C2708" s="2">
        <f>IFERROR(__xludf.DUMMYFUNCTION("""COMPUTED_VALUE"""),1122.0)</f>
        <v>1122</v>
      </c>
    </row>
    <row r="2709" ht="15.75" customHeight="1">
      <c r="A2709" s="2">
        <f>IFERROR(__xludf.DUMMYFUNCTION("""COMPUTED_VALUE"""),45405.0)</f>
        <v>45405</v>
      </c>
      <c r="B2709" s="2" t="str">
        <f>IFERROR(__xludf.DUMMYFUNCTION("""COMPUTED_VALUE"""),"DECATUR")</f>
        <v>DECATUR</v>
      </c>
      <c r="C2709" s="2"/>
    </row>
    <row r="2710" ht="15.75" customHeight="1">
      <c r="A2710" s="2">
        <f>IFERROR(__xludf.DUMMYFUNCTION("""COMPUTED_VALUE"""),45405.0)</f>
        <v>45405</v>
      </c>
      <c r="B2710" s="2" t="str">
        <f>IFERROR(__xludf.DUMMYFUNCTION("""COMPUTED_VALUE"""),"P'TREE CORNERS ")</f>
        <v>P'TREE CORNERS </v>
      </c>
      <c r="C2710" s="2"/>
    </row>
    <row r="2711" ht="15.75" customHeight="1">
      <c r="A2711" s="2">
        <f>IFERROR(__xludf.DUMMYFUNCTION("""COMPUTED_VALUE"""),45405.0)</f>
        <v>45405</v>
      </c>
      <c r="B2711" s="2" t="str">
        <f>IFERROR(__xludf.DUMMYFUNCTION("""COMPUTED_VALUE"""),"UGA/Athens")</f>
        <v>UGA/Athens</v>
      </c>
      <c r="C2711" s="2"/>
    </row>
    <row r="2712" ht="15.75" customHeight="1">
      <c r="A2712" s="2">
        <f>IFERROR(__xludf.DUMMYFUNCTION("""COMPUTED_VALUE"""),45405.0)</f>
        <v>45405</v>
      </c>
      <c r="B2712" s="2" t="str">
        <f>IFERROR(__xludf.DUMMYFUNCTION("""COMPUTED_VALUE"""),"SANDY SPRINGS ")</f>
        <v>SANDY SPRINGS </v>
      </c>
      <c r="C2712" s="2">
        <f>IFERROR(__xludf.DUMMYFUNCTION("""COMPUTED_VALUE"""),527.0)</f>
        <v>527</v>
      </c>
    </row>
    <row r="2713" ht="15.75" customHeight="1">
      <c r="A2713" s="2">
        <f>IFERROR(__xludf.DUMMYFUNCTION("""COMPUTED_VALUE"""),45405.0)</f>
        <v>45405</v>
      </c>
      <c r="B2713" s="2" t="str">
        <f>IFERROR(__xludf.DUMMYFUNCTION("""COMPUTED_VALUE"""),"INTOWN/DRUID HILLS ")</f>
        <v>INTOWN/DRUID HILLS </v>
      </c>
      <c r="C2713" s="2">
        <f>IFERROR(__xludf.DUMMYFUNCTION("""COMPUTED_VALUE"""),1344.0)</f>
        <v>1344</v>
      </c>
    </row>
    <row r="2714" ht="15.75" customHeight="1">
      <c r="A2714" s="2">
        <f>IFERROR(__xludf.DUMMYFUNCTION("""COMPUTED_VALUE"""),45405.0)</f>
        <v>45405</v>
      </c>
      <c r="B2714" s="2" t="str">
        <f>IFERROR(__xludf.DUMMYFUNCTION("""COMPUTED_VALUE"""),"SNELLVILLE")</f>
        <v>SNELLVILLE</v>
      </c>
      <c r="C2714" s="2"/>
    </row>
    <row r="2715" ht="15.75" customHeight="1">
      <c r="A2715" s="2">
        <f>IFERROR(__xludf.DUMMYFUNCTION("""COMPUTED_VALUE"""),45405.0)</f>
        <v>45405</v>
      </c>
      <c r="B2715" s="2" t="str">
        <f>IFERROR(__xludf.DUMMYFUNCTION("""COMPUTED_VALUE"""),"GROUPS")</f>
        <v>GROUPS</v>
      </c>
      <c r="C2715" s="2"/>
    </row>
    <row r="2716" ht="15.75" customHeight="1">
      <c r="A2716" s="2">
        <f>IFERROR(__xludf.DUMMYFUNCTION("""COMPUTED_VALUE"""),45405.0)</f>
        <v>45405</v>
      </c>
      <c r="B2716" s="2" t="str">
        <f>IFERROR(__xludf.DUMMYFUNCTION("""COMPUTED_VALUE"""),"Previous Woodstock")</f>
        <v>Previous Woodstock</v>
      </c>
      <c r="C2716" s="2"/>
    </row>
    <row r="2717" ht="15.75" customHeight="1">
      <c r="A2717" s="2">
        <f>IFERROR(__xludf.DUMMYFUNCTION("""COMPUTED_VALUE"""),45405.0)</f>
        <v>45405</v>
      </c>
      <c r="B2717" s="2" t="str">
        <f>IFERROR(__xludf.DUMMYFUNCTION("""COMPUTED_VALUE"""),"Previous Lenox/Brookhaven")</f>
        <v>Previous Lenox/Brookhaven</v>
      </c>
      <c r="C2717" s="2"/>
    </row>
    <row r="2718" ht="15.75" customHeight="1">
      <c r="A2718" s="2">
        <f>IFERROR(__xludf.DUMMYFUNCTION("""COMPUTED_VALUE"""),45405.0)</f>
        <v>45405</v>
      </c>
      <c r="B2718" s="2" t="str">
        <f>IFERROR(__xludf.DUMMYFUNCTION("""COMPUTED_VALUE"""),"Previous New Chastain")</f>
        <v>Previous New Chastain</v>
      </c>
      <c r="C2718" s="2"/>
    </row>
    <row r="2719" ht="15.75" customHeight="1">
      <c r="A2719" s="2">
        <f>IFERROR(__xludf.DUMMYFUNCTION("""COMPUTED_VALUE"""),45405.0)</f>
        <v>45405</v>
      </c>
      <c r="B2719" s="2" t="str">
        <f>IFERROR(__xludf.DUMMYFUNCTION("""COMPUTED_VALUE"""),"Previous Glenwood Park")</f>
        <v>Previous Glenwood Park</v>
      </c>
      <c r="C2719" s="2"/>
    </row>
    <row r="2720" ht="15.75" customHeight="1">
      <c r="A2720" s="2">
        <f>IFERROR(__xludf.DUMMYFUNCTION("""COMPUTED_VALUE"""),45405.0)</f>
        <v>45405</v>
      </c>
      <c r="B2720" s="2" t="str">
        <f>IFERROR(__xludf.DUMMYFUNCTION("""COMPUTED_VALUE"""),"FLOWERY BRANCH")</f>
        <v>FLOWERY BRANCH</v>
      </c>
      <c r="C2720" s="2">
        <f>IFERROR(__xludf.DUMMYFUNCTION("""COMPUTED_VALUE"""),350.0)</f>
        <v>350</v>
      </c>
    </row>
    <row r="2721" ht="15.75" customHeight="1">
      <c r="A2721" s="2">
        <f>IFERROR(__xludf.DUMMYFUNCTION("""COMPUTED_VALUE"""),45405.0)</f>
        <v>45405</v>
      </c>
      <c r="B2721" s="2" t="str">
        <f>IFERROR(__xludf.DUMMYFUNCTION("""COMPUTED_VALUE"""),"GROUPS ")</f>
        <v>GROUPS </v>
      </c>
      <c r="C2721" s="2">
        <f>IFERROR(__xludf.DUMMYFUNCTION("""COMPUTED_VALUE"""),3040.0)</f>
        <v>3040</v>
      </c>
    </row>
    <row r="2722" ht="15.75" customHeight="1">
      <c r="A2722" s="2">
        <f>IFERROR(__xludf.DUMMYFUNCTION("""COMPUTED_VALUE"""),45405.0)</f>
        <v>45405</v>
      </c>
      <c r="B2722" s="2" t="str">
        <f>IFERROR(__xludf.DUMMYFUNCTION("""COMPUTED_VALUE"""),"TOTAL")</f>
        <v>TOTAL</v>
      </c>
      <c r="C2722" s="2"/>
    </row>
    <row r="2723" ht="15.75" customHeight="1">
      <c r="A2723" s="2">
        <f>IFERROR(__xludf.DUMMYFUNCTION("""COMPUTED_VALUE"""),45405.0)</f>
        <v>45405</v>
      </c>
      <c r="B2723" s="2" t="str">
        <f>IFERROR(__xludf.DUMMYFUNCTION("""COMPUTED_VALUE"""),"Collective Learning")</f>
        <v>Collective Learning</v>
      </c>
      <c r="C2723" s="2">
        <f>IFERROR(__xludf.DUMMYFUNCTION("""COMPUTED_VALUE"""),50.0)</f>
        <v>50</v>
      </c>
    </row>
    <row r="2724" ht="15.75" customHeight="1">
      <c r="A2724" s="2">
        <f>IFERROR(__xludf.DUMMYFUNCTION("""COMPUTED_VALUE"""),45405.0)</f>
        <v>45405</v>
      </c>
      <c r="B2724" s="2" t="str">
        <f>IFERROR(__xludf.DUMMYFUNCTION("""COMPUTED_VALUE"""),"NOTES")</f>
        <v>NOTES</v>
      </c>
      <c r="C2724" s="2"/>
    </row>
    <row r="2725" ht="15.75" customHeight="1">
      <c r="A2725" s="2">
        <f>IFERROR(__xludf.DUMMYFUNCTION("""COMPUTED_VALUE"""),45777.0)</f>
        <v>45777</v>
      </c>
      <c r="B2725" s="2" t="str">
        <f>IFERROR(__xludf.DUMMYFUNCTION("""COMPUTED_VALUE"""),"# of Sandwiches")</f>
        <v># of Sandwiches</v>
      </c>
      <c r="C2725" s="2">
        <f>IFERROR(__xludf.DUMMYFUNCTION("""COMPUTED_VALUE"""),7955.0)</f>
        <v>7955</v>
      </c>
    </row>
    <row r="2726" ht="15.75" customHeight="1">
      <c r="A2726" s="2">
        <f>IFERROR(__xludf.DUMMYFUNCTION("""COMPUTED_VALUE"""),45777.0)</f>
        <v>45777</v>
      </c>
      <c r="B2726" s="2" t="str">
        <f>IFERROR(__xludf.DUMMYFUNCTION("""COMPUTED_VALUE"""),"ALPHARETTA")</f>
        <v>ALPHARETTA</v>
      </c>
      <c r="C2726" s="2">
        <f>IFERROR(__xludf.DUMMYFUNCTION("""COMPUTED_VALUE"""),618.0)</f>
        <v>618</v>
      </c>
    </row>
    <row r="2727" ht="15.75" customHeight="1">
      <c r="A2727" s="2">
        <f>IFERROR(__xludf.DUMMYFUNCTION("""COMPUTED_VALUE"""),45777.0)</f>
        <v>45777</v>
      </c>
      <c r="B2727" s="2" t="str">
        <f>IFERROR(__xludf.DUMMYFUNCTION("""COMPUTED_VALUE"""),"PREVIOUS BUCKHEAD")</f>
        <v>PREVIOUS BUCKHEAD</v>
      </c>
      <c r="C2727" s="2"/>
    </row>
    <row r="2728" ht="15.75" customHeight="1">
      <c r="A2728" s="2">
        <f>IFERROR(__xludf.DUMMYFUNCTION("""COMPUTED_VALUE"""),45777.0)</f>
        <v>45777</v>
      </c>
      <c r="B2728" s="2" t="str">
        <f>IFERROR(__xludf.DUMMYFUNCTION("""COMPUTED_VALUE"""),"PREVIOUS OAK GROVE")</f>
        <v>PREVIOUS OAK GROVE</v>
      </c>
      <c r="C2728" s="2"/>
    </row>
    <row r="2729" ht="15.75" customHeight="1">
      <c r="A2729" s="2">
        <f>IFERROR(__xludf.DUMMYFUNCTION("""COMPUTED_VALUE"""),45777.0)</f>
        <v>45777</v>
      </c>
      <c r="B2729" s="2" t="str">
        <f>IFERROR(__xludf.DUMMYFUNCTION("""COMPUTED_VALUE"""),"DUNWOODY/PTC ")</f>
        <v>DUNWOODY/PTC </v>
      </c>
      <c r="C2729" s="2">
        <f>IFERROR(__xludf.DUMMYFUNCTION("""COMPUTED_VALUE"""),2032.0)</f>
        <v>2032</v>
      </c>
    </row>
    <row r="2730" ht="15.75" customHeight="1">
      <c r="A2730" s="2">
        <f>IFERROR(__xludf.DUMMYFUNCTION("""COMPUTED_VALUE"""),45777.0)</f>
        <v>45777</v>
      </c>
      <c r="B2730" s="2" t="str">
        <f>IFERROR(__xludf.DUMMYFUNCTION("""COMPUTED_VALUE"""),"E COBB/ROSWELL")</f>
        <v>E COBB/ROSWELL</v>
      </c>
      <c r="C2730" s="2">
        <f>IFERROR(__xludf.DUMMYFUNCTION("""COMPUTED_VALUE"""),915.0)</f>
        <v>915</v>
      </c>
    </row>
    <row r="2731" ht="15.75" customHeight="1">
      <c r="A2731" s="2">
        <f>IFERROR(__xludf.DUMMYFUNCTION("""COMPUTED_VALUE"""),45777.0)</f>
        <v>45777</v>
      </c>
      <c r="B2731" s="2" t="str">
        <f>IFERROR(__xludf.DUMMYFUNCTION("""COMPUTED_VALUE"""),"DECATUR")</f>
        <v>DECATUR</v>
      </c>
      <c r="C2731" s="2"/>
    </row>
    <row r="2732" ht="15.75" customHeight="1">
      <c r="A2732" s="2">
        <f>IFERROR(__xludf.DUMMYFUNCTION("""COMPUTED_VALUE"""),45777.0)</f>
        <v>45777</v>
      </c>
      <c r="B2732" s="2" t="str">
        <f>IFERROR(__xludf.DUMMYFUNCTION("""COMPUTED_VALUE"""),"P'TREE CORNERS ")</f>
        <v>P'TREE CORNERS </v>
      </c>
      <c r="C2732" s="2"/>
    </row>
    <row r="2733" ht="15.75" customHeight="1">
      <c r="A2733" s="2">
        <f>IFERROR(__xludf.DUMMYFUNCTION("""COMPUTED_VALUE"""),45777.0)</f>
        <v>45777</v>
      </c>
      <c r="B2733" s="2" t="str">
        <f>IFERROR(__xludf.DUMMYFUNCTION("""COMPUTED_VALUE"""),"UGA/Athens")</f>
        <v>UGA/Athens</v>
      </c>
      <c r="C2733" s="2"/>
    </row>
    <row r="2734" ht="15.75" customHeight="1">
      <c r="A2734" s="2">
        <f>IFERROR(__xludf.DUMMYFUNCTION("""COMPUTED_VALUE"""),45777.0)</f>
        <v>45777</v>
      </c>
      <c r="B2734" s="2" t="str">
        <f>IFERROR(__xludf.DUMMYFUNCTION("""COMPUTED_VALUE"""),"SANDY SPRINGS ")</f>
        <v>SANDY SPRINGS </v>
      </c>
      <c r="C2734" s="2">
        <f>IFERROR(__xludf.DUMMYFUNCTION("""COMPUTED_VALUE"""),744.0)</f>
        <v>744</v>
      </c>
    </row>
    <row r="2735" ht="15.75" customHeight="1">
      <c r="A2735" s="2">
        <f>IFERROR(__xludf.DUMMYFUNCTION("""COMPUTED_VALUE"""),45777.0)</f>
        <v>45777</v>
      </c>
      <c r="B2735" s="2" t="str">
        <f>IFERROR(__xludf.DUMMYFUNCTION("""COMPUTED_VALUE"""),"INTOWN/DRUID HILLS ")</f>
        <v>INTOWN/DRUID HILLS </v>
      </c>
      <c r="C2735" s="2">
        <f>IFERROR(__xludf.DUMMYFUNCTION("""COMPUTED_VALUE"""),1198.0)</f>
        <v>1198</v>
      </c>
    </row>
    <row r="2736" ht="15.75" customHeight="1">
      <c r="A2736" s="2">
        <f>IFERROR(__xludf.DUMMYFUNCTION("""COMPUTED_VALUE"""),45777.0)</f>
        <v>45777</v>
      </c>
      <c r="B2736" s="2" t="str">
        <f>IFERROR(__xludf.DUMMYFUNCTION("""COMPUTED_VALUE"""),"SNELLVILLE")</f>
        <v>SNELLVILLE</v>
      </c>
      <c r="C2736" s="2"/>
    </row>
    <row r="2737" ht="15.75" customHeight="1">
      <c r="A2737" s="2">
        <f>IFERROR(__xludf.DUMMYFUNCTION("""COMPUTED_VALUE"""),45777.0)</f>
        <v>45777</v>
      </c>
      <c r="B2737" s="2" t="str">
        <f>IFERROR(__xludf.DUMMYFUNCTION("""COMPUTED_VALUE"""),"GROUPS")</f>
        <v>GROUPS</v>
      </c>
      <c r="C2737" s="2"/>
    </row>
    <row r="2738" ht="15.75" customHeight="1">
      <c r="A2738" s="2">
        <f>IFERROR(__xludf.DUMMYFUNCTION("""COMPUTED_VALUE"""),45777.0)</f>
        <v>45777</v>
      </c>
      <c r="B2738" s="2" t="str">
        <f>IFERROR(__xludf.DUMMYFUNCTION("""COMPUTED_VALUE"""),"Previous Woodstock")</f>
        <v>Previous Woodstock</v>
      </c>
      <c r="C2738" s="2"/>
    </row>
    <row r="2739" ht="15.75" customHeight="1">
      <c r="A2739" s="2">
        <f>IFERROR(__xludf.DUMMYFUNCTION("""COMPUTED_VALUE"""),45777.0)</f>
        <v>45777</v>
      </c>
      <c r="B2739" s="2" t="str">
        <f>IFERROR(__xludf.DUMMYFUNCTION("""COMPUTED_VALUE"""),"Previous Lenox/Brookhaven")</f>
        <v>Previous Lenox/Brookhaven</v>
      </c>
      <c r="C2739" s="2"/>
    </row>
    <row r="2740" ht="15.75" customHeight="1">
      <c r="A2740" s="2">
        <f>IFERROR(__xludf.DUMMYFUNCTION("""COMPUTED_VALUE"""),45777.0)</f>
        <v>45777</v>
      </c>
      <c r="B2740" s="2" t="str">
        <f>IFERROR(__xludf.DUMMYFUNCTION("""COMPUTED_VALUE"""),"Previous New Chastain")</f>
        <v>Previous New Chastain</v>
      </c>
      <c r="C2740" s="2"/>
    </row>
    <row r="2741" ht="15.75" customHeight="1">
      <c r="A2741" s="2">
        <f>IFERROR(__xludf.DUMMYFUNCTION("""COMPUTED_VALUE"""),45777.0)</f>
        <v>45777</v>
      </c>
      <c r="B2741" s="2" t="str">
        <f>IFERROR(__xludf.DUMMYFUNCTION("""COMPUTED_VALUE"""),"Previous Glenwood Park")</f>
        <v>Previous Glenwood Park</v>
      </c>
      <c r="C2741" s="2"/>
    </row>
    <row r="2742" ht="15.75" customHeight="1">
      <c r="A2742" s="2">
        <f>IFERROR(__xludf.DUMMYFUNCTION("""COMPUTED_VALUE"""),45777.0)</f>
        <v>45777</v>
      </c>
      <c r="B2742" s="2" t="str">
        <f>IFERROR(__xludf.DUMMYFUNCTION("""COMPUTED_VALUE"""),"FLOWERY BRANCH")</f>
        <v>FLOWERY BRANCH</v>
      </c>
      <c r="C2742" s="2">
        <f>IFERROR(__xludf.DUMMYFUNCTION("""COMPUTED_VALUE"""),398.0)</f>
        <v>398</v>
      </c>
    </row>
    <row r="2743" ht="15.75" customHeight="1">
      <c r="A2743" s="2">
        <f>IFERROR(__xludf.DUMMYFUNCTION("""COMPUTED_VALUE"""),45777.0)</f>
        <v>45777</v>
      </c>
      <c r="B2743" s="2" t="str">
        <f>IFERROR(__xludf.DUMMYFUNCTION("""COMPUTED_VALUE"""),"GROUPS ")</f>
        <v>GROUPS </v>
      </c>
      <c r="C2743" s="2">
        <f>IFERROR(__xludf.DUMMYFUNCTION("""COMPUTED_VALUE"""),2050.0)</f>
        <v>2050</v>
      </c>
    </row>
    <row r="2744" ht="15.75" customHeight="1">
      <c r="A2744" s="2">
        <f>IFERROR(__xludf.DUMMYFUNCTION("""COMPUTED_VALUE"""),45777.0)</f>
        <v>45777</v>
      </c>
      <c r="B2744" s="2" t="str">
        <f>IFERROR(__xludf.DUMMYFUNCTION("""COMPUTED_VALUE"""),"TOTAL")</f>
        <v>TOTAL</v>
      </c>
      <c r="C2744" s="2"/>
    </row>
    <row r="2745" ht="15.75" customHeight="1">
      <c r="A2745" s="2">
        <f>IFERROR(__xludf.DUMMYFUNCTION("""COMPUTED_VALUE"""),45777.0)</f>
        <v>45777</v>
      </c>
      <c r="B2745" s="2" t="str">
        <f>IFERROR(__xludf.DUMMYFUNCTION("""COMPUTED_VALUE"""),"Collective Learning")</f>
        <v>Collective Learning</v>
      </c>
      <c r="C2745" s="2">
        <f>IFERROR(__xludf.DUMMYFUNCTION("""COMPUTED_VALUE"""),50.0)</f>
        <v>50</v>
      </c>
    </row>
    <row r="2746" ht="15.75" customHeight="1">
      <c r="A2746" s="2">
        <f>IFERROR(__xludf.DUMMYFUNCTION("""COMPUTED_VALUE"""),45777.0)</f>
        <v>45777</v>
      </c>
      <c r="B2746" s="2" t="str">
        <f>IFERROR(__xludf.DUMMYFUNCTION("""COMPUTED_VALUE"""),"NOTES")</f>
        <v>NOTES</v>
      </c>
      <c r="C2746" s="2"/>
    </row>
    <row r="2747" ht="15.75" customHeight="1">
      <c r="A2747" s="2">
        <f>IFERROR(__xludf.DUMMYFUNCTION("""COMPUTED_VALUE"""),45784.0)</f>
        <v>45784</v>
      </c>
      <c r="B2747" s="2" t="str">
        <f>IFERROR(__xludf.DUMMYFUNCTION("""COMPUTED_VALUE"""),"# of Sandwiches")</f>
        <v># of Sandwiches</v>
      </c>
      <c r="C2747" s="2">
        <f>IFERROR(__xludf.DUMMYFUNCTION("""COMPUTED_VALUE"""),8569.0)</f>
        <v>8569</v>
      </c>
    </row>
    <row r="2748" ht="15.75" customHeight="1">
      <c r="A2748" s="2">
        <f>IFERROR(__xludf.DUMMYFUNCTION("""COMPUTED_VALUE"""),45784.0)</f>
        <v>45784</v>
      </c>
      <c r="B2748" s="2" t="str">
        <f>IFERROR(__xludf.DUMMYFUNCTION("""COMPUTED_VALUE"""),"ALPHARETTA")</f>
        <v>ALPHARETTA</v>
      </c>
      <c r="C2748" s="2">
        <f>IFERROR(__xludf.DUMMYFUNCTION("""COMPUTED_VALUE"""),2396.0)</f>
        <v>2396</v>
      </c>
    </row>
    <row r="2749" ht="15.75" customHeight="1">
      <c r="A2749" s="2">
        <f>IFERROR(__xludf.DUMMYFUNCTION("""COMPUTED_VALUE"""),45784.0)</f>
        <v>45784</v>
      </c>
      <c r="B2749" s="2" t="str">
        <f>IFERROR(__xludf.DUMMYFUNCTION("""COMPUTED_VALUE"""),"PREVIOUS BUCKHEAD")</f>
        <v>PREVIOUS BUCKHEAD</v>
      </c>
      <c r="C2749" s="2"/>
    </row>
    <row r="2750" ht="15.75" customHeight="1">
      <c r="A2750" s="2">
        <f>IFERROR(__xludf.DUMMYFUNCTION("""COMPUTED_VALUE"""),45784.0)</f>
        <v>45784</v>
      </c>
      <c r="B2750" s="2" t="str">
        <f>IFERROR(__xludf.DUMMYFUNCTION("""COMPUTED_VALUE"""),"PREVIOUS OAK GROVE")</f>
        <v>PREVIOUS OAK GROVE</v>
      </c>
      <c r="C2750" s="2"/>
    </row>
    <row r="2751" ht="15.75" customHeight="1">
      <c r="A2751" s="2">
        <f>IFERROR(__xludf.DUMMYFUNCTION("""COMPUTED_VALUE"""),45784.0)</f>
        <v>45784</v>
      </c>
      <c r="B2751" s="2" t="str">
        <f>IFERROR(__xludf.DUMMYFUNCTION("""COMPUTED_VALUE"""),"DUNWOODY/PTC ")</f>
        <v>DUNWOODY/PTC </v>
      </c>
      <c r="C2751" s="2">
        <f>IFERROR(__xludf.DUMMYFUNCTION("""COMPUTED_VALUE"""),2607.0)</f>
        <v>2607</v>
      </c>
    </row>
    <row r="2752" ht="15.75" customHeight="1">
      <c r="A2752" s="2">
        <f>IFERROR(__xludf.DUMMYFUNCTION("""COMPUTED_VALUE"""),45784.0)</f>
        <v>45784</v>
      </c>
      <c r="B2752" s="2" t="str">
        <f>IFERROR(__xludf.DUMMYFUNCTION("""COMPUTED_VALUE"""),"E COBB/ROSWELL")</f>
        <v>E COBB/ROSWELL</v>
      </c>
      <c r="C2752" s="2">
        <f>IFERROR(__xludf.DUMMYFUNCTION("""COMPUTED_VALUE"""),1052.0)</f>
        <v>1052</v>
      </c>
    </row>
    <row r="2753" ht="15.75" customHeight="1">
      <c r="A2753" s="2">
        <f>IFERROR(__xludf.DUMMYFUNCTION("""COMPUTED_VALUE"""),45784.0)</f>
        <v>45784</v>
      </c>
      <c r="B2753" s="2" t="str">
        <f>IFERROR(__xludf.DUMMYFUNCTION("""COMPUTED_VALUE"""),"DECATUR")</f>
        <v>DECATUR</v>
      </c>
      <c r="C2753" s="2"/>
    </row>
    <row r="2754" ht="15.75" customHeight="1">
      <c r="A2754" s="2">
        <f>IFERROR(__xludf.DUMMYFUNCTION("""COMPUTED_VALUE"""),45784.0)</f>
        <v>45784</v>
      </c>
      <c r="B2754" s="2" t="str">
        <f>IFERROR(__xludf.DUMMYFUNCTION("""COMPUTED_VALUE"""),"P'TREE CORNERS ")</f>
        <v>P'TREE CORNERS </v>
      </c>
      <c r="C2754" s="2"/>
    </row>
    <row r="2755" ht="15.75" customHeight="1">
      <c r="A2755" s="2">
        <f>IFERROR(__xludf.DUMMYFUNCTION("""COMPUTED_VALUE"""),45784.0)</f>
        <v>45784</v>
      </c>
      <c r="B2755" s="2" t="str">
        <f>IFERROR(__xludf.DUMMYFUNCTION("""COMPUTED_VALUE"""),"UGA/Athens")</f>
        <v>UGA/Athens</v>
      </c>
      <c r="C2755" s="2"/>
    </row>
    <row r="2756" ht="15.75" customHeight="1">
      <c r="A2756" s="2">
        <f>IFERROR(__xludf.DUMMYFUNCTION("""COMPUTED_VALUE"""),45784.0)</f>
        <v>45784</v>
      </c>
      <c r="B2756" s="2" t="str">
        <f>IFERROR(__xludf.DUMMYFUNCTION("""COMPUTED_VALUE"""),"SANDY SPRINGS ")</f>
        <v>SANDY SPRINGS </v>
      </c>
      <c r="C2756" s="2">
        <f>IFERROR(__xludf.DUMMYFUNCTION("""COMPUTED_VALUE"""),599.0)</f>
        <v>599</v>
      </c>
    </row>
    <row r="2757" ht="15.75" customHeight="1">
      <c r="A2757" s="2">
        <f>IFERROR(__xludf.DUMMYFUNCTION("""COMPUTED_VALUE"""),45784.0)</f>
        <v>45784</v>
      </c>
      <c r="B2757" s="2" t="str">
        <f>IFERROR(__xludf.DUMMYFUNCTION("""COMPUTED_VALUE"""),"INTOWN/DRUID HILLS ")</f>
        <v>INTOWN/DRUID HILLS </v>
      </c>
      <c r="C2757" s="2">
        <f>IFERROR(__xludf.DUMMYFUNCTION("""COMPUTED_VALUE"""),853.0)</f>
        <v>853</v>
      </c>
    </row>
    <row r="2758" ht="15.75" customHeight="1">
      <c r="A2758" s="2">
        <f>IFERROR(__xludf.DUMMYFUNCTION("""COMPUTED_VALUE"""),45784.0)</f>
        <v>45784</v>
      </c>
      <c r="B2758" s="2" t="str">
        <f>IFERROR(__xludf.DUMMYFUNCTION("""COMPUTED_VALUE"""),"SNELLVILLE")</f>
        <v>SNELLVILLE</v>
      </c>
      <c r="C2758" s="2"/>
    </row>
    <row r="2759" ht="15.75" customHeight="1">
      <c r="A2759" s="2">
        <f>IFERROR(__xludf.DUMMYFUNCTION("""COMPUTED_VALUE"""),45784.0)</f>
        <v>45784</v>
      </c>
      <c r="B2759" s="2" t="str">
        <f>IFERROR(__xludf.DUMMYFUNCTION("""COMPUTED_VALUE"""),"GROUPS")</f>
        <v>GROUPS</v>
      </c>
      <c r="C2759" s="2"/>
    </row>
    <row r="2760" ht="15.75" customHeight="1">
      <c r="A2760" s="2">
        <f>IFERROR(__xludf.DUMMYFUNCTION("""COMPUTED_VALUE"""),45784.0)</f>
        <v>45784</v>
      </c>
      <c r="B2760" s="2" t="str">
        <f>IFERROR(__xludf.DUMMYFUNCTION("""COMPUTED_VALUE"""),"Previous Woodstock")</f>
        <v>Previous Woodstock</v>
      </c>
      <c r="C2760" s="2"/>
    </row>
    <row r="2761" ht="15.75" customHeight="1">
      <c r="A2761" s="2">
        <f>IFERROR(__xludf.DUMMYFUNCTION("""COMPUTED_VALUE"""),45784.0)</f>
        <v>45784</v>
      </c>
      <c r="B2761" s="2" t="str">
        <f>IFERROR(__xludf.DUMMYFUNCTION("""COMPUTED_VALUE"""),"Previous Lenox/Brookhaven")</f>
        <v>Previous Lenox/Brookhaven</v>
      </c>
      <c r="C2761" s="2"/>
    </row>
    <row r="2762" ht="15.75" customHeight="1">
      <c r="A2762" s="2">
        <f>IFERROR(__xludf.DUMMYFUNCTION("""COMPUTED_VALUE"""),45784.0)</f>
        <v>45784</v>
      </c>
      <c r="B2762" s="2" t="str">
        <f>IFERROR(__xludf.DUMMYFUNCTION("""COMPUTED_VALUE"""),"Previous New Chastain")</f>
        <v>Previous New Chastain</v>
      </c>
      <c r="C2762" s="2"/>
    </row>
    <row r="2763" ht="15.75" customHeight="1">
      <c r="A2763" s="2">
        <f>IFERROR(__xludf.DUMMYFUNCTION("""COMPUTED_VALUE"""),45784.0)</f>
        <v>45784</v>
      </c>
      <c r="B2763" s="2" t="str">
        <f>IFERROR(__xludf.DUMMYFUNCTION("""COMPUTED_VALUE"""),"Previous Glenwood Park")</f>
        <v>Previous Glenwood Park</v>
      </c>
      <c r="C2763" s="2"/>
    </row>
    <row r="2764" ht="15.75" customHeight="1">
      <c r="A2764" s="2">
        <f>IFERROR(__xludf.DUMMYFUNCTION("""COMPUTED_VALUE"""),45784.0)</f>
        <v>45784</v>
      </c>
      <c r="B2764" s="2" t="str">
        <f>IFERROR(__xludf.DUMMYFUNCTION("""COMPUTED_VALUE"""),"FLOWERY BRANCH")</f>
        <v>FLOWERY BRANCH</v>
      </c>
      <c r="C2764" s="2">
        <f>IFERROR(__xludf.DUMMYFUNCTION("""COMPUTED_VALUE"""),262.0)</f>
        <v>262</v>
      </c>
    </row>
    <row r="2765" ht="15.75" customHeight="1">
      <c r="A2765" s="2">
        <f>IFERROR(__xludf.DUMMYFUNCTION("""COMPUTED_VALUE"""),45784.0)</f>
        <v>45784</v>
      </c>
      <c r="B2765" s="2" t="str">
        <f>IFERROR(__xludf.DUMMYFUNCTION("""COMPUTED_VALUE"""),"GROUPS ")</f>
        <v>GROUPS </v>
      </c>
      <c r="C2765" s="2">
        <f>IFERROR(__xludf.DUMMYFUNCTION("""COMPUTED_VALUE"""),800.0)</f>
        <v>800</v>
      </c>
    </row>
    <row r="2766" ht="15.75" customHeight="1">
      <c r="A2766" s="2">
        <f>IFERROR(__xludf.DUMMYFUNCTION("""COMPUTED_VALUE"""),45784.0)</f>
        <v>45784</v>
      </c>
      <c r="B2766" s="2" t="str">
        <f>IFERROR(__xludf.DUMMYFUNCTION("""COMPUTED_VALUE"""),"TOTAL")</f>
        <v>TOTAL</v>
      </c>
      <c r="C2766" s="2"/>
    </row>
    <row r="2767" ht="15.75" customHeight="1">
      <c r="A2767" s="2">
        <f>IFERROR(__xludf.DUMMYFUNCTION("""COMPUTED_VALUE"""),45784.0)</f>
        <v>45784</v>
      </c>
      <c r="B2767" s="2" t="str">
        <f>IFERROR(__xludf.DUMMYFUNCTION("""COMPUTED_VALUE"""),"Collective Learning")</f>
        <v>Collective Learning</v>
      </c>
      <c r="C2767" s="2">
        <f>IFERROR(__xludf.DUMMYFUNCTION("""COMPUTED_VALUE"""),50.0)</f>
        <v>50</v>
      </c>
    </row>
    <row r="2768" ht="15.75" customHeight="1">
      <c r="A2768" s="2">
        <f>IFERROR(__xludf.DUMMYFUNCTION("""COMPUTED_VALUE"""),45784.0)</f>
        <v>45784</v>
      </c>
      <c r="B2768" s="2" t="str">
        <f>IFERROR(__xludf.DUMMYFUNCTION("""COMPUTED_VALUE"""),"NOTES")</f>
        <v>NOTES</v>
      </c>
      <c r="C2768" s="2"/>
    </row>
    <row r="2769" ht="15.75" customHeight="1">
      <c r="A2769" s="2">
        <f>IFERROR(__xludf.DUMMYFUNCTION("""COMPUTED_VALUE"""),45791.0)</f>
        <v>45791</v>
      </c>
      <c r="B2769" s="2" t="str">
        <f>IFERROR(__xludf.DUMMYFUNCTION("""COMPUTED_VALUE"""),"# of Sandwiches")</f>
        <v># of Sandwiches</v>
      </c>
      <c r="C2769" s="2">
        <f>IFERROR(__xludf.DUMMYFUNCTION("""COMPUTED_VALUE"""),9212.0)</f>
        <v>9212</v>
      </c>
    </row>
    <row r="2770" ht="15.75" customHeight="1">
      <c r="A2770" s="2">
        <f>IFERROR(__xludf.DUMMYFUNCTION("""COMPUTED_VALUE"""),45791.0)</f>
        <v>45791</v>
      </c>
      <c r="B2770" s="2" t="str">
        <f>IFERROR(__xludf.DUMMYFUNCTION("""COMPUTED_VALUE"""),"ALPHARETTA")</f>
        <v>ALPHARETTA</v>
      </c>
      <c r="C2770" s="2">
        <f>IFERROR(__xludf.DUMMYFUNCTION("""COMPUTED_VALUE"""),2520.0)</f>
        <v>2520</v>
      </c>
    </row>
    <row r="2771" ht="15.75" customHeight="1">
      <c r="A2771" s="2">
        <f>IFERROR(__xludf.DUMMYFUNCTION("""COMPUTED_VALUE"""),45791.0)</f>
        <v>45791</v>
      </c>
      <c r="B2771" s="2" t="str">
        <f>IFERROR(__xludf.DUMMYFUNCTION("""COMPUTED_VALUE"""),"PREVIOUS BUCKHEAD")</f>
        <v>PREVIOUS BUCKHEAD</v>
      </c>
      <c r="C2771" s="2"/>
    </row>
    <row r="2772" ht="15.75" customHeight="1">
      <c r="A2772" s="2">
        <f>IFERROR(__xludf.DUMMYFUNCTION("""COMPUTED_VALUE"""),45791.0)</f>
        <v>45791</v>
      </c>
      <c r="B2772" s="2" t="str">
        <f>IFERROR(__xludf.DUMMYFUNCTION("""COMPUTED_VALUE"""),"PREVIOUS OAK GROVE")</f>
        <v>PREVIOUS OAK GROVE</v>
      </c>
      <c r="C2772" s="2"/>
    </row>
    <row r="2773" ht="15.75" customHeight="1">
      <c r="A2773" s="2">
        <f>IFERROR(__xludf.DUMMYFUNCTION("""COMPUTED_VALUE"""),45791.0)</f>
        <v>45791</v>
      </c>
      <c r="B2773" s="2" t="str">
        <f>IFERROR(__xludf.DUMMYFUNCTION("""COMPUTED_VALUE"""),"DUNWOODY/PTC ")</f>
        <v>DUNWOODY/PTC </v>
      </c>
      <c r="C2773" s="2">
        <f>IFERROR(__xludf.DUMMYFUNCTION("""COMPUTED_VALUE"""),2316.0)</f>
        <v>2316</v>
      </c>
    </row>
    <row r="2774" ht="15.75" customHeight="1">
      <c r="A2774" s="2">
        <f>IFERROR(__xludf.DUMMYFUNCTION("""COMPUTED_VALUE"""),45791.0)</f>
        <v>45791</v>
      </c>
      <c r="B2774" s="2" t="str">
        <f>IFERROR(__xludf.DUMMYFUNCTION("""COMPUTED_VALUE"""),"E COBB/ROSWELL")</f>
        <v>E COBB/ROSWELL</v>
      </c>
      <c r="C2774" s="2">
        <f>IFERROR(__xludf.DUMMYFUNCTION("""COMPUTED_VALUE"""),726.0)</f>
        <v>726</v>
      </c>
    </row>
    <row r="2775" ht="15.75" customHeight="1">
      <c r="A2775" s="2">
        <f>IFERROR(__xludf.DUMMYFUNCTION("""COMPUTED_VALUE"""),45791.0)</f>
        <v>45791</v>
      </c>
      <c r="B2775" s="2" t="str">
        <f>IFERROR(__xludf.DUMMYFUNCTION("""COMPUTED_VALUE"""),"DECATUR")</f>
        <v>DECATUR</v>
      </c>
      <c r="C2775" s="2"/>
    </row>
    <row r="2776" ht="15.75" customHeight="1">
      <c r="A2776" s="2">
        <f>IFERROR(__xludf.DUMMYFUNCTION("""COMPUTED_VALUE"""),45791.0)</f>
        <v>45791</v>
      </c>
      <c r="B2776" s="2" t="str">
        <f>IFERROR(__xludf.DUMMYFUNCTION("""COMPUTED_VALUE"""),"P'TREE CORNERS ")</f>
        <v>P'TREE CORNERS </v>
      </c>
      <c r="C2776" s="2"/>
    </row>
    <row r="2777" ht="15.75" customHeight="1">
      <c r="A2777" s="2">
        <f>IFERROR(__xludf.DUMMYFUNCTION("""COMPUTED_VALUE"""),45791.0)</f>
        <v>45791</v>
      </c>
      <c r="B2777" s="2" t="str">
        <f>IFERROR(__xludf.DUMMYFUNCTION("""COMPUTED_VALUE"""),"UGA/Athens")</f>
        <v>UGA/Athens</v>
      </c>
      <c r="C2777" s="2"/>
    </row>
    <row r="2778" ht="15.75" customHeight="1">
      <c r="A2778" s="2">
        <f>IFERROR(__xludf.DUMMYFUNCTION("""COMPUTED_VALUE"""),45791.0)</f>
        <v>45791</v>
      </c>
      <c r="B2778" s="2" t="str">
        <f>IFERROR(__xludf.DUMMYFUNCTION("""COMPUTED_VALUE"""),"SANDY SPRINGS ")</f>
        <v>SANDY SPRINGS </v>
      </c>
      <c r="C2778" s="2">
        <f>IFERROR(__xludf.DUMMYFUNCTION("""COMPUTED_VALUE"""),631.0)</f>
        <v>631</v>
      </c>
    </row>
    <row r="2779" ht="15.75" customHeight="1">
      <c r="A2779" s="2">
        <f>IFERROR(__xludf.DUMMYFUNCTION("""COMPUTED_VALUE"""),45791.0)</f>
        <v>45791</v>
      </c>
      <c r="B2779" s="2" t="str">
        <f>IFERROR(__xludf.DUMMYFUNCTION("""COMPUTED_VALUE"""),"INTOWN/DRUID HILLS ")</f>
        <v>INTOWN/DRUID HILLS </v>
      </c>
      <c r="C2779" s="2">
        <f>IFERROR(__xludf.DUMMYFUNCTION("""COMPUTED_VALUE"""),921.0)</f>
        <v>921</v>
      </c>
    </row>
    <row r="2780" ht="15.75" customHeight="1">
      <c r="A2780" s="2">
        <f>IFERROR(__xludf.DUMMYFUNCTION("""COMPUTED_VALUE"""),45791.0)</f>
        <v>45791</v>
      </c>
      <c r="B2780" s="2" t="str">
        <f>IFERROR(__xludf.DUMMYFUNCTION("""COMPUTED_VALUE"""),"SNELLVILLE")</f>
        <v>SNELLVILLE</v>
      </c>
      <c r="C2780" s="2"/>
    </row>
    <row r="2781" ht="15.75" customHeight="1">
      <c r="A2781" s="2">
        <f>IFERROR(__xludf.DUMMYFUNCTION("""COMPUTED_VALUE"""),45791.0)</f>
        <v>45791</v>
      </c>
      <c r="B2781" s="2" t="str">
        <f>IFERROR(__xludf.DUMMYFUNCTION("""COMPUTED_VALUE"""),"GROUPS")</f>
        <v>GROUPS</v>
      </c>
      <c r="C2781" s="2"/>
    </row>
    <row r="2782" ht="15.75" customHeight="1">
      <c r="A2782" s="2">
        <f>IFERROR(__xludf.DUMMYFUNCTION("""COMPUTED_VALUE"""),45791.0)</f>
        <v>45791</v>
      </c>
      <c r="B2782" s="2" t="str">
        <f>IFERROR(__xludf.DUMMYFUNCTION("""COMPUTED_VALUE"""),"Previous Woodstock")</f>
        <v>Previous Woodstock</v>
      </c>
      <c r="C2782" s="2"/>
    </row>
    <row r="2783" ht="15.75" customHeight="1">
      <c r="A2783" s="2">
        <f>IFERROR(__xludf.DUMMYFUNCTION("""COMPUTED_VALUE"""),45791.0)</f>
        <v>45791</v>
      </c>
      <c r="B2783" s="2" t="str">
        <f>IFERROR(__xludf.DUMMYFUNCTION("""COMPUTED_VALUE"""),"Previous Lenox/Brookhaven")</f>
        <v>Previous Lenox/Brookhaven</v>
      </c>
      <c r="C2783" s="2"/>
    </row>
    <row r="2784" ht="15.75" customHeight="1">
      <c r="A2784" s="2">
        <f>IFERROR(__xludf.DUMMYFUNCTION("""COMPUTED_VALUE"""),45791.0)</f>
        <v>45791</v>
      </c>
      <c r="B2784" s="2" t="str">
        <f>IFERROR(__xludf.DUMMYFUNCTION("""COMPUTED_VALUE"""),"Previous New Chastain")</f>
        <v>Previous New Chastain</v>
      </c>
      <c r="C2784" s="2"/>
    </row>
    <row r="2785" ht="15.75" customHeight="1">
      <c r="A2785" s="2">
        <f>IFERROR(__xludf.DUMMYFUNCTION("""COMPUTED_VALUE"""),45791.0)</f>
        <v>45791</v>
      </c>
      <c r="B2785" s="2" t="str">
        <f>IFERROR(__xludf.DUMMYFUNCTION("""COMPUTED_VALUE"""),"Previous Glenwood Park")</f>
        <v>Previous Glenwood Park</v>
      </c>
      <c r="C2785" s="2"/>
    </row>
    <row r="2786" ht="15.75" customHeight="1">
      <c r="A2786" s="2">
        <f>IFERROR(__xludf.DUMMYFUNCTION("""COMPUTED_VALUE"""),45791.0)</f>
        <v>45791</v>
      </c>
      <c r="B2786" s="2" t="str">
        <f>IFERROR(__xludf.DUMMYFUNCTION("""COMPUTED_VALUE"""),"FLOWERY BRANCH")</f>
        <v>FLOWERY BRANCH</v>
      </c>
      <c r="C2786" s="2">
        <f>IFERROR(__xludf.DUMMYFUNCTION("""COMPUTED_VALUE"""),298.0)</f>
        <v>298</v>
      </c>
    </row>
    <row r="2787" ht="15.75" customHeight="1">
      <c r="A2787" s="2">
        <f>IFERROR(__xludf.DUMMYFUNCTION("""COMPUTED_VALUE"""),45791.0)</f>
        <v>45791</v>
      </c>
      <c r="B2787" s="2" t="str">
        <f>IFERROR(__xludf.DUMMYFUNCTION("""COMPUTED_VALUE"""),"GROUPS ")</f>
        <v>GROUPS </v>
      </c>
      <c r="C2787" s="2">
        <f>IFERROR(__xludf.DUMMYFUNCTION("""COMPUTED_VALUE"""),1800.0)</f>
        <v>1800</v>
      </c>
    </row>
    <row r="2788" ht="15.75" customHeight="1">
      <c r="A2788" s="2">
        <f>IFERROR(__xludf.DUMMYFUNCTION("""COMPUTED_VALUE"""),45791.0)</f>
        <v>45791</v>
      </c>
      <c r="B2788" s="2" t="str">
        <f>IFERROR(__xludf.DUMMYFUNCTION("""COMPUTED_VALUE"""),"TOTAL")</f>
        <v>TOTAL</v>
      </c>
      <c r="C2788" s="2"/>
    </row>
    <row r="2789" ht="15.75" customHeight="1">
      <c r="A2789" s="2">
        <f>IFERROR(__xludf.DUMMYFUNCTION("""COMPUTED_VALUE"""),45791.0)</f>
        <v>45791</v>
      </c>
      <c r="B2789" s="2" t="str">
        <f>IFERROR(__xludf.DUMMYFUNCTION("""COMPUTED_VALUE"""),"Collective Learning")</f>
        <v>Collective Learning</v>
      </c>
      <c r="C2789" s="2">
        <f>IFERROR(__xludf.DUMMYFUNCTION("""COMPUTED_VALUE"""),50.0)</f>
        <v>50</v>
      </c>
    </row>
    <row r="2790" ht="15.75" customHeight="1">
      <c r="A2790" s="2">
        <f>IFERROR(__xludf.DUMMYFUNCTION("""COMPUTED_VALUE"""),45791.0)</f>
        <v>45791</v>
      </c>
      <c r="B2790" s="2" t="str">
        <f>IFERROR(__xludf.DUMMYFUNCTION("""COMPUTED_VALUE"""),"NOTES")</f>
        <v>NOTES</v>
      </c>
      <c r="C2790" s="2"/>
    </row>
    <row r="2791" ht="15.75" customHeight="1">
      <c r="A2791" s="2">
        <f>IFERROR(__xludf.DUMMYFUNCTION("""COMPUTED_VALUE"""),45798.0)</f>
        <v>45798</v>
      </c>
      <c r="B2791" s="2" t="str">
        <f>IFERROR(__xludf.DUMMYFUNCTION("""COMPUTED_VALUE"""),"# of Sandwiches")</f>
        <v># of Sandwiches</v>
      </c>
      <c r="C2791" s="2">
        <f>IFERROR(__xludf.DUMMYFUNCTION("""COMPUTED_VALUE"""),10241.0)</f>
        <v>10241</v>
      </c>
    </row>
    <row r="2792" ht="15.75" customHeight="1">
      <c r="A2792" s="2">
        <f>IFERROR(__xludf.DUMMYFUNCTION("""COMPUTED_VALUE"""),45798.0)</f>
        <v>45798</v>
      </c>
      <c r="B2792" s="2" t="str">
        <f>IFERROR(__xludf.DUMMYFUNCTION("""COMPUTED_VALUE"""),"ALPHARETTA")</f>
        <v>ALPHARETTA</v>
      </c>
      <c r="C2792" s="2">
        <f>IFERROR(__xludf.DUMMYFUNCTION("""COMPUTED_VALUE"""),950.0)</f>
        <v>950</v>
      </c>
    </row>
    <row r="2793" ht="15.75" customHeight="1">
      <c r="A2793" s="2">
        <f>IFERROR(__xludf.DUMMYFUNCTION("""COMPUTED_VALUE"""),45798.0)</f>
        <v>45798</v>
      </c>
      <c r="B2793" s="2" t="str">
        <f>IFERROR(__xludf.DUMMYFUNCTION("""COMPUTED_VALUE"""),"PREVIOUS BUCKHEAD")</f>
        <v>PREVIOUS BUCKHEAD</v>
      </c>
      <c r="C2793" s="2"/>
    </row>
    <row r="2794" ht="15.75" customHeight="1">
      <c r="A2794" s="2">
        <f>IFERROR(__xludf.DUMMYFUNCTION("""COMPUTED_VALUE"""),45798.0)</f>
        <v>45798</v>
      </c>
      <c r="B2794" s="2" t="str">
        <f>IFERROR(__xludf.DUMMYFUNCTION("""COMPUTED_VALUE"""),"PREVIOUS OAK GROVE")</f>
        <v>PREVIOUS OAK GROVE</v>
      </c>
      <c r="C2794" s="2"/>
    </row>
    <row r="2795" ht="15.75" customHeight="1">
      <c r="A2795" s="2">
        <f>IFERROR(__xludf.DUMMYFUNCTION("""COMPUTED_VALUE"""),45798.0)</f>
        <v>45798</v>
      </c>
      <c r="B2795" s="2" t="str">
        <f>IFERROR(__xludf.DUMMYFUNCTION("""COMPUTED_VALUE"""),"DUNWOODY/PTC ")</f>
        <v>DUNWOODY/PTC </v>
      </c>
      <c r="C2795" s="2">
        <f>IFERROR(__xludf.DUMMYFUNCTION("""COMPUTED_VALUE"""),1783.0)</f>
        <v>1783</v>
      </c>
    </row>
    <row r="2796" ht="15.75" customHeight="1">
      <c r="A2796" s="2">
        <f>IFERROR(__xludf.DUMMYFUNCTION("""COMPUTED_VALUE"""),45798.0)</f>
        <v>45798</v>
      </c>
      <c r="B2796" s="2" t="str">
        <f>IFERROR(__xludf.DUMMYFUNCTION("""COMPUTED_VALUE"""),"E COBB/ROSWELL")</f>
        <v>E COBB/ROSWELL</v>
      </c>
      <c r="C2796" s="2">
        <f>IFERROR(__xludf.DUMMYFUNCTION("""COMPUTED_VALUE"""),1403.0)</f>
        <v>1403</v>
      </c>
    </row>
    <row r="2797" ht="15.75" customHeight="1">
      <c r="A2797" s="2">
        <f>IFERROR(__xludf.DUMMYFUNCTION("""COMPUTED_VALUE"""),45798.0)</f>
        <v>45798</v>
      </c>
      <c r="B2797" s="2" t="str">
        <f>IFERROR(__xludf.DUMMYFUNCTION("""COMPUTED_VALUE"""),"DECATUR")</f>
        <v>DECATUR</v>
      </c>
      <c r="C2797" s="2"/>
    </row>
    <row r="2798" ht="15.75" customHeight="1">
      <c r="A2798" s="2">
        <f>IFERROR(__xludf.DUMMYFUNCTION("""COMPUTED_VALUE"""),45798.0)</f>
        <v>45798</v>
      </c>
      <c r="B2798" s="2" t="str">
        <f>IFERROR(__xludf.DUMMYFUNCTION("""COMPUTED_VALUE"""),"P'TREE CORNERS ")</f>
        <v>P'TREE CORNERS </v>
      </c>
      <c r="C2798" s="2"/>
    </row>
    <row r="2799" ht="15.75" customHeight="1">
      <c r="A2799" s="2">
        <f>IFERROR(__xludf.DUMMYFUNCTION("""COMPUTED_VALUE"""),45798.0)</f>
        <v>45798</v>
      </c>
      <c r="B2799" s="2" t="str">
        <f>IFERROR(__xludf.DUMMYFUNCTION("""COMPUTED_VALUE"""),"UGA/Athens")</f>
        <v>UGA/Athens</v>
      </c>
      <c r="C2799" s="2"/>
    </row>
    <row r="2800" ht="15.75" customHeight="1">
      <c r="A2800" s="2">
        <f>IFERROR(__xludf.DUMMYFUNCTION("""COMPUTED_VALUE"""),45798.0)</f>
        <v>45798</v>
      </c>
      <c r="B2800" s="2" t="str">
        <f>IFERROR(__xludf.DUMMYFUNCTION("""COMPUTED_VALUE"""),"SANDY SPRINGS ")</f>
        <v>SANDY SPRINGS </v>
      </c>
      <c r="C2800" s="2">
        <f>IFERROR(__xludf.DUMMYFUNCTION("""COMPUTED_VALUE"""),644.0)</f>
        <v>644</v>
      </c>
    </row>
    <row r="2801" ht="15.75" customHeight="1">
      <c r="A2801" s="2">
        <f>IFERROR(__xludf.DUMMYFUNCTION("""COMPUTED_VALUE"""),45798.0)</f>
        <v>45798</v>
      </c>
      <c r="B2801" s="2" t="str">
        <f>IFERROR(__xludf.DUMMYFUNCTION("""COMPUTED_VALUE"""),"INTOWN/DRUID HILLS ")</f>
        <v>INTOWN/DRUID HILLS </v>
      </c>
      <c r="C2801" s="2">
        <f>IFERROR(__xludf.DUMMYFUNCTION("""COMPUTED_VALUE"""),516.0)</f>
        <v>516</v>
      </c>
    </row>
    <row r="2802" ht="15.75" customHeight="1">
      <c r="A2802" s="2">
        <f>IFERROR(__xludf.DUMMYFUNCTION("""COMPUTED_VALUE"""),45798.0)</f>
        <v>45798</v>
      </c>
      <c r="B2802" s="2" t="str">
        <f>IFERROR(__xludf.DUMMYFUNCTION("""COMPUTED_VALUE"""),"SNELLVILLE")</f>
        <v>SNELLVILLE</v>
      </c>
      <c r="C2802" s="2"/>
    </row>
    <row r="2803" ht="15.75" customHeight="1">
      <c r="A2803" s="2">
        <f>IFERROR(__xludf.DUMMYFUNCTION("""COMPUTED_VALUE"""),45798.0)</f>
        <v>45798</v>
      </c>
      <c r="B2803" s="2" t="str">
        <f>IFERROR(__xludf.DUMMYFUNCTION("""COMPUTED_VALUE"""),"GROUPS")</f>
        <v>GROUPS</v>
      </c>
      <c r="C2803" s="2"/>
    </row>
    <row r="2804" ht="15.75" customHeight="1">
      <c r="A2804" s="2">
        <f>IFERROR(__xludf.DUMMYFUNCTION("""COMPUTED_VALUE"""),45798.0)</f>
        <v>45798</v>
      </c>
      <c r="B2804" s="2" t="str">
        <f>IFERROR(__xludf.DUMMYFUNCTION("""COMPUTED_VALUE"""),"Previous Woodstock")</f>
        <v>Previous Woodstock</v>
      </c>
      <c r="C2804" s="2"/>
    </row>
    <row r="2805" ht="15.75" customHeight="1">
      <c r="A2805" s="2">
        <f>IFERROR(__xludf.DUMMYFUNCTION("""COMPUTED_VALUE"""),45798.0)</f>
        <v>45798</v>
      </c>
      <c r="B2805" s="2" t="str">
        <f>IFERROR(__xludf.DUMMYFUNCTION("""COMPUTED_VALUE"""),"Previous Lenox/Brookhaven")</f>
        <v>Previous Lenox/Brookhaven</v>
      </c>
      <c r="C2805" s="2"/>
    </row>
    <row r="2806" ht="15.75" customHeight="1">
      <c r="A2806" s="2">
        <f>IFERROR(__xludf.DUMMYFUNCTION("""COMPUTED_VALUE"""),45798.0)</f>
        <v>45798</v>
      </c>
      <c r="B2806" s="2" t="str">
        <f>IFERROR(__xludf.DUMMYFUNCTION("""COMPUTED_VALUE"""),"Previous New Chastain")</f>
        <v>Previous New Chastain</v>
      </c>
      <c r="C2806" s="2"/>
    </row>
    <row r="2807" ht="15.75" customHeight="1">
      <c r="A2807" s="2">
        <f>IFERROR(__xludf.DUMMYFUNCTION("""COMPUTED_VALUE"""),45798.0)</f>
        <v>45798</v>
      </c>
      <c r="B2807" s="2" t="str">
        <f>IFERROR(__xludf.DUMMYFUNCTION("""COMPUTED_VALUE"""),"Previous Glenwood Park")</f>
        <v>Previous Glenwood Park</v>
      </c>
      <c r="C2807" s="2"/>
    </row>
    <row r="2808" ht="15.75" customHeight="1">
      <c r="A2808" s="2">
        <f>IFERROR(__xludf.DUMMYFUNCTION("""COMPUTED_VALUE"""),45798.0)</f>
        <v>45798</v>
      </c>
      <c r="B2808" s="2" t="str">
        <f>IFERROR(__xludf.DUMMYFUNCTION("""COMPUTED_VALUE"""),"FLOWERY BRANCH")</f>
        <v>FLOWERY BRANCH</v>
      </c>
      <c r="C2808" s="2">
        <f>IFERROR(__xludf.DUMMYFUNCTION("""COMPUTED_VALUE"""),285.0)</f>
        <v>285</v>
      </c>
    </row>
    <row r="2809" ht="15.75" customHeight="1">
      <c r="A2809" s="2">
        <f>IFERROR(__xludf.DUMMYFUNCTION("""COMPUTED_VALUE"""),45798.0)</f>
        <v>45798</v>
      </c>
      <c r="B2809" s="2" t="str">
        <f>IFERROR(__xludf.DUMMYFUNCTION("""COMPUTED_VALUE"""),"GROUPS ")</f>
        <v>GROUPS </v>
      </c>
      <c r="C2809" s="2">
        <f>IFERROR(__xludf.DUMMYFUNCTION("""COMPUTED_VALUE"""),4610.0)</f>
        <v>4610</v>
      </c>
    </row>
    <row r="2810" ht="15.75" customHeight="1">
      <c r="A2810" s="2">
        <f>IFERROR(__xludf.DUMMYFUNCTION("""COMPUTED_VALUE"""),45798.0)</f>
        <v>45798</v>
      </c>
      <c r="B2810" s="2" t="str">
        <f>IFERROR(__xludf.DUMMYFUNCTION("""COMPUTED_VALUE"""),"TOTAL")</f>
        <v>TOTAL</v>
      </c>
      <c r="C2810" s="2"/>
    </row>
    <row r="2811" ht="15.75" customHeight="1">
      <c r="A2811" s="2">
        <f>IFERROR(__xludf.DUMMYFUNCTION("""COMPUTED_VALUE"""),45798.0)</f>
        <v>45798</v>
      </c>
      <c r="B2811" s="2" t="str">
        <f>IFERROR(__xludf.DUMMYFUNCTION("""COMPUTED_VALUE"""),"Collective Learning")</f>
        <v>Collective Learning</v>
      </c>
      <c r="C2811" s="2">
        <f>IFERROR(__xludf.DUMMYFUNCTION("""COMPUTED_VALUE"""),50.0)</f>
        <v>50</v>
      </c>
    </row>
    <row r="2812" ht="15.75" customHeight="1">
      <c r="A2812" s="2">
        <f>IFERROR(__xludf.DUMMYFUNCTION("""COMPUTED_VALUE"""),45798.0)</f>
        <v>45798</v>
      </c>
      <c r="B2812" s="2" t="str">
        <f>IFERROR(__xludf.DUMMYFUNCTION("""COMPUTED_VALUE"""),"NOTES")</f>
        <v>NOTES</v>
      </c>
      <c r="C2812" s="2"/>
    </row>
    <row r="2813" ht="15.75" customHeight="1">
      <c r="A2813" s="2">
        <f>IFERROR(__xludf.DUMMYFUNCTION("""COMPUTED_VALUE"""),45806.0)</f>
        <v>45806</v>
      </c>
      <c r="B2813" s="2" t="str">
        <f>IFERROR(__xludf.DUMMYFUNCTION("""COMPUTED_VALUE"""),"# of Sandwiches")</f>
        <v># of Sandwiches</v>
      </c>
      <c r="C2813" s="2">
        <f>IFERROR(__xludf.DUMMYFUNCTION("""COMPUTED_VALUE"""),4721.0)</f>
        <v>4721</v>
      </c>
    </row>
    <row r="2814" ht="15.75" customHeight="1">
      <c r="A2814" s="2">
        <f>IFERROR(__xludf.DUMMYFUNCTION("""COMPUTED_VALUE"""),45806.0)</f>
        <v>45806</v>
      </c>
      <c r="B2814" s="2" t="str">
        <f>IFERROR(__xludf.DUMMYFUNCTION("""COMPUTED_VALUE"""),"ALPHARETTA")</f>
        <v>ALPHARETTA</v>
      </c>
      <c r="C2814" s="2">
        <f>IFERROR(__xludf.DUMMYFUNCTION("""COMPUTED_VALUE"""),768.0)</f>
        <v>768</v>
      </c>
    </row>
    <row r="2815" ht="15.75" customHeight="1">
      <c r="A2815" s="2">
        <f>IFERROR(__xludf.DUMMYFUNCTION("""COMPUTED_VALUE"""),45806.0)</f>
        <v>45806</v>
      </c>
      <c r="B2815" s="2" t="str">
        <f>IFERROR(__xludf.DUMMYFUNCTION("""COMPUTED_VALUE"""),"PREVIOUS BUCKHEAD")</f>
        <v>PREVIOUS BUCKHEAD</v>
      </c>
      <c r="C2815" s="2"/>
    </row>
    <row r="2816" ht="15.75" customHeight="1">
      <c r="A2816" s="2">
        <f>IFERROR(__xludf.DUMMYFUNCTION("""COMPUTED_VALUE"""),45806.0)</f>
        <v>45806</v>
      </c>
      <c r="B2816" s="2" t="str">
        <f>IFERROR(__xludf.DUMMYFUNCTION("""COMPUTED_VALUE"""),"PREVIOUS OAK GROVE")</f>
        <v>PREVIOUS OAK GROVE</v>
      </c>
      <c r="C2816" s="2"/>
    </row>
    <row r="2817" ht="15.75" customHeight="1">
      <c r="A2817" s="2">
        <f>IFERROR(__xludf.DUMMYFUNCTION("""COMPUTED_VALUE"""),45806.0)</f>
        <v>45806</v>
      </c>
      <c r="B2817" s="2" t="str">
        <f>IFERROR(__xludf.DUMMYFUNCTION("""COMPUTED_VALUE"""),"DUNWOODY/PTC ")</f>
        <v>DUNWOODY/PTC </v>
      </c>
      <c r="C2817" s="2">
        <f>IFERROR(__xludf.DUMMYFUNCTION("""COMPUTED_VALUE"""),1066.0)</f>
        <v>1066</v>
      </c>
    </row>
    <row r="2818" ht="15.75" customHeight="1">
      <c r="A2818" s="2">
        <f>IFERROR(__xludf.DUMMYFUNCTION("""COMPUTED_VALUE"""),45806.0)</f>
        <v>45806</v>
      </c>
      <c r="B2818" s="2" t="str">
        <f>IFERROR(__xludf.DUMMYFUNCTION("""COMPUTED_VALUE"""),"E COBB/ROSWELL")</f>
        <v>E COBB/ROSWELL</v>
      </c>
      <c r="C2818" s="2">
        <f>IFERROR(__xludf.DUMMYFUNCTION("""COMPUTED_VALUE"""),901.0)</f>
        <v>901</v>
      </c>
    </row>
    <row r="2819" ht="15.75" customHeight="1">
      <c r="A2819" s="2">
        <f>IFERROR(__xludf.DUMMYFUNCTION("""COMPUTED_VALUE"""),45806.0)</f>
        <v>45806</v>
      </c>
      <c r="B2819" s="2" t="str">
        <f>IFERROR(__xludf.DUMMYFUNCTION("""COMPUTED_VALUE"""),"DECATUR")</f>
        <v>DECATUR</v>
      </c>
      <c r="C2819" s="2"/>
    </row>
    <row r="2820" ht="15.75" customHeight="1">
      <c r="A2820" s="2">
        <f>IFERROR(__xludf.DUMMYFUNCTION("""COMPUTED_VALUE"""),45806.0)</f>
        <v>45806</v>
      </c>
      <c r="B2820" s="2" t="str">
        <f>IFERROR(__xludf.DUMMYFUNCTION("""COMPUTED_VALUE"""),"P'TREE CORNERS ")</f>
        <v>P'TREE CORNERS </v>
      </c>
      <c r="C2820" s="2"/>
    </row>
    <row r="2821" ht="15.75" customHeight="1">
      <c r="A2821" s="2">
        <f>IFERROR(__xludf.DUMMYFUNCTION("""COMPUTED_VALUE"""),45806.0)</f>
        <v>45806</v>
      </c>
      <c r="B2821" s="2" t="str">
        <f>IFERROR(__xludf.DUMMYFUNCTION("""COMPUTED_VALUE"""),"UGA/Athens")</f>
        <v>UGA/Athens</v>
      </c>
      <c r="C2821" s="2"/>
    </row>
    <row r="2822" ht="15.75" customHeight="1">
      <c r="A2822" s="2">
        <f>IFERROR(__xludf.DUMMYFUNCTION("""COMPUTED_VALUE"""),45806.0)</f>
        <v>45806</v>
      </c>
      <c r="B2822" s="2" t="str">
        <f>IFERROR(__xludf.DUMMYFUNCTION("""COMPUTED_VALUE"""),"SANDY SPRINGS ")</f>
        <v>SANDY SPRINGS </v>
      </c>
      <c r="C2822" s="2">
        <f>IFERROR(__xludf.DUMMYFUNCTION("""COMPUTED_VALUE"""),529.0)</f>
        <v>529</v>
      </c>
    </row>
    <row r="2823" ht="15.75" customHeight="1">
      <c r="A2823" s="2">
        <f>IFERROR(__xludf.DUMMYFUNCTION("""COMPUTED_VALUE"""),45806.0)</f>
        <v>45806</v>
      </c>
      <c r="B2823" s="2" t="str">
        <f>IFERROR(__xludf.DUMMYFUNCTION("""COMPUTED_VALUE"""),"INTOWN/DRUID HILLS ")</f>
        <v>INTOWN/DRUID HILLS </v>
      </c>
      <c r="C2823" s="2">
        <f>IFERROR(__xludf.DUMMYFUNCTION("""COMPUTED_VALUE"""),832.0)</f>
        <v>832</v>
      </c>
    </row>
    <row r="2824" ht="15.75" customHeight="1">
      <c r="A2824" s="2">
        <f>IFERROR(__xludf.DUMMYFUNCTION("""COMPUTED_VALUE"""),45806.0)</f>
        <v>45806</v>
      </c>
      <c r="B2824" s="2" t="str">
        <f>IFERROR(__xludf.DUMMYFUNCTION("""COMPUTED_VALUE"""),"SNELLVILLE")</f>
        <v>SNELLVILLE</v>
      </c>
      <c r="C2824" s="2"/>
    </row>
    <row r="2825" ht="15.75" customHeight="1">
      <c r="A2825" s="2">
        <f>IFERROR(__xludf.DUMMYFUNCTION("""COMPUTED_VALUE"""),45806.0)</f>
        <v>45806</v>
      </c>
      <c r="B2825" s="2" t="str">
        <f>IFERROR(__xludf.DUMMYFUNCTION("""COMPUTED_VALUE"""),"GROUPS")</f>
        <v>GROUPS</v>
      </c>
      <c r="C2825" s="2"/>
    </row>
    <row r="2826" ht="15.75" customHeight="1">
      <c r="A2826" s="2">
        <f>IFERROR(__xludf.DUMMYFUNCTION("""COMPUTED_VALUE"""),45806.0)</f>
        <v>45806</v>
      </c>
      <c r="B2826" s="2" t="str">
        <f>IFERROR(__xludf.DUMMYFUNCTION("""COMPUTED_VALUE"""),"Previous Woodstock")</f>
        <v>Previous Woodstock</v>
      </c>
      <c r="C2826" s="2"/>
    </row>
    <row r="2827" ht="15.75" customHeight="1">
      <c r="A2827" s="2">
        <f>IFERROR(__xludf.DUMMYFUNCTION("""COMPUTED_VALUE"""),45806.0)</f>
        <v>45806</v>
      </c>
      <c r="B2827" s="2" t="str">
        <f>IFERROR(__xludf.DUMMYFUNCTION("""COMPUTED_VALUE"""),"Previous Lenox/Brookhaven")</f>
        <v>Previous Lenox/Brookhaven</v>
      </c>
      <c r="C2827" s="2"/>
    </row>
    <row r="2828" ht="15.75" customHeight="1">
      <c r="A2828" s="2">
        <f>IFERROR(__xludf.DUMMYFUNCTION("""COMPUTED_VALUE"""),45806.0)</f>
        <v>45806</v>
      </c>
      <c r="B2828" s="2" t="str">
        <f>IFERROR(__xludf.DUMMYFUNCTION("""COMPUTED_VALUE"""),"Previous New Chastain")</f>
        <v>Previous New Chastain</v>
      </c>
      <c r="C2828" s="2"/>
    </row>
    <row r="2829" ht="15.75" customHeight="1">
      <c r="A2829" s="2">
        <f>IFERROR(__xludf.DUMMYFUNCTION("""COMPUTED_VALUE"""),45806.0)</f>
        <v>45806</v>
      </c>
      <c r="B2829" s="2" t="str">
        <f>IFERROR(__xludf.DUMMYFUNCTION("""COMPUTED_VALUE"""),"Previous Glenwood Park")</f>
        <v>Previous Glenwood Park</v>
      </c>
      <c r="C2829" s="2"/>
    </row>
    <row r="2830" ht="15.75" customHeight="1">
      <c r="A2830" s="2">
        <f>IFERROR(__xludf.DUMMYFUNCTION("""COMPUTED_VALUE"""),45806.0)</f>
        <v>45806</v>
      </c>
      <c r="B2830" s="2" t="str">
        <f>IFERROR(__xludf.DUMMYFUNCTION("""COMPUTED_VALUE"""),"FLOWERY BRANCH")</f>
        <v>FLOWERY BRANCH</v>
      </c>
      <c r="C2830" s="2">
        <f>IFERROR(__xludf.DUMMYFUNCTION("""COMPUTED_VALUE"""),275.0)</f>
        <v>275</v>
      </c>
    </row>
    <row r="2831" ht="15.75" customHeight="1">
      <c r="A2831" s="2">
        <f>IFERROR(__xludf.DUMMYFUNCTION("""COMPUTED_VALUE"""),45806.0)</f>
        <v>45806</v>
      </c>
      <c r="B2831" s="2" t="str">
        <f>IFERROR(__xludf.DUMMYFUNCTION("""COMPUTED_VALUE"""),"GROUPS ")</f>
        <v>GROUPS </v>
      </c>
      <c r="C2831" s="2">
        <f>IFERROR(__xludf.DUMMYFUNCTION("""COMPUTED_VALUE"""),100.0)</f>
        <v>100</v>
      </c>
    </row>
    <row r="2832" ht="15.75" customHeight="1">
      <c r="A2832" s="2">
        <f>IFERROR(__xludf.DUMMYFUNCTION("""COMPUTED_VALUE"""),45806.0)</f>
        <v>45806</v>
      </c>
      <c r="B2832" s="2" t="str">
        <f>IFERROR(__xludf.DUMMYFUNCTION("""COMPUTED_VALUE"""),"TOTAL")</f>
        <v>TOTAL</v>
      </c>
      <c r="C2832" s="2"/>
    </row>
    <row r="2833" ht="15.75" customHeight="1">
      <c r="A2833" s="2">
        <f>IFERROR(__xludf.DUMMYFUNCTION("""COMPUTED_VALUE"""),45806.0)</f>
        <v>45806</v>
      </c>
      <c r="B2833" s="2" t="str">
        <f>IFERROR(__xludf.DUMMYFUNCTION("""COMPUTED_VALUE"""),"Collective Learning")</f>
        <v>Collective Learning</v>
      </c>
      <c r="C2833" s="2">
        <f>IFERROR(__xludf.DUMMYFUNCTION("""COMPUTED_VALUE"""),250.0)</f>
        <v>250</v>
      </c>
    </row>
    <row r="2834" ht="15.75" customHeight="1">
      <c r="A2834" s="2">
        <f>IFERROR(__xludf.DUMMYFUNCTION("""COMPUTED_VALUE"""),45806.0)</f>
        <v>45806</v>
      </c>
      <c r="B2834" s="2" t="str">
        <f>IFERROR(__xludf.DUMMYFUNCTION("""COMPUTED_VALUE"""),"NOTES")</f>
        <v>NOTES</v>
      </c>
      <c r="C2834" s="2"/>
    </row>
    <row r="2835" ht="15.75" customHeight="1">
      <c r="A2835" s="2">
        <f>IFERROR(__xludf.DUMMYFUNCTION("""COMPUTED_VALUE"""),45812.0)</f>
        <v>45812</v>
      </c>
      <c r="B2835" s="2" t="str">
        <f>IFERROR(__xludf.DUMMYFUNCTION("""COMPUTED_VALUE"""),"# of Sandwiches")</f>
        <v># of Sandwiches</v>
      </c>
      <c r="C2835" s="2">
        <f>IFERROR(__xludf.DUMMYFUNCTION("""COMPUTED_VALUE"""),8858.0)</f>
        <v>8858</v>
      </c>
    </row>
    <row r="2836" ht="15.75" customHeight="1">
      <c r="A2836" s="2">
        <f>IFERROR(__xludf.DUMMYFUNCTION("""COMPUTED_VALUE"""),45812.0)</f>
        <v>45812</v>
      </c>
      <c r="B2836" s="2" t="str">
        <f>IFERROR(__xludf.DUMMYFUNCTION("""COMPUTED_VALUE"""),"ALPHARETTA")</f>
        <v>ALPHARETTA</v>
      </c>
      <c r="C2836" s="2">
        <f>IFERROR(__xludf.DUMMYFUNCTION("""COMPUTED_VALUE"""),2767.0)</f>
        <v>2767</v>
      </c>
    </row>
    <row r="2837" ht="15.75" customHeight="1">
      <c r="A2837" s="2">
        <f>IFERROR(__xludf.DUMMYFUNCTION("""COMPUTED_VALUE"""),45812.0)</f>
        <v>45812</v>
      </c>
      <c r="B2837" s="2" t="str">
        <f>IFERROR(__xludf.DUMMYFUNCTION("""COMPUTED_VALUE"""),"PREVIOUS BUCKHEAD")</f>
        <v>PREVIOUS BUCKHEAD</v>
      </c>
      <c r="C2837" s="2"/>
    </row>
    <row r="2838" ht="15.75" customHeight="1">
      <c r="A2838" s="2">
        <f>IFERROR(__xludf.DUMMYFUNCTION("""COMPUTED_VALUE"""),45812.0)</f>
        <v>45812</v>
      </c>
      <c r="B2838" s="2" t="str">
        <f>IFERROR(__xludf.DUMMYFUNCTION("""COMPUTED_VALUE"""),"PREVIOUS OAK GROVE")</f>
        <v>PREVIOUS OAK GROVE</v>
      </c>
      <c r="C2838" s="2"/>
    </row>
    <row r="2839" ht="15.75" customHeight="1">
      <c r="A2839" s="2">
        <f>IFERROR(__xludf.DUMMYFUNCTION("""COMPUTED_VALUE"""),45812.0)</f>
        <v>45812</v>
      </c>
      <c r="B2839" s="2" t="str">
        <f>IFERROR(__xludf.DUMMYFUNCTION("""COMPUTED_VALUE"""),"DUNWOODY/PTC ")</f>
        <v>DUNWOODY/PTC </v>
      </c>
      <c r="C2839" s="2">
        <f>IFERROR(__xludf.DUMMYFUNCTION("""COMPUTED_VALUE"""),1188.0)</f>
        <v>1188</v>
      </c>
    </row>
    <row r="2840" ht="15.75" customHeight="1">
      <c r="A2840" s="2">
        <f>IFERROR(__xludf.DUMMYFUNCTION("""COMPUTED_VALUE"""),45812.0)</f>
        <v>45812</v>
      </c>
      <c r="B2840" s="2" t="str">
        <f>IFERROR(__xludf.DUMMYFUNCTION("""COMPUTED_VALUE"""),"E COBB/ROSWELL")</f>
        <v>E COBB/ROSWELL</v>
      </c>
      <c r="C2840" s="2">
        <f>IFERROR(__xludf.DUMMYFUNCTION("""COMPUTED_VALUE"""),2059.0)</f>
        <v>2059</v>
      </c>
    </row>
    <row r="2841" ht="15.75" customHeight="1">
      <c r="A2841" s="2">
        <f>IFERROR(__xludf.DUMMYFUNCTION("""COMPUTED_VALUE"""),45812.0)</f>
        <v>45812</v>
      </c>
      <c r="B2841" s="2" t="str">
        <f>IFERROR(__xludf.DUMMYFUNCTION("""COMPUTED_VALUE"""),"DECATUR")</f>
        <v>DECATUR</v>
      </c>
      <c r="C2841" s="2"/>
    </row>
    <row r="2842" ht="15.75" customHeight="1">
      <c r="A2842" s="2">
        <f>IFERROR(__xludf.DUMMYFUNCTION("""COMPUTED_VALUE"""),45812.0)</f>
        <v>45812</v>
      </c>
      <c r="B2842" s="2" t="str">
        <f>IFERROR(__xludf.DUMMYFUNCTION("""COMPUTED_VALUE"""),"P'TREE CORNERS ")</f>
        <v>P'TREE CORNERS </v>
      </c>
      <c r="C2842" s="2"/>
    </row>
    <row r="2843" ht="15.75" customHeight="1">
      <c r="A2843" s="2">
        <f>IFERROR(__xludf.DUMMYFUNCTION("""COMPUTED_VALUE"""),45812.0)</f>
        <v>45812</v>
      </c>
      <c r="B2843" s="2" t="str">
        <f>IFERROR(__xludf.DUMMYFUNCTION("""COMPUTED_VALUE"""),"UGA/Athens")</f>
        <v>UGA/Athens</v>
      </c>
      <c r="C2843" s="2"/>
    </row>
    <row r="2844" ht="15.75" customHeight="1">
      <c r="A2844" s="2">
        <f>IFERROR(__xludf.DUMMYFUNCTION("""COMPUTED_VALUE"""),45812.0)</f>
        <v>45812</v>
      </c>
      <c r="B2844" s="2" t="str">
        <f>IFERROR(__xludf.DUMMYFUNCTION("""COMPUTED_VALUE"""),"SANDY SPRINGS ")</f>
        <v>SANDY SPRINGS </v>
      </c>
      <c r="C2844" s="2">
        <f>IFERROR(__xludf.DUMMYFUNCTION("""COMPUTED_VALUE"""),134.0)</f>
        <v>134</v>
      </c>
    </row>
    <row r="2845" ht="15.75" customHeight="1">
      <c r="A2845" s="2">
        <f>IFERROR(__xludf.DUMMYFUNCTION("""COMPUTED_VALUE"""),45812.0)</f>
        <v>45812</v>
      </c>
      <c r="B2845" s="2" t="str">
        <f>IFERROR(__xludf.DUMMYFUNCTION("""COMPUTED_VALUE"""),"INTOWN/DRUID HILLS ")</f>
        <v>INTOWN/DRUID HILLS </v>
      </c>
      <c r="C2845" s="2">
        <f>IFERROR(__xludf.DUMMYFUNCTION("""COMPUTED_VALUE"""),1221.0)</f>
        <v>1221</v>
      </c>
    </row>
    <row r="2846" ht="15.75" customHeight="1">
      <c r="A2846" s="2">
        <f>IFERROR(__xludf.DUMMYFUNCTION("""COMPUTED_VALUE"""),45812.0)</f>
        <v>45812</v>
      </c>
      <c r="B2846" s="2" t="str">
        <f>IFERROR(__xludf.DUMMYFUNCTION("""COMPUTED_VALUE"""),"SNELLVILLE")</f>
        <v>SNELLVILLE</v>
      </c>
      <c r="C2846" s="2"/>
    </row>
    <row r="2847" ht="15.75" customHeight="1">
      <c r="A2847" s="2">
        <f>IFERROR(__xludf.DUMMYFUNCTION("""COMPUTED_VALUE"""),45812.0)</f>
        <v>45812</v>
      </c>
      <c r="B2847" s="2" t="str">
        <f>IFERROR(__xludf.DUMMYFUNCTION("""COMPUTED_VALUE"""),"GROUPS")</f>
        <v>GROUPS</v>
      </c>
      <c r="C2847" s="2"/>
    </row>
    <row r="2848" ht="15.75" customHeight="1">
      <c r="A2848" s="2">
        <f>IFERROR(__xludf.DUMMYFUNCTION("""COMPUTED_VALUE"""),45812.0)</f>
        <v>45812</v>
      </c>
      <c r="B2848" s="2" t="str">
        <f>IFERROR(__xludf.DUMMYFUNCTION("""COMPUTED_VALUE"""),"Previous Woodstock")</f>
        <v>Previous Woodstock</v>
      </c>
      <c r="C2848" s="2"/>
    </row>
    <row r="2849" ht="15.75" customHeight="1">
      <c r="A2849" s="2">
        <f>IFERROR(__xludf.DUMMYFUNCTION("""COMPUTED_VALUE"""),45812.0)</f>
        <v>45812</v>
      </c>
      <c r="B2849" s="2" t="str">
        <f>IFERROR(__xludf.DUMMYFUNCTION("""COMPUTED_VALUE"""),"Previous Lenox/Brookhaven")</f>
        <v>Previous Lenox/Brookhaven</v>
      </c>
      <c r="C2849" s="2"/>
    </row>
    <row r="2850" ht="15.75" customHeight="1">
      <c r="A2850" s="2">
        <f>IFERROR(__xludf.DUMMYFUNCTION("""COMPUTED_VALUE"""),45812.0)</f>
        <v>45812</v>
      </c>
      <c r="B2850" s="2" t="str">
        <f>IFERROR(__xludf.DUMMYFUNCTION("""COMPUTED_VALUE"""),"Previous New Chastain")</f>
        <v>Previous New Chastain</v>
      </c>
      <c r="C2850" s="2"/>
    </row>
    <row r="2851" ht="15.75" customHeight="1">
      <c r="A2851" s="2">
        <f>IFERROR(__xludf.DUMMYFUNCTION("""COMPUTED_VALUE"""),45812.0)</f>
        <v>45812</v>
      </c>
      <c r="B2851" s="2" t="str">
        <f>IFERROR(__xludf.DUMMYFUNCTION("""COMPUTED_VALUE"""),"Previous Glenwood Park")</f>
        <v>Previous Glenwood Park</v>
      </c>
      <c r="C2851" s="2"/>
    </row>
    <row r="2852" ht="15.75" customHeight="1">
      <c r="A2852" s="2">
        <f>IFERROR(__xludf.DUMMYFUNCTION("""COMPUTED_VALUE"""),45812.0)</f>
        <v>45812</v>
      </c>
      <c r="B2852" s="2" t="str">
        <f>IFERROR(__xludf.DUMMYFUNCTION("""COMPUTED_VALUE"""),"FLOWERY BRANCH")</f>
        <v>FLOWERY BRANCH</v>
      </c>
      <c r="C2852" s="2">
        <f>IFERROR(__xludf.DUMMYFUNCTION("""COMPUTED_VALUE"""),689.0)</f>
        <v>689</v>
      </c>
    </row>
    <row r="2853" ht="15.75" customHeight="1">
      <c r="A2853" s="2">
        <f>IFERROR(__xludf.DUMMYFUNCTION("""COMPUTED_VALUE"""),45812.0)</f>
        <v>45812</v>
      </c>
      <c r="B2853" s="2" t="str">
        <f>IFERROR(__xludf.DUMMYFUNCTION("""COMPUTED_VALUE"""),"GROUPS ")</f>
        <v>GROUPS </v>
      </c>
      <c r="C2853" s="2">
        <f>IFERROR(__xludf.DUMMYFUNCTION("""COMPUTED_VALUE"""),550.0)</f>
        <v>550</v>
      </c>
    </row>
    <row r="2854" ht="15.75" customHeight="1">
      <c r="A2854" s="2">
        <f>IFERROR(__xludf.DUMMYFUNCTION("""COMPUTED_VALUE"""),45812.0)</f>
        <v>45812</v>
      </c>
      <c r="B2854" s="2" t="str">
        <f>IFERROR(__xludf.DUMMYFUNCTION("""COMPUTED_VALUE"""),"TOTAL")</f>
        <v>TOTAL</v>
      </c>
      <c r="C2854" s="2"/>
    </row>
    <row r="2855" ht="15.75" customHeight="1">
      <c r="A2855" s="2">
        <f>IFERROR(__xludf.DUMMYFUNCTION("""COMPUTED_VALUE"""),45812.0)</f>
        <v>45812</v>
      </c>
      <c r="B2855" s="2" t="str">
        <f>IFERROR(__xludf.DUMMYFUNCTION("""COMPUTED_VALUE"""),"Collective Learning")</f>
        <v>Collective Learning</v>
      </c>
      <c r="C2855" s="2">
        <f>IFERROR(__xludf.DUMMYFUNCTION("""COMPUTED_VALUE"""),250.0)</f>
        <v>250</v>
      </c>
    </row>
    <row r="2856" ht="15.75" customHeight="1">
      <c r="A2856" s="2">
        <f>IFERROR(__xludf.DUMMYFUNCTION("""COMPUTED_VALUE"""),45812.0)</f>
        <v>45812</v>
      </c>
      <c r="B2856" s="2" t="str">
        <f>IFERROR(__xludf.DUMMYFUNCTION("""COMPUTED_VALUE"""),"NOTES")</f>
        <v>NOTES</v>
      </c>
      <c r="C2856" s="2"/>
    </row>
    <row r="2857" ht="15.75" customHeight="1">
      <c r="A2857" s="2">
        <f>IFERROR(__xludf.DUMMYFUNCTION("""COMPUTED_VALUE"""),45819.0)</f>
        <v>45819</v>
      </c>
      <c r="B2857" s="2" t="str">
        <f>IFERROR(__xludf.DUMMYFUNCTION("""COMPUTED_VALUE"""),"# of Sandwiches")</f>
        <v># of Sandwiches</v>
      </c>
      <c r="C2857" s="2">
        <f>IFERROR(__xludf.DUMMYFUNCTION("""COMPUTED_VALUE"""),10421.0)</f>
        <v>10421</v>
      </c>
    </row>
    <row r="2858" ht="15.75" customHeight="1">
      <c r="A2858" s="2">
        <f>IFERROR(__xludf.DUMMYFUNCTION("""COMPUTED_VALUE"""),45819.0)</f>
        <v>45819</v>
      </c>
      <c r="B2858" s="2" t="str">
        <f>IFERROR(__xludf.DUMMYFUNCTION("""COMPUTED_VALUE"""),"ALPHARETTA")</f>
        <v>ALPHARETTA</v>
      </c>
      <c r="C2858" s="2">
        <f>IFERROR(__xludf.DUMMYFUNCTION("""COMPUTED_VALUE"""),2964.0)</f>
        <v>2964</v>
      </c>
    </row>
    <row r="2859" ht="15.75" customHeight="1">
      <c r="A2859" s="2">
        <f>IFERROR(__xludf.DUMMYFUNCTION("""COMPUTED_VALUE"""),45819.0)</f>
        <v>45819</v>
      </c>
      <c r="B2859" s="2" t="str">
        <f>IFERROR(__xludf.DUMMYFUNCTION("""COMPUTED_VALUE"""),"PREVIOUS BUCKHEAD")</f>
        <v>PREVIOUS BUCKHEAD</v>
      </c>
      <c r="C2859" s="2"/>
    </row>
    <row r="2860" ht="15.75" customHeight="1">
      <c r="A2860" s="2">
        <f>IFERROR(__xludf.DUMMYFUNCTION("""COMPUTED_VALUE"""),45819.0)</f>
        <v>45819</v>
      </c>
      <c r="B2860" s="2" t="str">
        <f>IFERROR(__xludf.DUMMYFUNCTION("""COMPUTED_VALUE"""),"PREVIOUS OAK GROVE")</f>
        <v>PREVIOUS OAK GROVE</v>
      </c>
      <c r="C2860" s="2"/>
    </row>
    <row r="2861" ht="15.75" customHeight="1">
      <c r="A2861" s="2">
        <f>IFERROR(__xludf.DUMMYFUNCTION("""COMPUTED_VALUE"""),45819.0)</f>
        <v>45819</v>
      </c>
      <c r="B2861" s="2" t="str">
        <f>IFERROR(__xludf.DUMMYFUNCTION("""COMPUTED_VALUE"""),"DUNWOODY/PTC ")</f>
        <v>DUNWOODY/PTC </v>
      </c>
      <c r="C2861" s="2">
        <f>IFERROR(__xludf.DUMMYFUNCTION("""COMPUTED_VALUE"""),1251.0)</f>
        <v>1251</v>
      </c>
    </row>
    <row r="2862" ht="15.75" customHeight="1">
      <c r="A2862" s="2">
        <f>IFERROR(__xludf.DUMMYFUNCTION("""COMPUTED_VALUE"""),45819.0)</f>
        <v>45819</v>
      </c>
      <c r="B2862" s="2" t="str">
        <f>IFERROR(__xludf.DUMMYFUNCTION("""COMPUTED_VALUE"""),"E COBB/ROSWELL")</f>
        <v>E COBB/ROSWELL</v>
      </c>
      <c r="C2862" s="2">
        <f>IFERROR(__xludf.DUMMYFUNCTION("""COMPUTED_VALUE"""),1186.0)</f>
        <v>1186</v>
      </c>
    </row>
    <row r="2863" ht="15.75" customHeight="1">
      <c r="A2863" s="2">
        <f>IFERROR(__xludf.DUMMYFUNCTION("""COMPUTED_VALUE"""),45819.0)</f>
        <v>45819</v>
      </c>
      <c r="B2863" s="2" t="str">
        <f>IFERROR(__xludf.DUMMYFUNCTION("""COMPUTED_VALUE"""),"DECATUR")</f>
        <v>DECATUR</v>
      </c>
      <c r="C2863" s="2"/>
    </row>
    <row r="2864" ht="15.75" customHeight="1">
      <c r="A2864" s="2">
        <f>IFERROR(__xludf.DUMMYFUNCTION("""COMPUTED_VALUE"""),45819.0)</f>
        <v>45819</v>
      </c>
      <c r="B2864" s="2" t="str">
        <f>IFERROR(__xludf.DUMMYFUNCTION("""COMPUTED_VALUE"""),"P'TREE CORNERS ")</f>
        <v>P'TREE CORNERS </v>
      </c>
      <c r="C2864" s="2"/>
    </row>
    <row r="2865" ht="15.75" customHeight="1">
      <c r="A2865" s="2">
        <f>IFERROR(__xludf.DUMMYFUNCTION("""COMPUTED_VALUE"""),45819.0)</f>
        <v>45819</v>
      </c>
      <c r="B2865" s="2" t="str">
        <f>IFERROR(__xludf.DUMMYFUNCTION("""COMPUTED_VALUE"""),"UGA/Athens")</f>
        <v>UGA/Athens</v>
      </c>
      <c r="C2865" s="2"/>
    </row>
    <row r="2866" ht="15.75" customHeight="1">
      <c r="A2866" s="2">
        <f>IFERROR(__xludf.DUMMYFUNCTION("""COMPUTED_VALUE"""),45819.0)</f>
        <v>45819</v>
      </c>
      <c r="B2866" s="2" t="str">
        <f>IFERROR(__xludf.DUMMYFUNCTION("""COMPUTED_VALUE"""),"SANDY SPRINGS ")</f>
        <v>SANDY SPRINGS </v>
      </c>
      <c r="C2866" s="2">
        <f>IFERROR(__xludf.DUMMYFUNCTION("""COMPUTED_VALUE"""),203.0)</f>
        <v>203</v>
      </c>
    </row>
    <row r="2867" ht="15.75" customHeight="1">
      <c r="A2867" s="2">
        <f>IFERROR(__xludf.DUMMYFUNCTION("""COMPUTED_VALUE"""),45819.0)</f>
        <v>45819</v>
      </c>
      <c r="B2867" s="2" t="str">
        <f>IFERROR(__xludf.DUMMYFUNCTION("""COMPUTED_VALUE"""),"INTOWN/DRUID HILLS ")</f>
        <v>INTOWN/DRUID HILLS </v>
      </c>
      <c r="C2867" s="2"/>
    </row>
    <row r="2868" ht="15.75" customHeight="1">
      <c r="A2868" s="2">
        <f>IFERROR(__xludf.DUMMYFUNCTION("""COMPUTED_VALUE"""),45819.0)</f>
        <v>45819</v>
      </c>
      <c r="B2868" s="2" t="str">
        <f>IFERROR(__xludf.DUMMYFUNCTION("""COMPUTED_VALUE"""),"SNELLVILLE")</f>
        <v>SNELLVILLE</v>
      </c>
      <c r="C2868" s="2"/>
    </row>
    <row r="2869" ht="15.75" customHeight="1">
      <c r="A2869" s="2">
        <f>IFERROR(__xludf.DUMMYFUNCTION("""COMPUTED_VALUE"""),45819.0)</f>
        <v>45819</v>
      </c>
      <c r="B2869" s="2" t="str">
        <f>IFERROR(__xludf.DUMMYFUNCTION("""COMPUTED_VALUE"""),"GROUPS")</f>
        <v>GROUPS</v>
      </c>
      <c r="C2869" s="2"/>
    </row>
    <row r="2870" ht="15.75" customHeight="1">
      <c r="A2870" s="2">
        <f>IFERROR(__xludf.DUMMYFUNCTION("""COMPUTED_VALUE"""),45819.0)</f>
        <v>45819</v>
      </c>
      <c r="B2870" s="2" t="str">
        <f>IFERROR(__xludf.DUMMYFUNCTION("""COMPUTED_VALUE"""),"Previous Woodstock")</f>
        <v>Previous Woodstock</v>
      </c>
      <c r="C2870" s="2"/>
    </row>
    <row r="2871" ht="15.75" customHeight="1">
      <c r="A2871" s="2">
        <f>IFERROR(__xludf.DUMMYFUNCTION("""COMPUTED_VALUE"""),45819.0)</f>
        <v>45819</v>
      </c>
      <c r="B2871" s="2" t="str">
        <f>IFERROR(__xludf.DUMMYFUNCTION("""COMPUTED_VALUE"""),"Previous Lenox/Brookhaven")</f>
        <v>Previous Lenox/Brookhaven</v>
      </c>
      <c r="C2871" s="2"/>
    </row>
    <row r="2872" ht="15.75" customHeight="1">
      <c r="A2872" s="2">
        <f>IFERROR(__xludf.DUMMYFUNCTION("""COMPUTED_VALUE"""),45819.0)</f>
        <v>45819</v>
      </c>
      <c r="B2872" s="2" t="str">
        <f>IFERROR(__xludf.DUMMYFUNCTION("""COMPUTED_VALUE"""),"Previous New Chastain")</f>
        <v>Previous New Chastain</v>
      </c>
      <c r="C2872" s="2"/>
    </row>
    <row r="2873" ht="15.75" customHeight="1">
      <c r="A2873" s="2">
        <f>IFERROR(__xludf.DUMMYFUNCTION("""COMPUTED_VALUE"""),45819.0)</f>
        <v>45819</v>
      </c>
      <c r="B2873" s="2" t="str">
        <f>IFERROR(__xludf.DUMMYFUNCTION("""COMPUTED_VALUE"""),"Previous Glenwood Park")</f>
        <v>Previous Glenwood Park</v>
      </c>
      <c r="C2873" s="2"/>
    </row>
    <row r="2874" ht="15.75" customHeight="1">
      <c r="A2874" s="2">
        <f>IFERROR(__xludf.DUMMYFUNCTION("""COMPUTED_VALUE"""),45819.0)</f>
        <v>45819</v>
      </c>
      <c r="B2874" s="2" t="str">
        <f>IFERROR(__xludf.DUMMYFUNCTION("""COMPUTED_VALUE"""),"FLOWERY BRANCH")</f>
        <v>FLOWERY BRANCH</v>
      </c>
      <c r="C2874" s="2">
        <f>IFERROR(__xludf.DUMMYFUNCTION("""COMPUTED_VALUE"""),258.0)</f>
        <v>258</v>
      </c>
    </row>
    <row r="2875" ht="15.75" customHeight="1">
      <c r="A2875" s="2">
        <f>IFERROR(__xludf.DUMMYFUNCTION("""COMPUTED_VALUE"""),45819.0)</f>
        <v>45819</v>
      </c>
      <c r="B2875" s="2" t="str">
        <f>IFERROR(__xludf.DUMMYFUNCTION("""COMPUTED_VALUE"""),"GROUPS ")</f>
        <v>GROUPS </v>
      </c>
      <c r="C2875" s="2">
        <f>IFERROR(__xludf.DUMMYFUNCTION("""COMPUTED_VALUE"""),4259.0)</f>
        <v>4259</v>
      </c>
    </row>
    <row r="2876" ht="15.75" customHeight="1">
      <c r="A2876" s="2">
        <f>IFERROR(__xludf.DUMMYFUNCTION("""COMPUTED_VALUE"""),45819.0)</f>
        <v>45819</v>
      </c>
      <c r="B2876" s="2" t="str">
        <f>IFERROR(__xludf.DUMMYFUNCTION("""COMPUTED_VALUE"""),"TOTAL")</f>
        <v>TOTAL</v>
      </c>
      <c r="C2876" s="2"/>
    </row>
    <row r="2877" ht="15.75" customHeight="1">
      <c r="A2877" s="2">
        <f>IFERROR(__xludf.DUMMYFUNCTION("""COMPUTED_VALUE"""),45819.0)</f>
        <v>45819</v>
      </c>
      <c r="B2877" s="2" t="str">
        <f>IFERROR(__xludf.DUMMYFUNCTION("""COMPUTED_VALUE"""),"Collective Learning")</f>
        <v>Collective Learning</v>
      </c>
      <c r="C2877" s="2">
        <f>IFERROR(__xludf.DUMMYFUNCTION("""COMPUTED_VALUE"""),300.0)</f>
        <v>300</v>
      </c>
    </row>
    <row r="2878" ht="15.75" customHeight="1">
      <c r="A2878" s="2">
        <f>IFERROR(__xludf.DUMMYFUNCTION("""COMPUTED_VALUE"""),45819.0)</f>
        <v>45819</v>
      </c>
      <c r="B2878" s="2" t="str">
        <f>IFERROR(__xludf.DUMMYFUNCTION("""COMPUTED_VALUE"""),"NOTES")</f>
        <v>NOTES</v>
      </c>
      <c r="C2878" s="2"/>
    </row>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sheetData>
  <drawing r:id="rId1"/>
</worksheet>
</file>