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7.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869d073f31f0bf71/Desktop/"/>
    </mc:Choice>
  </mc:AlternateContent>
  <xr:revisionPtr revIDLastSave="0" documentId="8_{CDAE7EE9-5292-4929-ADE8-29A53288103A}" xr6:coauthVersionLast="47" xr6:coauthVersionMax="47" xr10:uidLastSave="{00000000-0000-0000-0000-000000000000}"/>
  <bookViews>
    <workbookView xWindow="-110" yWindow="-110" windowWidth="22620" windowHeight="13500" activeTab="5" xr2:uid="{DD382FC3-8536-4731-ACA3-FEF4B645C578}"/>
  </bookViews>
  <sheets>
    <sheet name="Solution 1" sheetId="1" r:id="rId1"/>
    <sheet name="Solution 2" sheetId="7" r:id="rId2"/>
    <sheet name="Solution 3" sheetId="2" r:id="rId3"/>
    <sheet name="Solution 4" sheetId="8" r:id="rId4"/>
    <sheet name="Solution 4_STS" sheetId="5" state="veryHidden" r:id="rId5"/>
    <sheet name="Solution 5" sheetId="9" r:id="rId6"/>
  </sheets>
  <definedNames>
    <definedName name="ChartData" localSheetId="5">'Solution 5'!$K$5:$K$55</definedName>
    <definedName name="InputValues" localSheetId="5">'Solution 5'!$A$5:$A$55</definedName>
    <definedName name="OutputAddresses" localSheetId="5">'Solution 5'!$B$4:$F$4</definedName>
    <definedName name="OutputValues" localSheetId="5">'Solution 5'!$B$5:$F$55</definedName>
    <definedName name="solver_adj" localSheetId="2" hidden="1">'Solution 3'!$B$16,'Solution 3'!$B$19</definedName>
    <definedName name="solver_adj" localSheetId="3" hidden="1">'Solution 4'!$B$16,'Solution 4'!$B$19</definedName>
    <definedName name="solver_cvg" localSheetId="2" hidden="1">0.0001</definedName>
    <definedName name="solver_cvg" localSheetId="3" hidden="1">0.0001</definedName>
    <definedName name="solver_drv" localSheetId="2" hidden="1">2</definedName>
    <definedName name="solver_drv" localSheetId="3" hidden="1">2</definedName>
    <definedName name="solver_eng" localSheetId="2" hidden="1">1</definedName>
    <definedName name="solver_eng" localSheetId="3" hidden="1">1</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'Solution 3'!$B$27:$B$29</definedName>
    <definedName name="solver_lhs1" localSheetId="3" hidden="1">'Solution 4'!$B$27:$B$31</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1</definedName>
    <definedName name="solver_neg" localSheetId="3" hidden="1">1</definedName>
    <definedName name="solver_nod" localSheetId="2" hidden="1">2147483647</definedName>
    <definedName name="solver_nod" localSheetId="3" hidden="1">2147483647</definedName>
    <definedName name="solver_num" localSheetId="2" hidden="1">1</definedName>
    <definedName name="solver_num" localSheetId="3" hidden="1">1</definedName>
    <definedName name="solver_nwt" localSheetId="2" hidden="1">1</definedName>
    <definedName name="solver_nwt" localSheetId="3" hidden="1">1</definedName>
    <definedName name="solver_opt" localSheetId="2" hidden="1">'Solution 3'!$B$22</definedName>
    <definedName name="solver_opt" localSheetId="3" hidden="1">'Solution 4'!$B$22</definedName>
    <definedName name="solver_pre" localSheetId="2" hidden="1">0.000001</definedName>
    <definedName name="solver_pre" localSheetId="3" hidden="1">0.000001</definedName>
    <definedName name="solver_rbv" localSheetId="2" hidden="1">2</definedName>
    <definedName name="solver_rbv" localSheetId="3" hidden="1">2</definedName>
    <definedName name="solver_rel1" localSheetId="2" hidden="1">1</definedName>
    <definedName name="solver_rel1" localSheetId="3" hidden="1">1</definedName>
    <definedName name="solver_rhs1" localSheetId="2" hidden="1">'Solution 3'!$D$27:$D$29</definedName>
    <definedName name="solver_rhs1" localSheetId="3" hidden="1">'Solution 4'!$D$27:$D$31</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2</definedName>
    <definedName name="solver_scl" localSheetId="3" hidden="1">2</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0.01</definedName>
    <definedName name="solver_tol" localSheetId="3" hidden="1">0.01</definedName>
    <definedName name="solver_typ" localSheetId="2" hidden="1">1</definedName>
    <definedName name="solver_typ" localSheetId="3" hidden="1">1</definedName>
    <definedName name="solver_val" localSheetId="2" hidden="1">0</definedName>
    <definedName name="solver_val" localSheetId="3" hidden="1">0</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8" i="2"/>
  <c r="K1" i="9"/>
  <c r="K51" i="9"/>
  <c r="K50" i="9"/>
  <c r="K49" i="9"/>
  <c r="K48" i="9"/>
  <c r="K47" i="9"/>
  <c r="K39" i="9"/>
  <c r="K38" i="9"/>
  <c r="K37" i="9"/>
  <c r="K36" i="9"/>
  <c r="K35" i="9"/>
  <c r="K27" i="9"/>
  <c r="K26" i="9"/>
  <c r="K25" i="9"/>
  <c r="K24" i="9"/>
  <c r="K23" i="9"/>
  <c r="K15" i="9"/>
  <c r="K14" i="9"/>
  <c r="K13" i="9"/>
  <c r="K12" i="9"/>
  <c r="K11" i="9"/>
  <c r="J4" i="9"/>
  <c r="K46" i="9" s="1"/>
  <c r="K16" i="9" l="1"/>
  <c r="K28" i="9"/>
  <c r="K40" i="9"/>
  <c r="K52" i="9"/>
  <c r="K5" i="9"/>
  <c r="K17" i="9"/>
  <c r="K29" i="9"/>
  <c r="K41" i="9"/>
  <c r="K53" i="9"/>
  <c r="K6" i="9"/>
  <c r="K18" i="9"/>
  <c r="K30" i="9"/>
  <c r="K42" i="9"/>
  <c r="K54" i="9"/>
  <c r="K7" i="9"/>
  <c r="K19" i="9"/>
  <c r="K31" i="9"/>
  <c r="K43" i="9"/>
  <c r="K55" i="9"/>
  <c r="K8" i="9"/>
  <c r="K20" i="9"/>
  <c r="K32" i="9"/>
  <c r="K44" i="9"/>
  <c r="K9" i="9"/>
  <c r="K21" i="9"/>
  <c r="K33" i="9"/>
  <c r="K45" i="9"/>
  <c r="K10" i="9"/>
  <c r="K22" i="9"/>
  <c r="K34" i="9"/>
  <c r="B17" i="2" l="1"/>
  <c r="B18" i="2"/>
  <c r="B22" i="2"/>
  <c r="B26" i="8"/>
  <c r="B25" i="8"/>
  <c r="B26" i="2"/>
  <c r="B29" i="2"/>
  <c r="B25" i="2"/>
  <c r="H49" i="2"/>
  <c r="H48" i="2"/>
  <c r="H47" i="2"/>
  <c r="H46" i="2"/>
  <c r="H45" i="2"/>
  <c r="H44" i="2"/>
  <c r="H43" i="2"/>
  <c r="H42" i="2"/>
  <c r="H41" i="2"/>
  <c r="H39" i="2"/>
  <c r="H38" i="2"/>
  <c r="H37" i="2"/>
  <c r="H36" i="2"/>
  <c r="H35" i="2"/>
  <c r="H34" i="2"/>
  <c r="H33" i="2"/>
  <c r="H32" i="2"/>
  <c r="B49" i="2"/>
  <c r="B48" i="2"/>
  <c r="B47" i="2"/>
  <c r="B46" i="2"/>
  <c r="B45" i="2"/>
  <c r="B44" i="2"/>
  <c r="B43" i="2"/>
  <c r="B42" i="2"/>
  <c r="B41" i="2"/>
  <c r="B40" i="2"/>
  <c r="B34" i="2"/>
  <c r="B35" i="2"/>
  <c r="B36" i="2"/>
  <c r="B37" i="2"/>
  <c r="B31" i="8" l="1"/>
  <c r="B30" i="8"/>
  <c r="B20" i="8"/>
  <c r="B21" i="8" s="1"/>
  <c r="B17" i="8"/>
  <c r="B18" i="8" s="1"/>
  <c r="G5" i="2"/>
  <c r="B22" i="8" l="1"/>
  <c r="G5" i="8"/>
  <c r="G6" i="8"/>
  <c r="B20" i="2"/>
  <c r="G6" i="2" s="1"/>
  <c r="B28" i="2" s="1"/>
  <c r="B27" i="2" l="1"/>
  <c r="B28" i="8"/>
  <c r="B27" i="8"/>
  <c r="B29" i="8"/>
  <c r="B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Nidhi Sharma</author>
  </authors>
  <commentList>
    <comment ref="B5" authorId="0" shapeId="0" xr:uid="{5D9E887B-FA4E-4CDD-8C5D-FE5B71DB3FB1}">
      <text>
        <r>
          <rPr>
            <sz val="9"/>
            <color indexed="81"/>
            <rFont val="Tahoma"/>
            <family val="2"/>
          </rPr>
          <t>Solver could not find a feasible solution.</t>
        </r>
      </text>
    </comment>
    <comment ref="B6" authorId="0" shapeId="0" xr:uid="{66D01E25-2258-46BC-A92E-8291A674C938}">
      <text>
        <r>
          <rPr>
            <sz val="9"/>
            <color indexed="81"/>
            <rFont val="Tahoma"/>
            <family val="2"/>
          </rPr>
          <t>Solver could not find a feasible solution.</t>
        </r>
      </text>
    </comment>
    <comment ref="B7" authorId="0" shapeId="0" xr:uid="{B44D3F39-8546-4BB8-8B2E-9BDA97B365C2}">
      <text>
        <r>
          <rPr>
            <sz val="9"/>
            <color indexed="81"/>
            <rFont val="Tahoma"/>
            <family val="2"/>
          </rPr>
          <t>Solver could not find a feasible solution.</t>
        </r>
      </text>
    </comment>
    <comment ref="B8" authorId="0" shapeId="0" xr:uid="{766F483E-4972-460B-ADD3-F38E064F7D42}">
      <text>
        <r>
          <rPr>
            <sz val="9"/>
            <color indexed="81"/>
            <rFont val="Tahoma"/>
            <family val="2"/>
          </rPr>
          <t>Solver could not find a feasible solution.</t>
        </r>
      </text>
    </comment>
    <comment ref="B9" authorId="0" shapeId="0" xr:uid="{471C85D0-8451-4246-8CE1-11066D0FD1A2}">
      <text>
        <r>
          <rPr>
            <sz val="9"/>
            <color indexed="81"/>
            <rFont val="Tahoma"/>
            <family val="2"/>
          </rPr>
          <t>Solver could not find a feasible solution.</t>
        </r>
      </text>
    </comment>
    <comment ref="B10" authorId="0" shapeId="0" xr:uid="{50742F66-5778-4045-934B-0136A2AFDEBB}">
      <text>
        <r>
          <rPr>
            <sz val="9"/>
            <color indexed="81"/>
            <rFont val="Tahoma"/>
            <family val="2"/>
          </rPr>
          <t>Solver could not find a feasible solution.</t>
        </r>
      </text>
    </comment>
    <comment ref="B11" authorId="0" shapeId="0" xr:uid="{F15B303D-4A6A-45AE-8A6E-ABE57CC6F089}">
      <text>
        <r>
          <rPr>
            <sz val="9"/>
            <color indexed="81"/>
            <rFont val="Tahoma"/>
            <family val="2"/>
          </rPr>
          <t>Solver could not find a feasible solution.</t>
        </r>
      </text>
    </comment>
    <comment ref="B12" authorId="0" shapeId="0" xr:uid="{9777333B-207A-4A59-B779-2687EE0F4B23}">
      <text>
        <r>
          <rPr>
            <sz val="9"/>
            <color indexed="81"/>
            <rFont val="Tahoma"/>
            <family val="2"/>
          </rPr>
          <t>Solver could not find a feasible solution.</t>
        </r>
      </text>
    </comment>
    <comment ref="B13" authorId="0" shapeId="0" xr:uid="{A5E36C6D-2AE8-445C-AE0B-7A34D779A286}">
      <text>
        <r>
          <rPr>
            <sz val="9"/>
            <color indexed="81"/>
            <rFont val="Tahoma"/>
            <family val="2"/>
          </rPr>
          <t>Solver could not find a feasible solution.</t>
        </r>
      </text>
    </comment>
    <comment ref="B14" authorId="0" shapeId="0" xr:uid="{B2412878-39DF-4848-9678-056640F1C653}">
      <text>
        <r>
          <rPr>
            <sz val="9"/>
            <color indexed="81"/>
            <rFont val="Tahoma"/>
            <family val="2"/>
          </rPr>
          <t>Solver could not find a feasible solution.</t>
        </r>
      </text>
    </comment>
    <comment ref="B15" authorId="0" shapeId="0" xr:uid="{5B85CFF2-9DFF-4614-BCA8-59E30F33CFC1}">
      <text>
        <r>
          <rPr>
            <sz val="9"/>
            <color indexed="81"/>
            <rFont val="Tahoma"/>
            <family val="2"/>
          </rPr>
          <t>Solver could not find a feasible solution.</t>
        </r>
      </text>
    </comment>
    <comment ref="B16" authorId="0" shapeId="0" xr:uid="{42A1A6C2-5A5B-4E9E-9B8F-B4651D73CC89}">
      <text>
        <r>
          <rPr>
            <sz val="9"/>
            <color indexed="81"/>
            <rFont val="Tahoma"/>
            <family val="2"/>
          </rPr>
          <t>Solver could not find a feasible solution.</t>
        </r>
      </text>
    </comment>
    <comment ref="B17" authorId="0" shapeId="0" xr:uid="{CE7942E1-92FC-42AB-BF05-D4E03AEAA22D}">
      <text>
        <r>
          <rPr>
            <sz val="9"/>
            <color indexed="81"/>
            <rFont val="Tahoma"/>
            <family val="2"/>
          </rPr>
          <t>Solver could not find a feasible solution.</t>
        </r>
      </text>
    </comment>
    <comment ref="B18" authorId="0" shapeId="0" xr:uid="{36BF83E9-2E2C-4589-B3E7-49399961C7BB}">
      <text>
        <r>
          <rPr>
            <sz val="9"/>
            <color indexed="81"/>
            <rFont val="Tahoma"/>
            <family val="2"/>
          </rPr>
          <t>Solver could not find a feasible solution.</t>
        </r>
      </text>
    </comment>
    <comment ref="B19" authorId="0" shapeId="0" xr:uid="{D1EC5656-4724-4C5F-8F42-950CF71A4A27}">
      <text>
        <r>
          <rPr>
            <sz val="9"/>
            <color indexed="81"/>
            <rFont val="Tahoma"/>
            <family val="2"/>
          </rPr>
          <t>Solver could not find a feasible solution.</t>
        </r>
      </text>
    </comment>
    <comment ref="B20" authorId="0" shapeId="0" xr:uid="{2E904195-A17D-49C3-BBBA-71793530CC77}">
      <text>
        <r>
          <rPr>
            <sz val="9"/>
            <color indexed="81"/>
            <rFont val="Tahoma"/>
            <family val="2"/>
          </rPr>
          <t>Solver could not find a feasible solution.</t>
        </r>
      </text>
    </comment>
    <comment ref="B21" authorId="0" shapeId="0" xr:uid="{403C3F5D-AD6C-42FB-9EF1-E2473FC5F61A}">
      <text>
        <r>
          <rPr>
            <sz val="9"/>
            <color indexed="81"/>
            <rFont val="Tahoma"/>
            <family val="2"/>
          </rPr>
          <t>Solver could not find a feasible solution.</t>
        </r>
      </text>
    </comment>
    <comment ref="B22" authorId="0" shapeId="0" xr:uid="{1A5DE9E7-4CB1-489F-9136-8F084F8CC611}">
      <text>
        <r>
          <rPr>
            <sz val="9"/>
            <color indexed="81"/>
            <rFont val="Tahoma"/>
            <family val="2"/>
          </rPr>
          <t>Solver could not find a feasible solution.</t>
        </r>
      </text>
    </comment>
    <comment ref="B23" authorId="0" shapeId="0" xr:uid="{1F18FDBB-2A26-46B9-9116-2389A633CF2E}">
      <text>
        <r>
          <rPr>
            <sz val="9"/>
            <color indexed="81"/>
            <rFont val="Tahoma"/>
            <family val="2"/>
          </rPr>
          <t>Solver could not find a feasible solution.</t>
        </r>
      </text>
    </comment>
    <comment ref="B24" authorId="0" shapeId="0" xr:uid="{A12A000F-F918-4A38-A6FA-770823A6902D}">
      <text>
        <r>
          <rPr>
            <sz val="9"/>
            <color indexed="81"/>
            <rFont val="Tahoma"/>
            <family val="2"/>
          </rPr>
          <t>Solver could not find a feasible solution.</t>
        </r>
      </text>
    </comment>
    <comment ref="B25" authorId="0" shapeId="0" xr:uid="{2082CD53-3CAC-453B-8D60-F1569941508E}">
      <text>
        <r>
          <rPr>
            <sz val="9"/>
            <color indexed="81"/>
            <rFont val="Tahoma"/>
            <family val="2"/>
          </rPr>
          <t>Solver could not find a feasible solution.</t>
        </r>
      </text>
    </comment>
    <comment ref="B26" authorId="0" shapeId="0" xr:uid="{FB89E636-267F-4CDE-9298-E54755BD43A8}">
      <text>
        <r>
          <rPr>
            <sz val="9"/>
            <color indexed="81"/>
            <rFont val="Tahoma"/>
            <family val="2"/>
          </rPr>
          <t>Solver could not find a feasible solution.</t>
        </r>
      </text>
    </comment>
    <comment ref="B27" authorId="0" shapeId="0" xr:uid="{697CFF33-0D62-4DB5-BDEC-A5F5D0DC16D3}">
      <text>
        <r>
          <rPr>
            <sz val="9"/>
            <color indexed="81"/>
            <rFont val="Tahoma"/>
            <family val="2"/>
          </rPr>
          <t>Solver converged in probability to a global solution.</t>
        </r>
      </text>
    </comment>
    <comment ref="B28" authorId="0" shapeId="0" xr:uid="{FE1BBF53-22C4-4545-A1A5-0C9AB14BA4AE}">
      <text>
        <r>
          <rPr>
            <sz val="9"/>
            <color indexed="81"/>
            <rFont val="Tahoma"/>
            <family val="2"/>
          </rPr>
          <t>Solver converged in probability to a global solution.</t>
        </r>
      </text>
    </comment>
    <comment ref="B29" authorId="0" shapeId="0" xr:uid="{EDE824A5-F63B-483B-AAD5-12A7BF10C1DE}">
      <text>
        <r>
          <rPr>
            <sz val="9"/>
            <color indexed="81"/>
            <rFont val="Tahoma"/>
            <family val="2"/>
          </rPr>
          <t>Solver converged in probability to a global solution.</t>
        </r>
      </text>
    </comment>
    <comment ref="B30" authorId="0" shapeId="0" xr:uid="{E75F28D3-A243-496D-A41F-DD76E21B5B43}">
      <text>
        <r>
          <rPr>
            <sz val="9"/>
            <color indexed="81"/>
            <rFont val="Tahoma"/>
            <family val="2"/>
          </rPr>
          <t>Solver converged in probability to a global solution.</t>
        </r>
      </text>
    </comment>
    <comment ref="B31" authorId="0" shapeId="0" xr:uid="{B1FC6D27-9E91-4953-B04F-A3D8148E0DED}">
      <text>
        <r>
          <rPr>
            <sz val="9"/>
            <color indexed="81"/>
            <rFont val="Tahoma"/>
            <family val="2"/>
          </rPr>
          <t>Solver converged in probability to a global solution.</t>
        </r>
      </text>
    </comment>
    <comment ref="B32" authorId="0" shapeId="0" xr:uid="{CD220811-FC2C-4D37-9B52-516B65277512}">
      <text>
        <r>
          <rPr>
            <sz val="9"/>
            <color indexed="81"/>
            <rFont val="Tahoma"/>
            <family val="2"/>
          </rPr>
          <t>Solver converged in probability to a global solution.</t>
        </r>
      </text>
    </comment>
    <comment ref="B33" authorId="0" shapeId="0" xr:uid="{7FB64CF0-5DAB-4212-8667-B431B32C592C}">
      <text>
        <r>
          <rPr>
            <sz val="9"/>
            <color indexed="81"/>
            <rFont val="Tahoma"/>
            <family val="2"/>
          </rPr>
          <t>Solver converged in probability to a global solution.</t>
        </r>
      </text>
    </comment>
    <comment ref="B34" authorId="0" shapeId="0" xr:uid="{030CE614-7C71-4377-8A82-CD82D70867C1}">
      <text>
        <r>
          <rPr>
            <sz val="9"/>
            <color indexed="81"/>
            <rFont val="Tahoma"/>
            <family val="2"/>
          </rPr>
          <t>Solver converged in probability to a global solution.</t>
        </r>
      </text>
    </comment>
    <comment ref="B35" authorId="0" shapeId="0" xr:uid="{26CBE442-1124-4610-B3B7-E4320AE6C9A1}">
      <text>
        <r>
          <rPr>
            <sz val="9"/>
            <color indexed="81"/>
            <rFont val="Tahoma"/>
            <family val="2"/>
          </rPr>
          <t>Solver converged in probability to a global solution.</t>
        </r>
      </text>
    </comment>
    <comment ref="B36" authorId="0" shapeId="0" xr:uid="{E4C5B3D1-4372-44E8-9DC4-8FF70AF2B7EF}">
      <text>
        <r>
          <rPr>
            <sz val="9"/>
            <color indexed="81"/>
            <rFont val="Tahoma"/>
            <family val="2"/>
          </rPr>
          <t>Solver converged in probability to a global solution.</t>
        </r>
      </text>
    </comment>
    <comment ref="B37" authorId="0" shapeId="0" xr:uid="{90A8D72B-F2F1-4E2F-9367-B8127E5A1398}">
      <text>
        <r>
          <rPr>
            <sz val="9"/>
            <color indexed="81"/>
            <rFont val="Tahoma"/>
            <family val="2"/>
          </rPr>
          <t>Solver converged in probability to a global solution.</t>
        </r>
      </text>
    </comment>
    <comment ref="B38" authorId="0" shapeId="0" xr:uid="{24ACD74B-9668-4DB1-828D-0E70826D0B5B}">
      <text>
        <r>
          <rPr>
            <sz val="9"/>
            <color indexed="81"/>
            <rFont val="Tahoma"/>
            <family val="2"/>
          </rPr>
          <t>Solver converged in probability to a global solution.</t>
        </r>
      </text>
    </comment>
    <comment ref="B39" authorId="0" shapeId="0" xr:uid="{4CF28AD7-D57A-4537-AB6A-70B029DB6885}">
      <text>
        <r>
          <rPr>
            <sz val="9"/>
            <color indexed="81"/>
            <rFont val="Tahoma"/>
            <family val="2"/>
          </rPr>
          <t>Solver converged in probability to a global solution.</t>
        </r>
      </text>
    </comment>
    <comment ref="B40" authorId="0" shapeId="0" xr:uid="{62F41111-0C80-49B4-BE46-E96DF0774F5A}">
      <text>
        <r>
          <rPr>
            <sz val="9"/>
            <color indexed="81"/>
            <rFont val="Tahoma"/>
            <family val="2"/>
          </rPr>
          <t>Solver converged in probability to a global solution.</t>
        </r>
      </text>
    </comment>
    <comment ref="B41" authorId="0" shapeId="0" xr:uid="{CF9E9BA9-AA4A-4251-80CE-D1696B76CF3A}">
      <text>
        <r>
          <rPr>
            <sz val="9"/>
            <color indexed="81"/>
            <rFont val="Tahoma"/>
            <family val="2"/>
          </rPr>
          <t>Solver converged in probability to a global solution.</t>
        </r>
      </text>
    </comment>
    <comment ref="B42" authorId="0" shapeId="0" xr:uid="{54E4937F-326E-41F7-82BF-528EF2AB1ABC}">
      <text>
        <r>
          <rPr>
            <sz val="9"/>
            <color indexed="81"/>
            <rFont val="Tahoma"/>
            <family val="2"/>
          </rPr>
          <t>Solver converged in probability to a global solution.</t>
        </r>
      </text>
    </comment>
    <comment ref="B43" authorId="0" shapeId="0" xr:uid="{4F0A05F7-2499-48AA-A838-ECB1540DE77D}">
      <text>
        <r>
          <rPr>
            <sz val="9"/>
            <color indexed="81"/>
            <rFont val="Tahoma"/>
            <family val="2"/>
          </rPr>
          <t>Solver converged in probability to a global solution.</t>
        </r>
      </text>
    </comment>
    <comment ref="B44" authorId="0" shapeId="0" xr:uid="{29611B20-7E82-429E-A691-E818C73F6682}">
      <text>
        <r>
          <rPr>
            <sz val="9"/>
            <color indexed="81"/>
            <rFont val="Tahoma"/>
            <family val="2"/>
          </rPr>
          <t>Solver converged in probability to a global solution.</t>
        </r>
      </text>
    </comment>
    <comment ref="B45" authorId="0" shapeId="0" xr:uid="{47F4323D-3503-4983-988A-25F4F6EE098E}">
      <text>
        <r>
          <rPr>
            <sz val="9"/>
            <color indexed="81"/>
            <rFont val="Tahoma"/>
            <family val="2"/>
          </rPr>
          <t>Solver converged in probability to a global solution.</t>
        </r>
      </text>
    </comment>
    <comment ref="B46" authorId="0" shapeId="0" xr:uid="{C01DE090-284F-4B65-8CE2-D18C18E6B7EF}">
      <text>
        <r>
          <rPr>
            <sz val="9"/>
            <color indexed="81"/>
            <rFont val="Tahoma"/>
            <family val="2"/>
          </rPr>
          <t>Solver converged in probability to a global solution.</t>
        </r>
      </text>
    </comment>
    <comment ref="B47" authorId="0" shapeId="0" xr:uid="{6C692FB7-2476-4153-B36C-F50295FE4417}">
      <text>
        <r>
          <rPr>
            <sz val="9"/>
            <color indexed="81"/>
            <rFont val="Tahoma"/>
            <family val="2"/>
          </rPr>
          <t>Solver converged in probability to a global solution.</t>
        </r>
      </text>
    </comment>
    <comment ref="B48" authorId="0" shapeId="0" xr:uid="{102B9577-6684-4531-8E2A-AA18EA510F19}">
      <text>
        <r>
          <rPr>
            <sz val="9"/>
            <color indexed="81"/>
            <rFont val="Tahoma"/>
            <family val="2"/>
          </rPr>
          <t>Solver converged in probability to a global solution.</t>
        </r>
      </text>
    </comment>
    <comment ref="B49" authorId="0" shapeId="0" xr:uid="{6BC73C62-D77B-4BC2-8D76-4E6B47E76D75}">
      <text>
        <r>
          <rPr>
            <sz val="9"/>
            <color indexed="81"/>
            <rFont val="Tahoma"/>
            <family val="2"/>
          </rPr>
          <t>Solver converged in probability to a global solution.</t>
        </r>
      </text>
    </comment>
    <comment ref="B50" authorId="0" shapeId="0" xr:uid="{DBE62621-35F0-46E3-AA1E-1294C7A31C85}">
      <text>
        <r>
          <rPr>
            <sz val="9"/>
            <color indexed="81"/>
            <rFont val="Tahoma"/>
            <family val="2"/>
          </rPr>
          <t>Solver converged in probability to a global solution.</t>
        </r>
      </text>
    </comment>
    <comment ref="B51" authorId="0" shapeId="0" xr:uid="{D7B96E80-B8D3-4948-A4FC-A2837BF51902}">
      <text>
        <r>
          <rPr>
            <sz val="9"/>
            <color indexed="81"/>
            <rFont val="Tahoma"/>
            <family val="2"/>
          </rPr>
          <t>Solver converged in probability to a global solution.</t>
        </r>
      </text>
    </comment>
    <comment ref="B52" authorId="0" shapeId="0" xr:uid="{B40904FC-213A-49D4-B957-806D9C4029FB}">
      <text>
        <r>
          <rPr>
            <sz val="9"/>
            <color indexed="81"/>
            <rFont val="Tahoma"/>
            <family val="2"/>
          </rPr>
          <t>Solver converged in probability to a global solution.</t>
        </r>
      </text>
    </comment>
    <comment ref="B53" authorId="0" shapeId="0" xr:uid="{D3231458-BDF6-4631-A1A6-069A64FC0A60}">
      <text>
        <r>
          <rPr>
            <sz val="9"/>
            <color indexed="81"/>
            <rFont val="Tahoma"/>
            <family val="2"/>
          </rPr>
          <t>Solver converged in probability to a global solution.</t>
        </r>
      </text>
    </comment>
    <comment ref="B54" authorId="0" shapeId="0" xr:uid="{A851F2E7-50F7-45A7-B855-7EB20DBB5CED}">
      <text>
        <r>
          <rPr>
            <sz val="9"/>
            <color indexed="81"/>
            <rFont val="Tahoma"/>
            <family val="2"/>
          </rPr>
          <t>Solver converged in probability to a global solution.</t>
        </r>
      </text>
    </comment>
    <comment ref="B55" authorId="0" shapeId="0" xr:uid="{0EDC9973-5C7F-400B-906B-C4320E1AAD73}">
      <text>
        <r>
          <rPr>
            <sz val="9"/>
            <color indexed="81"/>
            <rFont val="Tahoma"/>
            <family val="2"/>
          </rPr>
          <t>Solver converged in probability to a global solution.</t>
        </r>
      </text>
    </comment>
  </commentList>
</comments>
</file>

<file path=xl/sharedStrings.xml><?xml version="1.0" encoding="utf-8"?>
<sst xmlns="http://schemas.openxmlformats.org/spreadsheetml/2006/main" count="170" uniqueCount="103">
  <si>
    <t>Period</t>
  </si>
  <si>
    <t>Price</t>
  </si>
  <si>
    <t>Demand</t>
  </si>
  <si>
    <t>Unit Cost</t>
  </si>
  <si>
    <t>Aqua-Spa</t>
  </si>
  <si>
    <t>Hydro-Luxe</t>
  </si>
  <si>
    <t>In dollars ($)</t>
  </si>
  <si>
    <t>Demand function</t>
  </si>
  <si>
    <t xml:space="preserve">Elasticity </t>
  </si>
  <si>
    <t>Decision Variables</t>
  </si>
  <si>
    <t>Constraints</t>
  </si>
  <si>
    <t>&lt;=</t>
  </si>
  <si>
    <t>Pump</t>
  </si>
  <si>
    <t>Tubing Material (feet)</t>
  </si>
  <si>
    <t xml:space="preserve">Affect of changes in the maximum number of labor hours </t>
  </si>
  <si>
    <t>One-way analysis for Solver model in Solution 4 worksheet</t>
  </si>
  <si>
    <t>$B$16</t>
  </si>
  <si>
    <t>$B$17</t>
  </si>
  <si>
    <t>$B$19</t>
  </si>
  <si>
    <t>$B$20</t>
  </si>
  <si>
    <t>Data for chart</t>
  </si>
  <si>
    <t>Not feasible</t>
  </si>
  <si>
    <t>Regression Analysis</t>
  </si>
  <si>
    <t>Demand and Price for Aqua-Spa</t>
  </si>
  <si>
    <t>Price and Demand for Hydro-Luxe</t>
  </si>
  <si>
    <t>Case Study #3: Pricing and Production at Blue Ridge Hot Tubs</t>
  </si>
  <si>
    <t>Information on the monthly product prices and respective demands for each hot tub in the last 24 months:</t>
  </si>
  <si>
    <t>Inputs:</t>
  </si>
  <si>
    <t>Constraints:</t>
  </si>
  <si>
    <t xml:space="preserve">Howie believes he can increase profits by increasing the prices of the hot tubs. Below is a formulated NLP model that identifies the optimal prices of Aqua-Spa and Hydro-Luxe hot tubs that would maximize the total profit for next month. </t>
  </si>
  <si>
    <t>Non-Linear Programming Model - Maximization</t>
  </si>
  <si>
    <t>To formulate the Non-Linear Programming (NLP) model, we need to define input, decision variables, objective function, and the constraints.</t>
  </si>
  <si>
    <t>The elasticity functions are negative (-1.36 and-1.25), which means that the demand decreases by 1.36% and 1.25% when the price increases by 1% for the respective tubs. Also, if the price decreases by 1%, the demand increases by 1.36% and 1.25%.</t>
  </si>
  <si>
    <r>
      <t>where p</t>
    </r>
    <r>
      <rPr>
        <vertAlign val="subscript"/>
        <sz val="11"/>
        <color rgb="FF000000"/>
        <rFont val="Calibri"/>
        <family val="2"/>
        <scheme val="minor"/>
      </rPr>
      <t xml:space="preserve">1 </t>
    </r>
    <r>
      <rPr>
        <sz val="11"/>
        <color rgb="FF000000"/>
        <rFont val="Calibri"/>
        <family val="2"/>
        <scheme val="minor"/>
      </rPr>
      <t>and p</t>
    </r>
    <r>
      <rPr>
        <vertAlign val="subscript"/>
        <sz val="11"/>
        <color rgb="FF000000"/>
        <rFont val="Calibri"/>
        <family val="2"/>
        <scheme val="minor"/>
      </rPr>
      <t xml:space="preserve">2 </t>
    </r>
    <r>
      <rPr>
        <sz val="11"/>
        <color rgb="FF000000"/>
        <rFont val="Calibri"/>
        <family val="2"/>
        <scheme val="minor"/>
      </rPr>
      <t>are the prices for Aqua-Spa and Hydro-Luxe, respectively.</t>
    </r>
  </si>
  <si>
    <r>
      <t>For Aq, it is: 1733350.64p</t>
    </r>
    <r>
      <rPr>
        <vertAlign val="subscript"/>
        <sz val="11"/>
        <color rgb="FF000000"/>
        <rFont val="Calibri"/>
        <family val="2"/>
        <scheme val="minor"/>
      </rPr>
      <t>1</t>
    </r>
    <r>
      <rPr>
        <vertAlign val="superscript"/>
        <sz val="11"/>
        <color rgb="FF000000"/>
        <rFont val="Calibri"/>
        <family val="2"/>
        <scheme val="minor"/>
      </rPr>
      <t>-1.36</t>
    </r>
  </si>
  <si>
    <r>
      <t>For Hy, it is: 1099135.82p</t>
    </r>
    <r>
      <rPr>
        <vertAlign val="subscript"/>
        <sz val="11"/>
        <color rgb="FF000000"/>
        <rFont val="Calibri"/>
        <family val="2"/>
        <scheme val="minor"/>
      </rPr>
      <t>2</t>
    </r>
    <r>
      <rPr>
        <vertAlign val="superscript"/>
        <sz val="11"/>
        <color rgb="FF000000"/>
        <rFont val="Calibri"/>
        <family val="2"/>
        <scheme val="minor"/>
      </rPr>
      <t>-1.25</t>
    </r>
  </si>
  <si>
    <r>
      <t>D1 = 1733350.64p</t>
    </r>
    <r>
      <rPr>
        <vertAlign val="subscript"/>
        <sz val="11"/>
        <color rgb="FF000000"/>
        <rFont val="Calibri"/>
        <family val="2"/>
        <scheme val="minor"/>
      </rPr>
      <t>1</t>
    </r>
    <r>
      <rPr>
        <vertAlign val="superscript"/>
        <sz val="11"/>
        <color rgb="FF000000"/>
        <rFont val="Calibri"/>
        <family val="2"/>
        <scheme val="minor"/>
      </rPr>
      <t>-1.36</t>
    </r>
  </si>
  <si>
    <t>D1 = Demand of Aqua-Spa based on price, units</t>
  </si>
  <si>
    <t>D2 = Demand of Hydro-Luxe based on price, units</t>
  </si>
  <si>
    <r>
      <t>D2 = 1099135.82p</t>
    </r>
    <r>
      <rPr>
        <vertAlign val="subscript"/>
        <sz val="11"/>
        <color rgb="FF000000"/>
        <rFont val="Calibri"/>
        <family val="2"/>
        <scheme val="minor"/>
      </rPr>
      <t>2</t>
    </r>
    <r>
      <rPr>
        <vertAlign val="superscript"/>
        <sz val="11"/>
        <color rgb="FF000000"/>
        <rFont val="Calibri"/>
        <family val="2"/>
        <scheme val="minor"/>
      </rPr>
      <t>-1.25</t>
    </r>
  </si>
  <si>
    <t>s1 = Profit contribution of Aqua-Spa</t>
  </si>
  <si>
    <t>s2 = Profit contribution of Hydro-Luxe</t>
  </si>
  <si>
    <t>Objective Function:</t>
  </si>
  <si>
    <t>c1 = Cost per Aqua-Spa</t>
  </si>
  <si>
    <t>c2 = Cost per Hydro-Luxe</t>
  </si>
  <si>
    <t>c1 = $240</t>
  </si>
  <si>
    <t>c2 = $300</t>
  </si>
  <si>
    <t>Total number of pumps &lt;= 280</t>
  </si>
  <si>
    <r>
      <t xml:space="preserve"> p</t>
    </r>
    <r>
      <rPr>
        <b/>
        <vertAlign val="subscript"/>
        <sz val="11"/>
        <color theme="1"/>
        <rFont val="Calibri"/>
        <family val="2"/>
        <scheme val="minor"/>
      </rPr>
      <t>1</t>
    </r>
    <r>
      <rPr>
        <b/>
        <sz val="11"/>
        <color theme="1"/>
        <rFont val="Calibri"/>
        <family val="2"/>
        <scheme val="minor"/>
      </rPr>
      <t>, p</t>
    </r>
    <r>
      <rPr>
        <b/>
        <vertAlign val="subscript"/>
        <sz val="11"/>
        <color theme="1"/>
        <rFont val="Calibri"/>
        <family val="2"/>
        <scheme val="minor"/>
      </rPr>
      <t>2</t>
    </r>
    <r>
      <rPr>
        <b/>
        <sz val="11"/>
        <color theme="1"/>
        <rFont val="Calibri"/>
        <family val="2"/>
        <scheme val="minor"/>
      </rPr>
      <t xml:space="preserve"> = Price of tubs, $</t>
    </r>
  </si>
  <si>
    <t>Pricing and Production at Blue Ridge Hot Tubs: Optimal Solution</t>
  </si>
  <si>
    <t>Pricing and Production at Blue Ridge Hot Tubs: Model Formulation</t>
  </si>
  <si>
    <t>Aqua-Spa and Hydro-Luxe Hot Tubs</t>
  </si>
  <si>
    <t>Labor Hours</t>
  </si>
  <si>
    <t>Total</t>
  </si>
  <si>
    <t>Total number of pumps</t>
  </si>
  <si>
    <t>Total tubing material</t>
  </si>
  <si>
    <t>Total labor hours</t>
  </si>
  <si>
    <t>Binding constraint</t>
  </si>
  <si>
    <t>Total Profit,  Objective to maximize total profit</t>
  </si>
  <si>
    <t>Price for Hydro-Luxe</t>
  </si>
  <si>
    <t xml:space="preserve">Price for Aqua-Spa </t>
  </si>
  <si>
    <t>New Constraints</t>
  </si>
  <si>
    <t>Binding Constraint</t>
  </si>
  <si>
    <t>Price p1</t>
  </si>
  <si>
    <t>Profit s1</t>
  </si>
  <si>
    <t>Price p2</t>
  </si>
  <si>
    <t>Profit s2</t>
  </si>
  <si>
    <t>Aqua-Spa (Aq)</t>
  </si>
  <si>
    <t>Hydro-Luxe (Hy)</t>
  </si>
  <si>
    <t>Price for Aq: p1</t>
  </si>
  <si>
    <t>Price for Hy: p2</t>
  </si>
  <si>
    <t>Profit for Aq: s1</t>
  </si>
  <si>
    <t>Profit for Hy: s2</t>
  </si>
  <si>
    <t>Demand for Hy: D2</t>
  </si>
  <si>
    <t>Demand for Aq: D1</t>
  </si>
  <si>
    <t>Aqua-Spa (c1)</t>
  </si>
  <si>
    <t>Hydro-Luxe (c2)</t>
  </si>
  <si>
    <t>Minimum price, p1</t>
  </si>
  <si>
    <t>Minimum price, p2</t>
  </si>
  <si>
    <t>&gt;=</t>
  </si>
  <si>
    <t>Number of units (Respective demand)</t>
  </si>
  <si>
    <t xml:space="preserve">Constant </t>
  </si>
  <si>
    <t>Constant</t>
  </si>
  <si>
    <t>Pricing and Production at Blue Ridge Hot Tubs: Optimal Solution with Additional Constraints</t>
  </si>
  <si>
    <t>Total tubing material &lt;= 2600</t>
  </si>
  <si>
    <t>Total labor hours &lt;= 1100</t>
  </si>
  <si>
    <r>
      <t xml:space="preserve">We are given that there are 2 types of hot tubs: Aqua-Spa and Hydro-Luxe. Let them be Aq and Hy, respectively. We know that the common function for the price-dependent demand is a constant elasticity demand function: </t>
    </r>
    <r>
      <rPr>
        <i/>
        <sz val="10"/>
        <color rgb="FF0000FF"/>
        <rFont val="Arial"/>
        <family val="2"/>
      </rPr>
      <t>D = apᵇ</t>
    </r>
    <r>
      <rPr>
        <sz val="10"/>
        <rFont val="Arial"/>
        <family val="2"/>
      </rPr>
      <t xml:space="preserve">. We have found the same using regression analysis in Solution 1. </t>
    </r>
  </si>
  <si>
    <r>
      <t xml:space="preserve">Maximizing Profit: max [(p1 - c1)D1 + (p2-c2)D2]; </t>
    </r>
    <r>
      <rPr>
        <sz val="11"/>
        <color rgb="FF000000"/>
        <rFont val="Calibri"/>
        <family val="2"/>
        <scheme val="minor"/>
      </rPr>
      <t xml:space="preserve">given that the number of units produced for each spa should be equal to the respective demand. </t>
    </r>
  </si>
  <si>
    <r>
      <t>Non-negativity: p</t>
    </r>
    <r>
      <rPr>
        <vertAlign val="subscript"/>
        <sz val="11"/>
        <color theme="1"/>
        <rFont val="Calibri"/>
        <family val="2"/>
        <scheme val="minor"/>
      </rPr>
      <t>1</t>
    </r>
    <r>
      <rPr>
        <sz val="11"/>
        <color theme="1"/>
        <rFont val="Calibri"/>
        <family val="2"/>
        <scheme val="minor"/>
      </rPr>
      <t>, p</t>
    </r>
    <r>
      <rPr>
        <vertAlign val="subscript"/>
        <sz val="11"/>
        <color theme="1"/>
        <rFont val="Calibri"/>
        <family val="2"/>
        <scheme val="minor"/>
      </rPr>
      <t>2</t>
    </r>
    <r>
      <rPr>
        <sz val="11"/>
        <color theme="1"/>
        <rFont val="Calibri"/>
        <family val="2"/>
        <scheme val="minor"/>
      </rPr>
      <t xml:space="preserve"> &gt;= 0</t>
    </r>
  </si>
  <si>
    <r>
      <t>Minimum price: p</t>
    </r>
    <r>
      <rPr>
        <vertAlign val="subscript"/>
        <sz val="11"/>
        <color theme="1"/>
        <rFont val="Calibri"/>
        <family val="2"/>
        <scheme val="minor"/>
      </rPr>
      <t>1</t>
    </r>
    <r>
      <rPr>
        <sz val="11"/>
        <color theme="1"/>
        <rFont val="Calibri"/>
        <family val="2"/>
        <scheme val="minor"/>
      </rPr>
      <t xml:space="preserve"> &gt;= 240</t>
    </r>
  </si>
  <si>
    <r>
      <t>Minimum price: p</t>
    </r>
    <r>
      <rPr>
        <vertAlign val="subscript"/>
        <sz val="11"/>
        <color theme="1"/>
        <rFont val="Calibri"/>
        <family val="2"/>
        <scheme val="minor"/>
      </rPr>
      <t>2</t>
    </r>
    <r>
      <rPr>
        <sz val="11"/>
        <color theme="1"/>
        <rFont val="Calibri"/>
        <family val="2"/>
        <scheme val="minor"/>
      </rPr>
      <t xml:space="preserve"> &gt;= 300</t>
    </r>
  </si>
  <si>
    <t>After doing a profit-price analysis for Hydro-Luxe, it is found that $1500-$1600 is the ideal price range for Blue Ridge Hot tubs to maximize their profits. Anything below $1000 potentially will lead to less profits. A concave graph is observed here as well, which signifies an increase and then a gradual decrease with increasing price.</t>
  </si>
  <si>
    <t>After doing a profit-price analysis for Aqua-Spa, it is found that $890-$920 is the ideal price range for Blue Ridge Hot tubs to maximize their profits. However, if the price increases further, the profits decrease, because of the decrease in the demand. A concave-shaped, parabolic graph is formed for the price range $860-$950, which suggests that the profits increase with the price first, and then decrease as the demand gets lower.</t>
  </si>
  <si>
    <t>The elasticity demand function for Aqua-Spa comes out to be 0.88 or 88%, using power regression. It means that 88% of the variability in the demand for Aqua-Spa can be explained by the variability in the price. As the price increases, the demand decreases.</t>
  </si>
  <si>
    <t>The elasticity demand function for Hydro-Luxe comes out to be 0.84 or 84%, using power regression. It means that 84% of the variability in the demand for Aqua-Spa can be explained by the variability in the price. As the price increases, the demand decreases here as well.</t>
  </si>
  <si>
    <t>After applying Solver, we get the optimal solution (maximized profit) as $25,1106.35. Howie Jones should expect to sell one unit of Aqua-Spa at $913.27 and one unit of Hydro-Luxe at $1508.73. The model suggests to produce fractional units of tubs, which is not practical in the production scenario. Rounding off the demand, 163 Aqua-Spa and 117 Hydro-Luxe are expected to be sold at this price, leaving $673.27 and $1208.73 as profits, respectively. The solution could be useful for Blue Ridge Hot Tubs in determining a price that will not have a detrimental effect on demand. The prices obtained could potentially generate a good gross profit for the company. Moreover, Howie should also do a SWOT analysis for the company and analyse what factors cost the most in order to optimize them and increase the net margins.</t>
  </si>
  <si>
    <t>After applying two additional constraints, we get the demand as 142 and 138 for Aqua-Spa and Hydro-Luxe, respectively, with prices of $1012 (rounded off) and $1320 per unit. From the last model in Solution 3, the price for Aqua-Spa has been increased, while that of Hydro-Luxe has been decreased. The optimal solution (250418.67) too has been decreased by $687.68. This model can be useful if Howie intends to keep the prices more competetive. However, it is to be noted that the increase in price per unit of Aqua-Spa has lessened the demand.  On the other hand, the demand for Hydro-Luxe has increased. More analysis should be done by Blue Ridge Hot Tubs as the total profit did not increase and the previous model could be more effective.</t>
  </si>
  <si>
    <t>$D$29</t>
  </si>
  <si>
    <t>$B$16,$B$17,$B$19,$B$20,$B$22</t>
  </si>
  <si>
    <t>Affect of changes in the maximum number of labor hours  (cell $D$29) values along side, output cell(s) along top</t>
  </si>
  <si>
    <t>$B$22</t>
  </si>
  <si>
    <t>our optimal solution lies here.</t>
  </si>
  <si>
    <t xml:space="preserve">We build the SolverTable to analyze changes in the maximum number of labor hours affect the optimal price for each hot tub ($B16, $B19), the number of units produced ($B17, $B20), and the maximum total profit ($B22). From the table, we observe that any number of hours below 920 are not feasible for the production.      From 980 hours onwards, the price and demand of Aqua-Spa are consistent, while they are consistent for Hydro-Luxe starting 940 hours onwards. It is also notable that the maximum profit does not have any impact starting 980 labor hours, before which it is litte lower. It is seen that changing the number of labor hours does not have a significant impact on the factors considered, and they moreover remain the same. It is optimal to keep the labor hours between 960-980 as increasing the hours might impact the cost, and it is not changing the profit. Hence, Blue Ridge Hot Tubs should consider analysing other factors like the cost for each tub, increasing number of units produced, and other market factors.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</si>
</sst>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25" x14ac:knownFonts="1">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b/>
      <i/>
      <sz val="10"/>
      <color rgb="FF0000FF"/>
      <name val="Arial"/>
      <family val="2"/>
    </font>
    <font>
      <b/>
      <i/>
      <sz val="11"/>
      <name val="Calibri"/>
      <family val="2"/>
      <scheme val="minor"/>
    </font>
    <font>
      <b/>
      <sz val="11"/>
      <name val="Calibri"/>
      <family val="2"/>
      <scheme val="minor"/>
    </font>
    <font>
      <b/>
      <i/>
      <sz val="11"/>
      <color theme="1"/>
      <name val="Calibri"/>
      <family val="2"/>
      <scheme val="minor"/>
    </font>
    <font>
      <sz val="11"/>
      <color rgb="FFFFFFFF"/>
      <name val="Calibri"/>
      <family val="2"/>
      <scheme val="minor"/>
    </font>
    <font>
      <sz val="9"/>
      <color indexed="81"/>
      <name val="Tahoma"/>
      <family val="2"/>
    </font>
    <font>
      <b/>
      <i/>
      <sz val="12"/>
      <color rgb="FF0000FF"/>
      <name val="Arial"/>
      <family val="2"/>
    </font>
    <font>
      <b/>
      <sz val="14"/>
      <color theme="0"/>
      <name val="Arial"/>
      <family val="2"/>
    </font>
    <font>
      <sz val="11"/>
      <name val="Calibri"/>
      <family val="2"/>
      <scheme val="minor"/>
    </font>
    <font>
      <b/>
      <sz val="11"/>
      <color rgb="FF3333FF"/>
      <name val="Calibri"/>
      <family val="2"/>
      <scheme val="minor"/>
    </font>
    <font>
      <sz val="11"/>
      <color rgb="FF000000"/>
      <name val="Calibri"/>
      <family val="2"/>
      <scheme val="minor"/>
    </font>
    <font>
      <vertAlign val="superscript"/>
      <sz val="11"/>
      <color rgb="FF000000"/>
      <name val="Calibri"/>
      <family val="2"/>
      <scheme val="minor"/>
    </font>
    <font>
      <vertAlign val="subscript"/>
      <sz val="11"/>
      <color rgb="FF000000"/>
      <name val="Calibri"/>
      <family val="2"/>
      <scheme val="minor"/>
    </font>
    <font>
      <vertAlign val="subscript"/>
      <sz val="11"/>
      <color theme="1"/>
      <name val="Calibri"/>
      <family val="2"/>
      <scheme val="minor"/>
    </font>
    <font>
      <i/>
      <sz val="10"/>
      <color rgb="FF0000FF"/>
      <name val="Arial"/>
      <family val="2"/>
    </font>
    <font>
      <b/>
      <vertAlign val="subscript"/>
      <sz val="11"/>
      <color theme="1"/>
      <name val="Calibri"/>
      <family val="2"/>
      <scheme val="minor"/>
    </font>
    <font>
      <b/>
      <sz val="11"/>
      <color rgb="FF000000"/>
      <name val="Calibri"/>
      <family val="2"/>
      <scheme val="minor"/>
    </font>
    <font>
      <b/>
      <sz val="20"/>
      <name val="Calibri"/>
      <family val="2"/>
      <scheme val="minor"/>
    </font>
    <font>
      <b/>
      <i/>
      <sz val="11"/>
      <color rgb="FF0000FF"/>
      <name val="Calibri"/>
      <family val="2"/>
      <scheme val="minor"/>
    </font>
    <font>
      <b/>
      <sz val="11"/>
      <color rgb="FFFF0000"/>
      <name val="Calibri"/>
      <family val="2"/>
      <scheme val="minor"/>
    </font>
    <font>
      <b/>
      <sz val="11"/>
      <color rgb="FF0000FF"/>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rgb="FFFADFDA"/>
        <bgColor indexed="64"/>
      </patternFill>
    </fill>
    <fill>
      <patternFill patternType="solid">
        <fgColor theme="9" tint="0.59999389629810485"/>
        <bgColor indexed="64"/>
      </patternFill>
    </fill>
    <fill>
      <patternFill patternType="solid">
        <fgColor indexed="47"/>
        <bgColor indexed="64"/>
      </patternFill>
    </fill>
    <fill>
      <patternFill patternType="solid">
        <fgColor rgb="FF0000FF"/>
        <bgColor indexed="64"/>
      </patternFill>
    </fill>
    <fill>
      <patternFill patternType="solid">
        <fgColor theme="7" tint="0.79998168889431442"/>
        <bgColor indexed="64"/>
      </patternFill>
    </fill>
    <fill>
      <patternFill patternType="solid">
        <fgColor theme="0"/>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top/>
      <bottom/>
      <diagonal/>
    </border>
    <border>
      <left/>
      <right style="medium">
        <color auto="1"/>
      </right>
      <top/>
      <bottom/>
      <diagonal/>
    </border>
    <border>
      <left style="medium">
        <color indexed="64"/>
      </left>
      <right/>
      <top/>
      <bottom style="medium">
        <color indexed="64"/>
      </bottom>
      <diagonal/>
    </border>
    <border>
      <left/>
      <right/>
      <top/>
      <bottom style="medium">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3" fillId="0" borderId="0"/>
  </cellStyleXfs>
  <cellXfs count="128">
    <xf numFmtId="0" fontId="0" fillId="0" borderId="0" xfId="0"/>
    <xf numFmtId="0" fontId="0" fillId="0" borderId="4" xfId="0" applyBorder="1" applyAlignment="1">
      <alignment horizontal="center" vertical="center"/>
    </xf>
    <xf numFmtId="0" fontId="2" fillId="0" borderId="4" xfId="0" applyFont="1" applyBorder="1" applyAlignment="1">
      <alignment horizontal="center" vertical="center"/>
    </xf>
    <xf numFmtId="0" fontId="0" fillId="0" borderId="5" xfId="0" applyBorder="1" applyAlignment="1">
      <alignment horizontal="center" vertical="center"/>
    </xf>
    <xf numFmtId="0" fontId="2" fillId="0" borderId="5" xfId="0" applyFont="1" applyBorder="1" applyAlignment="1">
      <alignment horizontal="center" vertical="center"/>
    </xf>
    <xf numFmtId="8" fontId="0" fillId="0" borderId="5" xfId="0" applyNumberFormat="1" applyBorder="1" applyAlignment="1">
      <alignment horizontal="center" vertical="center"/>
    </xf>
    <xf numFmtId="0" fontId="1" fillId="0" borderId="0" xfId="0" applyFont="1"/>
    <xf numFmtId="0" fontId="6" fillId="0" borderId="0" xfId="1" applyFont="1"/>
    <xf numFmtId="0" fontId="6" fillId="2" borderId="6" xfId="1" applyFont="1" applyFill="1" applyBorder="1" applyAlignment="1">
      <alignment horizontal="center"/>
    </xf>
    <xf numFmtId="0" fontId="1" fillId="0" borderId="6" xfId="0" applyFont="1" applyBorder="1" applyAlignment="1">
      <alignment horizontal="center"/>
    </xf>
    <xf numFmtId="49" fontId="0" fillId="0" borderId="0" xfId="0" applyNumberFormat="1"/>
    <xf numFmtId="0" fontId="0" fillId="0" borderId="0" xfId="0" applyAlignment="1">
      <alignment horizontal="right" textRotation="90"/>
    </xf>
    <xf numFmtId="0" fontId="0" fillId="0" borderId="9" xfId="0" applyBorder="1"/>
    <xf numFmtId="0" fontId="0" fillId="0" borderId="10" xfId="0" applyBorder="1"/>
    <xf numFmtId="0" fontId="0" fillId="0" borderId="11" xfId="0" applyBorder="1"/>
    <xf numFmtId="0" fontId="0" fillId="4" borderId="0" xfId="0" applyFill="1" applyAlignment="1">
      <alignment horizontal="right" textRotation="90"/>
    </xf>
    <xf numFmtId="0" fontId="8" fillId="0" borderId="0" xfId="0" applyFont="1"/>
    <xf numFmtId="0" fontId="0" fillId="5" borderId="8" xfId="0" applyFill="1" applyBorder="1"/>
    <xf numFmtId="0" fontId="0" fillId="5" borderId="7" xfId="0" applyFill="1" applyBorder="1"/>
    <xf numFmtId="0" fontId="0" fillId="0" borderId="0" xfId="0" applyAlignment="1">
      <alignment horizontal="center"/>
    </xf>
    <xf numFmtId="0" fontId="0" fillId="0" borderId="0" xfId="0" applyAlignment="1">
      <alignment wrapText="1"/>
    </xf>
    <xf numFmtId="2" fontId="1" fillId="0" borderId="6" xfId="0" applyNumberFormat="1" applyFont="1" applyBorder="1" applyAlignment="1">
      <alignment horizontal="center"/>
    </xf>
    <xf numFmtId="2" fontId="0" fillId="0" borderId="0" xfId="0" applyNumberFormat="1"/>
    <xf numFmtId="0" fontId="4" fillId="0" borderId="15" xfId="0" applyFont="1" applyBorder="1"/>
    <xf numFmtId="0" fontId="0" fillId="0" borderId="16" xfId="0" applyBorder="1"/>
    <xf numFmtId="0" fontId="0" fillId="0" borderId="15" xfId="0" applyBorder="1" applyAlignment="1">
      <alignment wrapText="1"/>
    </xf>
    <xf numFmtId="0" fontId="0" fillId="0" borderId="18" xfId="0" applyBorder="1"/>
    <xf numFmtId="0" fontId="0" fillId="0" borderId="5" xfId="0" applyBorder="1"/>
    <xf numFmtId="0" fontId="5" fillId="0" borderId="0" xfId="1" applyFont="1"/>
    <xf numFmtId="0" fontId="0" fillId="0" borderId="6" xfId="0" applyBorder="1"/>
    <xf numFmtId="0" fontId="14" fillId="0" borderId="15" xfId="0" applyFont="1" applyBorder="1"/>
    <xf numFmtId="0" fontId="14" fillId="0" borderId="0" xfId="0" applyFont="1"/>
    <xf numFmtId="0" fontId="14" fillId="0" borderId="6" xfId="0" applyFont="1" applyBorder="1"/>
    <xf numFmtId="0" fontId="0" fillId="0" borderId="6" xfId="0" applyBorder="1" applyAlignment="1">
      <alignment horizontal="center"/>
    </xf>
    <xf numFmtId="0" fontId="0" fillId="0" borderId="6" xfId="0" applyBorder="1" applyAlignment="1">
      <alignment wrapText="1"/>
    </xf>
    <xf numFmtId="0" fontId="1" fillId="0" borderId="15" xfId="0" applyFont="1" applyBorder="1" applyAlignment="1">
      <alignment wrapText="1"/>
    </xf>
    <xf numFmtId="0" fontId="14" fillId="0" borderId="21" xfId="0" applyFont="1" applyBorder="1"/>
    <xf numFmtId="0" fontId="0" fillId="0" borderId="21" xfId="0" applyBorder="1" applyAlignment="1">
      <alignment wrapText="1"/>
    </xf>
    <xf numFmtId="0" fontId="0" fillId="0" borderId="17" xfId="0" applyBorder="1"/>
    <xf numFmtId="0" fontId="6" fillId="8" borderId="15" xfId="0" applyFont="1" applyFill="1" applyBorder="1" applyAlignment="1">
      <alignment horizontal="center" wrapText="1"/>
    </xf>
    <xf numFmtId="0" fontId="13" fillId="8" borderId="0" xfId="0" applyFont="1" applyFill="1" applyAlignment="1">
      <alignment horizontal="center"/>
    </xf>
    <xf numFmtId="0" fontId="13" fillId="8" borderId="16" xfId="0" applyFont="1" applyFill="1" applyBorder="1" applyAlignment="1">
      <alignment horizontal="center"/>
    </xf>
    <xf numFmtId="0" fontId="6" fillId="0" borderId="6" xfId="1" applyFont="1" applyBorder="1" applyAlignment="1">
      <alignment horizontal="center"/>
    </xf>
    <xf numFmtId="0" fontId="22" fillId="0" borderId="0" xfId="1" applyFont="1"/>
    <xf numFmtId="0" fontId="1" fillId="9" borderId="0" xfId="0" applyFont="1" applyFill="1" applyAlignment="1">
      <alignment horizontal="center"/>
    </xf>
    <xf numFmtId="0" fontId="1" fillId="2" borderId="6" xfId="0" applyFont="1" applyFill="1" applyBorder="1" applyAlignment="1">
      <alignment horizontal="center"/>
    </xf>
    <xf numFmtId="0" fontId="0" fillId="9" borderId="0" xfId="0" applyFill="1" applyAlignment="1">
      <alignment horizontal="center"/>
    </xf>
    <xf numFmtId="2" fontId="1" fillId="2" borderId="6" xfId="0" applyNumberFormat="1" applyFont="1" applyFill="1" applyBorder="1" applyAlignment="1">
      <alignment horizontal="center"/>
    </xf>
    <xf numFmtId="2" fontId="23" fillId="3" borderId="6" xfId="0" applyNumberFormat="1" applyFont="1" applyFill="1" applyBorder="1" applyAlignment="1">
      <alignment horizontal="center"/>
    </xf>
    <xf numFmtId="0" fontId="1" fillId="0" borderId="0" xfId="0" applyFont="1" applyAlignment="1">
      <alignment horizontal="center"/>
    </xf>
    <xf numFmtId="2" fontId="1" fillId="10" borderId="6" xfId="0" applyNumberFormat="1" applyFont="1" applyFill="1" applyBorder="1" applyAlignment="1">
      <alignment horizontal="center"/>
    </xf>
    <xf numFmtId="0" fontId="1" fillId="10" borderId="6" xfId="0" applyFont="1" applyFill="1" applyBorder="1" applyAlignment="1">
      <alignment horizontal="center"/>
    </xf>
    <xf numFmtId="0" fontId="24" fillId="0" borderId="0" xfId="0" applyFont="1" applyAlignment="1">
      <alignment horizontal="left"/>
    </xf>
    <xf numFmtId="4" fontId="6" fillId="8" borderId="6" xfId="1" applyNumberFormat="1" applyFont="1" applyFill="1" applyBorder="1" applyAlignment="1">
      <alignment horizontal="center"/>
    </xf>
    <xf numFmtId="0" fontId="2" fillId="0" borderId="0" xfId="0" applyFont="1"/>
    <xf numFmtId="0" fontId="1" fillId="0" borderId="6" xfId="0" applyFont="1" applyBorder="1" applyAlignment="1">
      <alignment horizontal="center" wrapText="1"/>
    </xf>
    <xf numFmtId="6" fontId="0" fillId="0" borderId="6" xfId="0" applyNumberFormat="1" applyBorder="1" applyAlignment="1">
      <alignment horizontal="center"/>
    </xf>
    <xf numFmtId="8" fontId="0" fillId="0" borderId="6" xfId="0" applyNumberFormat="1" applyBorder="1" applyAlignment="1">
      <alignment horizontal="center"/>
    </xf>
    <xf numFmtId="6" fontId="0" fillId="10" borderId="6" xfId="0" applyNumberFormat="1" applyFill="1" applyBorder="1" applyAlignment="1">
      <alignment horizontal="center"/>
    </xf>
    <xf numFmtId="0" fontId="0" fillId="10" borderId="6" xfId="0" applyFill="1" applyBorder="1" applyAlignment="1">
      <alignment horizontal="center"/>
    </xf>
    <xf numFmtId="0" fontId="1" fillId="11" borderId="6" xfId="0" applyFont="1" applyFill="1" applyBorder="1" applyAlignment="1">
      <alignment horizontal="center"/>
    </xf>
    <xf numFmtId="0" fontId="6" fillId="0" borderId="6" xfId="0" applyFont="1" applyBorder="1" applyAlignment="1">
      <alignment horizontal="center"/>
    </xf>
    <xf numFmtId="0" fontId="6" fillId="0" borderId="0" xfId="0" applyFont="1" applyAlignment="1">
      <alignment horizontal="center"/>
    </xf>
    <xf numFmtId="0" fontId="0" fillId="7" borderId="6" xfId="0" applyFill="1" applyBorder="1" applyAlignment="1">
      <alignment horizontal="center" wrapText="1"/>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11" fillId="6" borderId="0" xfId="1" applyFont="1" applyFill="1" applyAlignment="1">
      <alignment horizontal="center"/>
    </xf>
    <xf numFmtId="0" fontId="10" fillId="0" borderId="0" xfId="1" applyFont="1" applyAlignment="1">
      <alignment horizontal="left"/>
    </xf>
    <xf numFmtId="0" fontId="6" fillId="0" borderId="0" xfId="1" applyFont="1" applyAlignment="1">
      <alignment horizontal="left"/>
    </xf>
    <xf numFmtId="0" fontId="21" fillId="8" borderId="1"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15" xfId="0" applyFont="1" applyFill="1" applyBorder="1" applyAlignment="1">
      <alignment horizontal="center" wrapText="1"/>
    </xf>
    <xf numFmtId="0" fontId="13" fillId="8" borderId="0" xfId="0" applyFont="1" applyFill="1" applyAlignment="1">
      <alignment horizontal="center"/>
    </xf>
    <xf numFmtId="0" fontId="13" fillId="8" borderId="16" xfId="0" applyFont="1" applyFill="1" applyBorder="1" applyAlignment="1">
      <alignment horizontal="center"/>
    </xf>
    <xf numFmtId="0" fontId="0" fillId="0" borderId="15" xfId="0" applyBorder="1" applyAlignment="1">
      <alignment horizontal="left"/>
    </xf>
    <xf numFmtId="0" fontId="0" fillId="0" borderId="0" xfId="0" applyAlignment="1">
      <alignment horizontal="left"/>
    </xf>
    <xf numFmtId="0" fontId="3" fillId="0" borderId="15" xfId="0" applyFont="1" applyBorder="1" applyAlignment="1">
      <alignment horizontal="left" wrapText="1"/>
    </xf>
    <xf numFmtId="0" fontId="3" fillId="0" borderId="0" xfId="0" applyFont="1" applyAlignment="1">
      <alignment horizontal="left" wrapText="1"/>
    </xf>
    <xf numFmtId="0" fontId="3" fillId="0" borderId="16" xfId="0" applyFont="1" applyBorder="1" applyAlignment="1">
      <alignment horizontal="left" wrapText="1"/>
    </xf>
    <xf numFmtId="0" fontId="4" fillId="0" borderId="15" xfId="0" applyFont="1" applyBorder="1" applyAlignment="1">
      <alignment horizontal="left"/>
    </xf>
    <xf numFmtId="0" fontId="4" fillId="0" borderId="0" xfId="0" applyFont="1" applyAlignment="1">
      <alignment horizontal="left"/>
    </xf>
    <xf numFmtId="0" fontId="4" fillId="0" borderId="16" xfId="0" applyFont="1" applyBorder="1" applyAlignment="1">
      <alignment horizontal="left"/>
    </xf>
    <xf numFmtId="0" fontId="0" fillId="0" borderId="21" xfId="0" applyBorder="1" applyAlignment="1">
      <alignment horizontal="left" wrapText="1"/>
    </xf>
    <xf numFmtId="0" fontId="0" fillId="0" borderId="6" xfId="0" applyBorder="1" applyAlignment="1">
      <alignment horizontal="left" wrapText="1"/>
    </xf>
    <xf numFmtId="0" fontId="0" fillId="0" borderId="21" xfId="0" applyBorder="1" applyAlignment="1">
      <alignment horizontal="left"/>
    </xf>
    <xf numFmtId="0" fontId="0" fillId="0" borderId="6" xfId="0" applyBorder="1" applyAlignment="1">
      <alignment horizontal="left"/>
    </xf>
    <xf numFmtId="0" fontId="0" fillId="0" borderId="15" xfId="0" applyBorder="1" applyAlignment="1">
      <alignment horizontal="left" wrapText="1"/>
    </xf>
    <xf numFmtId="0" fontId="0" fillId="0" borderId="0" xfId="0" applyAlignment="1">
      <alignment horizontal="left" wrapText="1"/>
    </xf>
    <xf numFmtId="0" fontId="0" fillId="0" borderId="16" xfId="0" applyBorder="1" applyAlignment="1">
      <alignment horizontal="left" wrapText="1"/>
    </xf>
    <xf numFmtId="0" fontId="12" fillId="0" borderId="21" xfId="0" applyFont="1" applyBorder="1" applyAlignment="1">
      <alignment horizontal="left"/>
    </xf>
    <xf numFmtId="0" fontId="12" fillId="0" borderId="6" xfId="0" applyFont="1" applyBorder="1" applyAlignment="1">
      <alignment horizontal="left"/>
    </xf>
    <xf numFmtId="0" fontId="20" fillId="0" borderId="15" xfId="0" applyFont="1" applyBorder="1" applyAlignment="1">
      <alignment horizontal="left"/>
    </xf>
    <xf numFmtId="0" fontId="20" fillId="0" borderId="0" xfId="0" applyFont="1" applyAlignment="1">
      <alignment horizontal="left"/>
    </xf>
    <xf numFmtId="0" fontId="0" fillId="0" borderId="15" xfId="0" applyBorder="1" applyAlignment="1">
      <alignment horizontal="center"/>
    </xf>
    <xf numFmtId="0" fontId="0" fillId="0" borderId="0" xfId="0" applyAlignment="1">
      <alignment horizontal="center"/>
    </xf>
    <xf numFmtId="0" fontId="0" fillId="0" borderId="16" xfId="0" applyBorder="1" applyAlignment="1">
      <alignment horizontal="center"/>
    </xf>
    <xf numFmtId="0" fontId="3" fillId="0" borderId="15" xfId="0" applyFont="1" applyBorder="1" applyAlignment="1">
      <alignment horizontal="center" wrapText="1"/>
    </xf>
    <xf numFmtId="0" fontId="3" fillId="0" borderId="0" xfId="0" applyFont="1" applyAlignment="1">
      <alignment horizontal="center" wrapText="1"/>
    </xf>
    <xf numFmtId="0" fontId="3" fillId="0" borderId="16" xfId="0" applyFont="1" applyBorder="1" applyAlignment="1">
      <alignment horizontal="center" wrapText="1"/>
    </xf>
    <xf numFmtId="0" fontId="14" fillId="0" borderId="23" xfId="0" applyFont="1" applyBorder="1" applyAlignment="1">
      <alignment horizontal="left"/>
    </xf>
    <xf numFmtId="0" fontId="14" fillId="0" borderId="20" xfId="0" applyFont="1" applyBorder="1" applyAlignment="1">
      <alignment horizontal="left"/>
    </xf>
    <xf numFmtId="0" fontId="14" fillId="0" borderId="6" xfId="0" applyFont="1" applyBorder="1" applyAlignment="1">
      <alignment horizontal="left"/>
    </xf>
    <xf numFmtId="0" fontId="14" fillId="0" borderId="22" xfId="0" applyFont="1" applyBorder="1" applyAlignment="1">
      <alignment horizontal="left"/>
    </xf>
    <xf numFmtId="0" fontId="4" fillId="0" borderId="0" xfId="1" applyFont="1" applyAlignment="1">
      <alignment horizontal="left"/>
    </xf>
    <xf numFmtId="0" fontId="21" fillId="8" borderId="2" xfId="0" applyFont="1" applyFill="1" applyBorder="1" applyAlignment="1">
      <alignment horizontal="center"/>
    </xf>
    <xf numFmtId="0" fontId="21" fillId="8" borderId="3" xfId="0" applyFont="1" applyFill="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5" fillId="0" borderId="19" xfId="1" applyFont="1" applyBorder="1" applyAlignment="1">
      <alignment horizontal="center"/>
    </xf>
    <xf numFmtId="0" fontId="5" fillId="0" borderId="20" xfId="1" applyFont="1" applyBorder="1" applyAlignment="1">
      <alignment horizontal="center"/>
    </xf>
    <xf numFmtId="0" fontId="0" fillId="11" borderId="7" xfId="0" applyFill="1" applyBorder="1" applyAlignment="1">
      <alignment horizontal="center" wrapText="1"/>
    </xf>
    <xf numFmtId="0" fontId="7" fillId="7" borderId="0" xfId="0" applyFont="1" applyFill="1" applyAlignment="1">
      <alignment horizontal="left" wrapText="1"/>
    </xf>
    <xf numFmtId="0" fontId="7" fillId="7" borderId="0" xfId="0" applyFont="1" applyFill="1" applyAlignment="1">
      <alignment horizontal="center" wrapText="1"/>
    </xf>
    <xf numFmtId="0" fontId="0" fillId="0" borderId="0" xfId="0" applyNumberFormat="1"/>
    <xf numFmtId="0" fontId="0" fillId="0" borderId="0" xfId="0" applyBorder="1"/>
    <xf numFmtId="2" fontId="0" fillId="0" borderId="7" xfId="0" applyNumberFormat="1" applyBorder="1"/>
    <xf numFmtId="2" fontId="0" fillId="0" borderId="0" xfId="0" applyNumberFormat="1" applyBorder="1"/>
    <xf numFmtId="2" fontId="0" fillId="0" borderId="11" xfId="0" applyNumberFormat="1" applyBorder="1"/>
    <xf numFmtId="2" fontId="0" fillId="0" borderId="12" xfId="0" applyNumberFormat="1" applyBorder="1"/>
    <xf numFmtId="2" fontId="0" fillId="0" borderId="13" xfId="0" applyNumberFormat="1" applyBorder="1"/>
    <xf numFmtId="2" fontId="0" fillId="0" borderId="14" xfId="0" applyNumberFormat="1" applyBorder="1"/>
    <xf numFmtId="0" fontId="0" fillId="11" borderId="0" xfId="0" applyNumberFormat="1" applyFill="1"/>
    <xf numFmtId="2" fontId="0" fillId="11" borderId="7" xfId="0" applyNumberFormat="1" applyFill="1" applyBorder="1"/>
    <xf numFmtId="2" fontId="0" fillId="11" borderId="0" xfId="0" applyNumberFormat="1" applyFill="1" applyBorder="1"/>
    <xf numFmtId="2" fontId="0" fillId="11" borderId="11" xfId="0" applyNumberFormat="1" applyFill="1" applyBorder="1"/>
    <xf numFmtId="0" fontId="7" fillId="0" borderId="0" xfId="0" applyFont="1"/>
  </cellXfs>
  <cellStyles count="2">
    <cellStyle name="Normal" xfId="0" builtinId="0"/>
    <cellStyle name="Normal 2" xfId="1" xr:uid="{8132AAA7-7639-415D-AFFF-EB4391D70649}"/>
  </cellStyles>
  <dxfs count="0"/>
  <tableStyles count="0" defaultTableStyle="TableStyleMedium2" defaultPivotStyle="PivotStyleLight16"/>
  <colors>
    <mruColors>
      <color rgb="FF0000FF"/>
      <color rgb="FFFADFDA"/>
      <color rgb="FF2F7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and Price for Aqua-Spa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 1'!$C$7</c:f>
              <c:strCache>
                <c:ptCount val="1"/>
                <c:pt idx="0">
                  <c:v>Demand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olid"/>
              </a:ln>
              <a:effectLst/>
            </c:spPr>
            <c:trendlineType val="power"/>
            <c:dispRSqr val="1"/>
            <c:dispEq val="1"/>
            <c:trendlineLbl>
              <c:layout>
                <c:manualLayout>
                  <c:x val="-0.40756848507708993"/>
                  <c:y val="0.22758269454728763"/>
                </c:manualLayout>
              </c:layout>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'Solution 1'!$B$8:$B$31</c:f>
              <c:numCache>
                <c:formatCode>"$"#,##0.00_);[Red]\("$"#,##0.00\)</c:formatCode>
                <c:ptCount val="24"/>
                <c:pt idx="0">
                  <c:v>1090</c:v>
                </c:pt>
                <c:pt idx="1">
                  <c:v>1225</c:v>
                </c:pt>
                <c:pt idx="2">
                  <c:v>1170</c:v>
                </c:pt>
                <c:pt idx="3">
                  <c:v>1270</c:v>
                </c:pt>
                <c:pt idx="4">
                  <c:v>1275</c:v>
                </c:pt>
                <c:pt idx="5">
                  <c:v>1190</c:v>
                </c:pt>
                <c:pt idx="6">
                  <c:v>1000</c:v>
                </c:pt>
                <c:pt idx="7">
                  <c:v>899</c:v>
                </c:pt>
                <c:pt idx="8">
                  <c:v>1075</c:v>
                </c:pt>
                <c:pt idx="9">
                  <c:v>1075</c:v>
                </c:pt>
                <c:pt idx="10">
                  <c:v>989</c:v>
                </c:pt>
                <c:pt idx="11">
                  <c:v>979</c:v>
                </c:pt>
                <c:pt idx="12">
                  <c:v>1105</c:v>
                </c:pt>
                <c:pt idx="13">
                  <c:v>980</c:v>
                </c:pt>
                <c:pt idx="14">
                  <c:v>879</c:v>
                </c:pt>
                <c:pt idx="15">
                  <c:v>1080</c:v>
                </c:pt>
                <c:pt idx="16">
                  <c:v>1179</c:v>
                </c:pt>
                <c:pt idx="17">
                  <c:v>1239</c:v>
                </c:pt>
                <c:pt idx="18">
                  <c:v>1120</c:v>
                </c:pt>
                <c:pt idx="19">
                  <c:v>1009</c:v>
                </c:pt>
                <c:pt idx="20">
                  <c:v>989</c:v>
                </c:pt>
                <c:pt idx="21">
                  <c:v>909</c:v>
                </c:pt>
                <c:pt idx="22">
                  <c:v>1000</c:v>
                </c:pt>
                <c:pt idx="23">
                  <c:v>1109</c:v>
                </c:pt>
              </c:numCache>
            </c:numRef>
          </c:xVal>
          <c:yVal>
            <c:numRef>
              <c:f>'Solution 1'!$C$8:$C$31</c:f>
              <c:numCache>
                <c:formatCode>General</c:formatCode>
                <c:ptCount val="24"/>
                <c:pt idx="0">
                  <c:v>140</c:v>
                </c:pt>
                <c:pt idx="1">
                  <c:v>95</c:v>
                </c:pt>
                <c:pt idx="2">
                  <c:v>113</c:v>
                </c:pt>
                <c:pt idx="3">
                  <c:v>99</c:v>
                </c:pt>
                <c:pt idx="4">
                  <c:v>100</c:v>
                </c:pt>
                <c:pt idx="5">
                  <c:v>107</c:v>
                </c:pt>
                <c:pt idx="6">
                  <c:v>149</c:v>
                </c:pt>
                <c:pt idx="7">
                  <c:v>154</c:v>
                </c:pt>
                <c:pt idx="8">
                  <c:v>120</c:v>
                </c:pt>
                <c:pt idx="9">
                  <c:v>124</c:v>
                </c:pt>
                <c:pt idx="10">
                  <c:v>148</c:v>
                </c:pt>
                <c:pt idx="11">
                  <c:v>138</c:v>
                </c:pt>
                <c:pt idx="12">
                  <c:v>130</c:v>
                </c:pt>
                <c:pt idx="13">
                  <c:v>149</c:v>
                </c:pt>
                <c:pt idx="14">
                  <c:v>158</c:v>
                </c:pt>
                <c:pt idx="15">
                  <c:v>123</c:v>
                </c:pt>
                <c:pt idx="16">
                  <c:v>116</c:v>
                </c:pt>
                <c:pt idx="17">
                  <c:v>110</c:v>
                </c:pt>
                <c:pt idx="18">
                  <c:v>126</c:v>
                </c:pt>
                <c:pt idx="19">
                  <c:v>142</c:v>
                </c:pt>
                <c:pt idx="20">
                  <c:v>156</c:v>
                </c:pt>
                <c:pt idx="21">
                  <c:v>161</c:v>
                </c:pt>
                <c:pt idx="22">
                  <c:v>134</c:v>
                </c:pt>
                <c:pt idx="23">
                  <c:v>124</c:v>
                </c:pt>
              </c:numCache>
            </c:numRef>
          </c:yVal>
          <c:smooth val="0"/>
          <c:extLst>
            <c:ext xmlns:c16="http://schemas.microsoft.com/office/drawing/2014/chart" uri="{C3380CC4-5D6E-409C-BE32-E72D297353CC}">
              <c16:uniqueId val="{00000000-3ABF-44EE-9B7B-50B77F561F2C}"/>
            </c:ext>
          </c:extLst>
        </c:ser>
        <c:dLbls>
          <c:showLegendKey val="0"/>
          <c:showVal val="0"/>
          <c:showCatName val="0"/>
          <c:showSerName val="0"/>
          <c:showPercent val="0"/>
          <c:showBubbleSize val="0"/>
        </c:dLbls>
        <c:axId val="550697024"/>
        <c:axId val="521928640"/>
      </c:scatterChart>
      <c:valAx>
        <c:axId val="550697024"/>
        <c:scaling>
          <c:orientation val="minMax"/>
          <c:min val="850"/>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28640"/>
        <c:crosses val="autoZero"/>
        <c:crossBetween val="midCat"/>
      </c:valAx>
      <c:valAx>
        <c:axId val="52192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97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and Price for Hydro-Luxe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 1'!$G$7</c:f>
              <c:strCache>
                <c:ptCount val="1"/>
                <c:pt idx="0">
                  <c:v>Demand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olid"/>
              </a:ln>
              <a:effectLst/>
            </c:spPr>
            <c:trendlineType val="power"/>
            <c:dispRSqr val="1"/>
            <c:dispEq val="1"/>
            <c:trendlineLbl>
              <c:layout>
                <c:manualLayout>
                  <c:x val="-0.3664262936095895"/>
                  <c:y val="0.37018466681434642"/>
                </c:manualLayout>
              </c:layout>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'Solution 1'!$F$8:$F$31</c:f>
              <c:numCache>
                <c:formatCode>"$"#,##0.00_);[Red]\("$"#,##0.00\)</c:formatCode>
                <c:ptCount val="24"/>
                <c:pt idx="0">
                  <c:v>1300</c:v>
                </c:pt>
                <c:pt idx="1">
                  <c:v>1310</c:v>
                </c:pt>
                <c:pt idx="2">
                  <c:v>1230</c:v>
                </c:pt>
                <c:pt idx="3">
                  <c:v>1210</c:v>
                </c:pt>
                <c:pt idx="4">
                  <c:v>1270</c:v>
                </c:pt>
                <c:pt idx="5">
                  <c:v>1319</c:v>
                </c:pt>
                <c:pt idx="6">
                  <c:v>1179</c:v>
                </c:pt>
                <c:pt idx="7">
                  <c:v>1169</c:v>
                </c:pt>
                <c:pt idx="8">
                  <c:v>1175</c:v>
                </c:pt>
                <c:pt idx="9">
                  <c:v>1215</c:v>
                </c:pt>
                <c:pt idx="10">
                  <c:v>1195</c:v>
                </c:pt>
                <c:pt idx="11">
                  <c:v>1230</c:v>
                </c:pt>
                <c:pt idx="12">
                  <c:v>1245</c:v>
                </c:pt>
                <c:pt idx="13">
                  <c:v>1210</c:v>
                </c:pt>
                <c:pt idx="14">
                  <c:v>1219</c:v>
                </c:pt>
                <c:pt idx="15">
                  <c:v>1230</c:v>
                </c:pt>
                <c:pt idx="16">
                  <c:v>1230</c:v>
                </c:pt>
                <c:pt idx="17">
                  <c:v>1270</c:v>
                </c:pt>
                <c:pt idx="18">
                  <c:v>1219</c:v>
                </c:pt>
                <c:pt idx="19">
                  <c:v>1169</c:v>
                </c:pt>
                <c:pt idx="20">
                  <c:v>1219</c:v>
                </c:pt>
                <c:pt idx="21">
                  <c:v>1132</c:v>
                </c:pt>
                <c:pt idx="22">
                  <c:v>1129</c:v>
                </c:pt>
                <c:pt idx="23">
                  <c:v>1135</c:v>
                </c:pt>
              </c:numCache>
            </c:numRef>
          </c:xVal>
          <c:yVal>
            <c:numRef>
              <c:f>'Solution 1'!$G$8:$G$31</c:f>
              <c:numCache>
                <c:formatCode>General</c:formatCode>
                <c:ptCount val="24"/>
                <c:pt idx="0">
                  <c:v>144</c:v>
                </c:pt>
                <c:pt idx="1">
                  <c:v>139</c:v>
                </c:pt>
                <c:pt idx="2">
                  <c:v>152</c:v>
                </c:pt>
                <c:pt idx="3">
                  <c:v>157</c:v>
                </c:pt>
                <c:pt idx="4">
                  <c:v>148</c:v>
                </c:pt>
                <c:pt idx="5">
                  <c:v>139</c:v>
                </c:pt>
                <c:pt idx="6">
                  <c:v>154</c:v>
                </c:pt>
                <c:pt idx="7">
                  <c:v>168</c:v>
                </c:pt>
                <c:pt idx="8">
                  <c:v>162</c:v>
                </c:pt>
                <c:pt idx="9">
                  <c:v>154</c:v>
                </c:pt>
                <c:pt idx="10">
                  <c:v>158</c:v>
                </c:pt>
                <c:pt idx="11">
                  <c:v>155</c:v>
                </c:pt>
                <c:pt idx="12">
                  <c:v>147</c:v>
                </c:pt>
                <c:pt idx="13">
                  <c:v>149</c:v>
                </c:pt>
                <c:pt idx="14">
                  <c:v>149</c:v>
                </c:pt>
                <c:pt idx="15">
                  <c:v>148</c:v>
                </c:pt>
                <c:pt idx="16">
                  <c:v>146</c:v>
                </c:pt>
                <c:pt idx="17">
                  <c:v>144</c:v>
                </c:pt>
                <c:pt idx="18">
                  <c:v>158</c:v>
                </c:pt>
                <c:pt idx="19">
                  <c:v>155</c:v>
                </c:pt>
                <c:pt idx="20">
                  <c:v>158</c:v>
                </c:pt>
                <c:pt idx="21">
                  <c:v>167</c:v>
                </c:pt>
                <c:pt idx="22">
                  <c:v>171</c:v>
                </c:pt>
                <c:pt idx="23">
                  <c:v>169</c:v>
                </c:pt>
              </c:numCache>
            </c:numRef>
          </c:yVal>
          <c:smooth val="0"/>
          <c:extLst>
            <c:ext xmlns:c16="http://schemas.microsoft.com/office/drawing/2014/chart" uri="{C3380CC4-5D6E-409C-BE32-E72D297353CC}">
              <c16:uniqueId val="{00000000-CDFC-4CB7-A210-2F38BF4C3160}"/>
            </c:ext>
          </c:extLst>
        </c:ser>
        <c:dLbls>
          <c:showLegendKey val="0"/>
          <c:showVal val="0"/>
          <c:showCatName val="0"/>
          <c:showSerName val="0"/>
          <c:showPercent val="0"/>
          <c:showBubbleSize val="0"/>
        </c:dLbls>
        <c:axId val="518982640"/>
        <c:axId val="559796128"/>
      </c:scatterChart>
      <c:valAx>
        <c:axId val="518982640"/>
        <c:scaling>
          <c:orientation val="minMax"/>
          <c:min val="1100"/>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96128"/>
        <c:crosses val="autoZero"/>
        <c:crossBetween val="midCat"/>
      </c:valAx>
      <c:valAx>
        <c:axId val="55979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82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Profit/Loss vs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'Solution 3'!$A$33:$A$38</c:f>
              <c:numCache>
                <c:formatCode>"$"#,##0_);[Red]\("$"#,##0\)</c:formatCode>
                <c:ptCount val="6"/>
                <c:pt idx="0">
                  <c:v>200</c:v>
                </c:pt>
                <c:pt idx="1">
                  <c:v>210</c:v>
                </c:pt>
                <c:pt idx="2">
                  <c:v>220</c:v>
                </c:pt>
                <c:pt idx="3">
                  <c:v>230</c:v>
                </c:pt>
                <c:pt idx="4">
                  <c:v>240</c:v>
                </c:pt>
                <c:pt idx="5">
                  <c:v>250</c:v>
                </c:pt>
              </c:numCache>
            </c:numRef>
          </c:xVal>
          <c:yVal>
            <c:numRef>
              <c:f>'Solution 3'!$B$33:$B$38</c:f>
              <c:numCache>
                <c:formatCode>General</c:formatCode>
                <c:ptCount val="6"/>
                <c:pt idx="0">
                  <c:v>-51468.987204453289</c:v>
                </c:pt>
                <c:pt idx="1">
                  <c:v>-36123.468112867966</c:v>
                </c:pt>
                <c:pt idx="2">
                  <c:v>-22605.888173213891</c:v>
                </c:pt>
                <c:pt idx="3">
                  <c:v>-10639.876038465249</c:v>
                </c:pt>
                <c:pt idx="4">
                  <c:v>0</c:v>
                </c:pt>
                <c:pt idx="5">
                  <c:v>9499.2214742393735</c:v>
                </c:pt>
              </c:numCache>
            </c:numRef>
          </c:yVal>
          <c:smooth val="0"/>
          <c:extLst>
            <c:ext xmlns:c16="http://schemas.microsoft.com/office/drawing/2014/chart" uri="{C3380CC4-5D6E-409C-BE32-E72D297353CC}">
              <c16:uniqueId val="{00000000-A182-4949-9B0C-E2BC927E735A}"/>
            </c:ext>
          </c:extLst>
        </c:ser>
        <c:dLbls>
          <c:showLegendKey val="0"/>
          <c:showVal val="0"/>
          <c:showCatName val="0"/>
          <c:showSerName val="0"/>
          <c:showPercent val="0"/>
          <c:showBubbleSize val="0"/>
        </c:dLbls>
        <c:axId val="1402493792"/>
        <c:axId val="1402491872"/>
      </c:scatterChart>
      <c:valAx>
        <c:axId val="1402493792"/>
        <c:scaling>
          <c:orientation val="minMax"/>
          <c:min val="180"/>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491872"/>
        <c:crosses val="autoZero"/>
        <c:crossBetween val="midCat"/>
      </c:valAx>
      <c:valAx>
        <c:axId val="140249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493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'Solution 3'!$A$40:$A$49</c:f>
              <c:numCache>
                <c:formatCode>"$"#,##0_);[Red]\("$"#,##0\)</c:formatCode>
                <c:ptCount val="10"/>
                <c:pt idx="0">
                  <c:v>860</c:v>
                </c:pt>
                <c:pt idx="1">
                  <c:v>870</c:v>
                </c:pt>
                <c:pt idx="2">
                  <c:v>880</c:v>
                </c:pt>
                <c:pt idx="3">
                  <c:v>890</c:v>
                </c:pt>
                <c:pt idx="4">
                  <c:v>900</c:v>
                </c:pt>
                <c:pt idx="5">
                  <c:v>910</c:v>
                </c:pt>
                <c:pt idx="6">
                  <c:v>920</c:v>
                </c:pt>
                <c:pt idx="7">
                  <c:v>930</c:v>
                </c:pt>
                <c:pt idx="8">
                  <c:v>940</c:v>
                </c:pt>
                <c:pt idx="9">
                  <c:v>950</c:v>
                </c:pt>
              </c:numCache>
            </c:numRef>
          </c:xVal>
          <c:yVal>
            <c:numRef>
              <c:f>'Solution 3'!$B$40:$B$49</c:f>
              <c:numCache>
                <c:formatCode>General</c:formatCode>
                <c:ptCount val="10"/>
                <c:pt idx="0">
                  <c:v>109738.80356601653</c:v>
                </c:pt>
                <c:pt idx="1">
                  <c:v>109769.2737982387</c:v>
                </c:pt>
                <c:pt idx="2">
                  <c:v>109791.8151084912</c:v>
                </c:pt>
                <c:pt idx="3">
                  <c:v>109806.83471081092</c:v>
                </c:pt>
                <c:pt idx="4">
                  <c:v>109814.71729258832</c:v>
                </c:pt>
                <c:pt idx="5">
                  <c:v>109815.8264433928</c:v>
                </c:pt>
                <c:pt idx="6">
                  <c:v>109810.50598026642</c:v>
                </c:pt>
                <c:pt idx="7">
                  <c:v>109799.08117795404</c:v>
                </c:pt>
                <c:pt idx="8">
                  <c:v>109781.85991175394</c:v>
                </c:pt>
                <c:pt idx="9">
                  <c:v>109759.13371999482</c:v>
                </c:pt>
              </c:numCache>
            </c:numRef>
          </c:yVal>
          <c:smooth val="0"/>
          <c:extLst>
            <c:ext xmlns:c16="http://schemas.microsoft.com/office/drawing/2014/chart" uri="{C3380CC4-5D6E-409C-BE32-E72D297353CC}">
              <c16:uniqueId val="{00000000-17A4-4489-8947-2F954361A62A}"/>
            </c:ext>
          </c:extLst>
        </c:ser>
        <c:dLbls>
          <c:showLegendKey val="0"/>
          <c:showVal val="0"/>
          <c:showCatName val="0"/>
          <c:showSerName val="0"/>
          <c:showPercent val="0"/>
          <c:showBubbleSize val="0"/>
        </c:dLbls>
        <c:axId val="1197629775"/>
        <c:axId val="1197629295"/>
      </c:scatterChart>
      <c:valAx>
        <c:axId val="11976297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629295"/>
        <c:crosses val="autoZero"/>
        <c:crossBetween val="midCat"/>
      </c:valAx>
      <c:valAx>
        <c:axId val="119762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62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Profit/Loss vs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 3'!$H$31</c:f>
              <c:strCache>
                <c:ptCount val="1"/>
                <c:pt idx="0">
                  <c:v>Profit s2</c:v>
                </c:pt>
              </c:strCache>
            </c:strRef>
          </c:tx>
          <c:spPr>
            <a:ln w="19050" cap="rnd">
              <a:noFill/>
              <a:round/>
            </a:ln>
            <a:effectLst/>
          </c:spPr>
          <c:marker>
            <c:symbol val="circle"/>
            <c:size val="5"/>
            <c:spPr>
              <a:solidFill>
                <a:schemeClr val="accent1"/>
              </a:solidFill>
              <a:ln w="9525">
                <a:solidFill>
                  <a:schemeClr val="accent1"/>
                </a:solidFill>
              </a:ln>
              <a:effectLst/>
            </c:spPr>
          </c:marker>
          <c:xVal>
            <c:numRef>
              <c:f>'Solution 3'!$G$32:$G$39</c:f>
              <c:numCache>
                <c:formatCode>"$"#,##0_);[Red]\("$"#,##0\)</c:formatCode>
                <c:ptCount val="8"/>
                <c:pt idx="0">
                  <c:v>280</c:v>
                </c:pt>
                <c:pt idx="1">
                  <c:v>290</c:v>
                </c:pt>
                <c:pt idx="2">
                  <c:v>300</c:v>
                </c:pt>
                <c:pt idx="3">
                  <c:v>310</c:v>
                </c:pt>
                <c:pt idx="4">
                  <c:v>320</c:v>
                </c:pt>
                <c:pt idx="5">
                  <c:v>330</c:v>
                </c:pt>
                <c:pt idx="6">
                  <c:v>340</c:v>
                </c:pt>
                <c:pt idx="7">
                  <c:v>350</c:v>
                </c:pt>
              </c:numCache>
            </c:numRef>
          </c:xVal>
          <c:yVal>
            <c:numRef>
              <c:f>'Solution 3'!$H$32:$H$39</c:f>
              <c:numCache>
                <c:formatCode>General</c:formatCode>
                <c:ptCount val="8"/>
                <c:pt idx="0">
                  <c:v>-19192.600256459416</c:v>
                </c:pt>
                <c:pt idx="1">
                  <c:v>-9184.4650117999772</c:v>
                </c:pt>
                <c:pt idx="2">
                  <c:v>0</c:v>
                </c:pt>
                <c:pt idx="3">
                  <c:v>8449.8547594450938</c:v>
                </c:pt>
                <c:pt idx="4">
                  <c:v>16242.163733122272</c:v>
                </c:pt>
                <c:pt idx="5">
                  <c:v>23443.917871528007</c:v>
                </c:pt>
                <c:pt idx="6">
                  <c:v>30113.602017369514</c:v>
                </c:pt>
                <c:pt idx="7">
                  <c:v>36302.481294997393</c:v>
                </c:pt>
              </c:numCache>
            </c:numRef>
          </c:yVal>
          <c:smooth val="0"/>
          <c:extLst>
            <c:ext xmlns:c16="http://schemas.microsoft.com/office/drawing/2014/chart" uri="{C3380CC4-5D6E-409C-BE32-E72D297353CC}">
              <c16:uniqueId val="{00000000-1D0C-4D04-BEB6-B4AA13F45240}"/>
            </c:ext>
          </c:extLst>
        </c:ser>
        <c:dLbls>
          <c:showLegendKey val="0"/>
          <c:showVal val="0"/>
          <c:showCatName val="0"/>
          <c:showSerName val="0"/>
          <c:showPercent val="0"/>
          <c:showBubbleSize val="0"/>
        </c:dLbls>
        <c:axId val="1441927472"/>
        <c:axId val="1441925072"/>
      </c:scatterChart>
      <c:valAx>
        <c:axId val="1441927472"/>
        <c:scaling>
          <c:orientation val="minMax"/>
          <c:min val="200"/>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25072"/>
        <c:crosses val="autoZero"/>
        <c:crossBetween val="midCat"/>
      </c:valAx>
      <c:valAx>
        <c:axId val="144192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27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Profit vs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'Solution 3'!$G$41:$G$49</c:f>
              <c:numCache>
                <c:formatCode>"$"#,##0_);[Red]\("$"#,##0\)</c:formatCode>
                <c:ptCount val="9"/>
                <c:pt idx="0">
                  <c:v>1000</c:v>
                </c:pt>
                <c:pt idx="1">
                  <c:v>1100</c:v>
                </c:pt>
                <c:pt idx="2">
                  <c:v>1200</c:v>
                </c:pt>
                <c:pt idx="3">
                  <c:v>1300</c:v>
                </c:pt>
                <c:pt idx="4">
                  <c:v>1400</c:v>
                </c:pt>
                <c:pt idx="5">
                  <c:v>1500</c:v>
                </c:pt>
                <c:pt idx="6">
                  <c:v>1600</c:v>
                </c:pt>
                <c:pt idx="7">
                  <c:v>1700</c:v>
                </c:pt>
                <c:pt idx="8">
                  <c:v>1800</c:v>
                </c:pt>
              </c:numCache>
            </c:numRef>
          </c:xVal>
          <c:yVal>
            <c:numRef>
              <c:f>'Solution 3'!$H$41:$H$49</c:f>
              <c:numCache>
                <c:formatCode>"$"#,##0.00_);[Red]\("$"#,##0.00\)</c:formatCode>
                <c:ptCount val="9"/>
                <c:pt idx="0" formatCode="General">
                  <c:v>136819.94182795737</c:v>
                </c:pt>
                <c:pt idx="1">
                  <c:v>138803.52389317803</c:v>
                </c:pt>
                <c:pt idx="2" formatCode="General">
                  <c:v>140061.02919572435</c:v>
                </c:pt>
                <c:pt idx="3" formatCode="General">
                  <c:v>140806.32738315759</c:v>
                </c:pt>
                <c:pt idx="4" formatCode="General">
                  <c:v>141183.51883674736</c:v>
                </c:pt>
                <c:pt idx="5" formatCode="General">
                  <c:v>141292.31265088537</c:v>
                </c:pt>
                <c:pt idx="6" formatCode="General">
                  <c:v>141203.26386874719</c:v>
                </c:pt>
                <c:pt idx="7" formatCode="General">
                  <c:v>140967.25577924028</c:v>
                </c:pt>
                <c:pt idx="8" formatCode="General">
                  <c:v>140621.58512101474</c:v>
                </c:pt>
              </c:numCache>
            </c:numRef>
          </c:yVal>
          <c:smooth val="0"/>
          <c:extLst>
            <c:ext xmlns:c16="http://schemas.microsoft.com/office/drawing/2014/chart" uri="{C3380CC4-5D6E-409C-BE32-E72D297353CC}">
              <c16:uniqueId val="{00000000-637A-40D9-9597-915D8743434B}"/>
            </c:ext>
          </c:extLst>
        </c:ser>
        <c:dLbls>
          <c:showLegendKey val="0"/>
          <c:showVal val="0"/>
          <c:showCatName val="0"/>
          <c:showSerName val="0"/>
          <c:showPercent val="0"/>
          <c:showBubbleSize val="0"/>
        </c:dLbls>
        <c:axId val="1402492832"/>
        <c:axId val="1402493312"/>
      </c:scatterChart>
      <c:valAx>
        <c:axId val="1402492832"/>
        <c:scaling>
          <c:orientation val="minMax"/>
          <c:min val="800"/>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493312"/>
        <c:crosses val="autoZero"/>
        <c:crossBetween val="midCat"/>
      </c:valAx>
      <c:valAx>
        <c:axId val="140249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4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'Solution 5'!$K$1</c:f>
          <c:strCache>
            <c:ptCount val="1"/>
            <c:pt idx="0">
              <c:v>Sensitivity of $B$22 to Affect of changes in the maximum number of labor hours </c:v>
            </c:pt>
          </c:strCache>
        </c:strRef>
      </c:tx>
      <c:overlay val="0"/>
      <c:txPr>
        <a:bodyPr/>
        <a:lstStyle/>
        <a:p>
          <a:pPr>
            <a:defRPr sz="1200"/>
          </a:pPr>
          <a:endParaRPr lang="en-US"/>
        </a:p>
      </c:txPr>
    </c:title>
    <c:autoTitleDeleted val="0"/>
    <c:plotArea>
      <c:layout/>
      <c:lineChart>
        <c:grouping val="standard"/>
        <c:varyColors val="0"/>
        <c:ser>
          <c:idx val="0"/>
          <c:order val="0"/>
          <c:cat>
            <c:numRef>
              <c:f>'Solution 5'!$A$5:$A$55</c:f>
              <c:numCache>
                <c:formatCode>General</c:formatCode>
                <c:ptCount val="51"/>
                <c:pt idx="0">
                  <c:v>500</c:v>
                </c:pt>
                <c:pt idx="1">
                  <c:v>520</c:v>
                </c:pt>
                <c:pt idx="2">
                  <c:v>540</c:v>
                </c:pt>
                <c:pt idx="3">
                  <c:v>560</c:v>
                </c:pt>
                <c:pt idx="4">
                  <c:v>580</c:v>
                </c:pt>
                <c:pt idx="5">
                  <c:v>600</c:v>
                </c:pt>
                <c:pt idx="6">
                  <c:v>620</c:v>
                </c:pt>
                <c:pt idx="7">
                  <c:v>640</c:v>
                </c:pt>
                <c:pt idx="8">
                  <c:v>660</c:v>
                </c:pt>
                <c:pt idx="9">
                  <c:v>680</c:v>
                </c:pt>
                <c:pt idx="10">
                  <c:v>700</c:v>
                </c:pt>
                <c:pt idx="11">
                  <c:v>720</c:v>
                </c:pt>
                <c:pt idx="12">
                  <c:v>740</c:v>
                </c:pt>
                <c:pt idx="13">
                  <c:v>760</c:v>
                </c:pt>
                <c:pt idx="14">
                  <c:v>780</c:v>
                </c:pt>
                <c:pt idx="15">
                  <c:v>800</c:v>
                </c:pt>
                <c:pt idx="16">
                  <c:v>820</c:v>
                </c:pt>
                <c:pt idx="17">
                  <c:v>840</c:v>
                </c:pt>
                <c:pt idx="18">
                  <c:v>860</c:v>
                </c:pt>
                <c:pt idx="19">
                  <c:v>880</c:v>
                </c:pt>
                <c:pt idx="20">
                  <c:v>900</c:v>
                </c:pt>
                <c:pt idx="21">
                  <c:v>920</c:v>
                </c:pt>
                <c:pt idx="22">
                  <c:v>940</c:v>
                </c:pt>
                <c:pt idx="23">
                  <c:v>960</c:v>
                </c:pt>
                <c:pt idx="24">
                  <c:v>980</c:v>
                </c:pt>
                <c:pt idx="25">
                  <c:v>1000</c:v>
                </c:pt>
                <c:pt idx="26">
                  <c:v>1020</c:v>
                </c:pt>
                <c:pt idx="27">
                  <c:v>1040</c:v>
                </c:pt>
                <c:pt idx="28">
                  <c:v>1060</c:v>
                </c:pt>
                <c:pt idx="29">
                  <c:v>1080</c:v>
                </c:pt>
                <c:pt idx="30">
                  <c:v>1100</c:v>
                </c:pt>
                <c:pt idx="31">
                  <c:v>1120</c:v>
                </c:pt>
                <c:pt idx="32">
                  <c:v>1140</c:v>
                </c:pt>
                <c:pt idx="33">
                  <c:v>1160</c:v>
                </c:pt>
                <c:pt idx="34">
                  <c:v>1180</c:v>
                </c:pt>
                <c:pt idx="35">
                  <c:v>1200</c:v>
                </c:pt>
                <c:pt idx="36">
                  <c:v>1220</c:v>
                </c:pt>
                <c:pt idx="37">
                  <c:v>1240</c:v>
                </c:pt>
                <c:pt idx="38">
                  <c:v>1260</c:v>
                </c:pt>
                <c:pt idx="39">
                  <c:v>1280</c:v>
                </c:pt>
                <c:pt idx="40">
                  <c:v>1300</c:v>
                </c:pt>
                <c:pt idx="41">
                  <c:v>1320</c:v>
                </c:pt>
                <c:pt idx="42">
                  <c:v>1340</c:v>
                </c:pt>
                <c:pt idx="43">
                  <c:v>1360</c:v>
                </c:pt>
                <c:pt idx="44">
                  <c:v>1380</c:v>
                </c:pt>
                <c:pt idx="45">
                  <c:v>1400</c:v>
                </c:pt>
                <c:pt idx="46">
                  <c:v>1420</c:v>
                </c:pt>
                <c:pt idx="47">
                  <c:v>1440</c:v>
                </c:pt>
                <c:pt idx="48">
                  <c:v>1460</c:v>
                </c:pt>
                <c:pt idx="49">
                  <c:v>1480</c:v>
                </c:pt>
                <c:pt idx="50">
                  <c:v>1500</c:v>
                </c:pt>
              </c:numCache>
            </c:numRef>
          </c:cat>
          <c:val>
            <c:numRef>
              <c:f>'Solution 5'!$K$5:$K$55</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249945.73545963009</c:v>
                </c:pt>
                <c:pt idx="23">
                  <c:v>250224.00312932616</c:v>
                </c:pt>
                <c:pt idx="24">
                  <c:v>250418.66981736152</c:v>
                </c:pt>
                <c:pt idx="25">
                  <c:v>250418.66981736152</c:v>
                </c:pt>
                <c:pt idx="26">
                  <c:v>250418.66981736152</c:v>
                </c:pt>
                <c:pt idx="27">
                  <c:v>250418.66981736152</c:v>
                </c:pt>
                <c:pt idx="28">
                  <c:v>250418.66981736152</c:v>
                </c:pt>
                <c:pt idx="29">
                  <c:v>250418.66981736152</c:v>
                </c:pt>
                <c:pt idx="30">
                  <c:v>250418.66981736152</c:v>
                </c:pt>
                <c:pt idx="31">
                  <c:v>250418.66981736152</c:v>
                </c:pt>
                <c:pt idx="32">
                  <c:v>250418.66981736152</c:v>
                </c:pt>
                <c:pt idx="33">
                  <c:v>250418.66981736152</c:v>
                </c:pt>
                <c:pt idx="34">
                  <c:v>250418.66981736152</c:v>
                </c:pt>
                <c:pt idx="35">
                  <c:v>250418.66981736152</c:v>
                </c:pt>
                <c:pt idx="36">
                  <c:v>250418.66981736152</c:v>
                </c:pt>
                <c:pt idx="37">
                  <c:v>250418.66981736152</c:v>
                </c:pt>
                <c:pt idx="38">
                  <c:v>250418.66981736152</c:v>
                </c:pt>
                <c:pt idx="39">
                  <c:v>250418.66981736152</c:v>
                </c:pt>
                <c:pt idx="40">
                  <c:v>250418.66981736152</c:v>
                </c:pt>
                <c:pt idx="41">
                  <c:v>250418.66981736152</c:v>
                </c:pt>
                <c:pt idx="42">
                  <c:v>250418.66981736152</c:v>
                </c:pt>
                <c:pt idx="43">
                  <c:v>250418.66981736152</c:v>
                </c:pt>
                <c:pt idx="44">
                  <c:v>250418.66981736152</c:v>
                </c:pt>
                <c:pt idx="45">
                  <c:v>250418.66981736152</c:v>
                </c:pt>
                <c:pt idx="46">
                  <c:v>250418.66981736152</c:v>
                </c:pt>
                <c:pt idx="47">
                  <c:v>250418.66981736152</c:v>
                </c:pt>
                <c:pt idx="48">
                  <c:v>250418.66981736152</c:v>
                </c:pt>
                <c:pt idx="49">
                  <c:v>250418.66981736152</c:v>
                </c:pt>
                <c:pt idx="50">
                  <c:v>250418.66981736152</c:v>
                </c:pt>
              </c:numCache>
            </c:numRef>
          </c:val>
          <c:smooth val="0"/>
          <c:extLst>
            <c:ext xmlns:c16="http://schemas.microsoft.com/office/drawing/2014/chart" uri="{C3380CC4-5D6E-409C-BE32-E72D297353CC}">
              <c16:uniqueId val="{00000001-FAE9-4D15-AD5D-33A5F128704B}"/>
            </c:ext>
          </c:extLst>
        </c:ser>
        <c:dLbls>
          <c:showLegendKey val="0"/>
          <c:showVal val="0"/>
          <c:showCatName val="0"/>
          <c:showSerName val="0"/>
          <c:showPercent val="0"/>
          <c:showBubbleSize val="0"/>
        </c:dLbls>
        <c:marker val="1"/>
        <c:smooth val="0"/>
        <c:axId val="998571599"/>
        <c:axId val="998570159"/>
      </c:lineChart>
      <c:catAx>
        <c:axId val="998571599"/>
        <c:scaling>
          <c:orientation val="minMax"/>
        </c:scaling>
        <c:delete val="0"/>
        <c:axPos val="b"/>
        <c:title>
          <c:tx>
            <c:rich>
              <a:bodyPr/>
              <a:lstStyle/>
              <a:p>
                <a:pPr>
                  <a:defRPr/>
                </a:pPr>
                <a:r>
                  <a:rPr lang="en-US"/>
                  <a:t>Affect of changes in the maximum number of labor hours  ($D$29)</a:t>
                </a:r>
              </a:p>
            </c:rich>
          </c:tx>
          <c:overlay val="0"/>
        </c:title>
        <c:numFmt formatCode="General" sourceLinked="1"/>
        <c:majorTickMark val="out"/>
        <c:minorTickMark val="none"/>
        <c:tickLblPos val="nextTo"/>
        <c:crossAx val="998570159"/>
        <c:crosses val="autoZero"/>
        <c:auto val="1"/>
        <c:lblAlgn val="ctr"/>
        <c:lblOffset val="100"/>
        <c:noMultiLvlLbl val="0"/>
      </c:catAx>
      <c:valAx>
        <c:axId val="998570159"/>
        <c:scaling>
          <c:orientation val="minMax"/>
        </c:scaling>
        <c:delete val="0"/>
        <c:axPos val="l"/>
        <c:majorGridlines/>
        <c:numFmt formatCode="General" sourceLinked="1"/>
        <c:majorTickMark val="out"/>
        <c:minorTickMark val="none"/>
        <c:tickLblPos val="nextTo"/>
        <c:crossAx val="99857159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1.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238125</xdr:colOff>
      <xdr:row>4</xdr:row>
      <xdr:rowOff>25400</xdr:rowOff>
    </xdr:from>
    <xdr:to>
      <xdr:col>15</xdr:col>
      <xdr:colOff>596900</xdr:colOff>
      <xdr:row>17</xdr:row>
      <xdr:rowOff>177800</xdr:rowOff>
    </xdr:to>
    <xdr:graphicFrame macro="">
      <xdr:nvGraphicFramePr>
        <xdr:cNvPr id="3" name="Chart 2">
          <a:extLst>
            <a:ext uri="{FF2B5EF4-FFF2-40B4-BE49-F238E27FC236}">
              <a16:creationId xmlns:a16="http://schemas.microsoft.com/office/drawing/2014/main" id="{BA4BC1B3-8318-AEBA-F34C-9F22E190A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504825</xdr:colOff>
      <xdr:row>18</xdr:row>
      <xdr:rowOff>88900</xdr:rowOff>
    </xdr:from>
    <xdr:to>
      <xdr:col>15</xdr:col>
      <xdr:colOff>412750</xdr:colOff>
      <xdr:row>32</xdr:row>
      <xdr:rowOff>82550</xdr:rowOff>
    </xdr:to>
    <xdr:graphicFrame macro="">
      <xdr:nvGraphicFramePr>
        <xdr:cNvPr id="4" name="Chart 3">
          <a:extLst>
            <a:ext uri="{FF2B5EF4-FFF2-40B4-BE49-F238E27FC236}">
              <a16:creationId xmlns:a16="http://schemas.microsoft.com/office/drawing/2014/main" id="{6F0CC1B9-0C85-050D-AE97-69EC90DC7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307975</xdr:colOff>
      <xdr:row>30</xdr:row>
      <xdr:rowOff>25400</xdr:rowOff>
    </xdr:from>
    <xdr:to>
      <xdr:col>4</xdr:col>
      <xdr:colOff>1206500</xdr:colOff>
      <xdr:row>39</xdr:row>
      <xdr:rowOff>101600</xdr:rowOff>
    </xdr:to>
    <xdr:graphicFrame macro="">
      <xdr:nvGraphicFramePr>
        <xdr:cNvPr id="3" name="Chart 2">
          <a:extLst>
            <a:ext uri="{FF2B5EF4-FFF2-40B4-BE49-F238E27FC236}">
              <a16:creationId xmlns:a16="http://schemas.microsoft.com/office/drawing/2014/main" id="{75003FDD-21F9-6198-645A-436EA037D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39</xdr:row>
      <xdr:rowOff>171450</xdr:rowOff>
    </xdr:from>
    <xdr:to>
      <xdr:col>4</xdr:col>
      <xdr:colOff>1263650</xdr:colOff>
      <xdr:row>49</xdr:row>
      <xdr:rowOff>38100</xdr:rowOff>
    </xdr:to>
    <xdr:graphicFrame macro="">
      <xdr:nvGraphicFramePr>
        <xdr:cNvPr id="4" name="Chart 3">
          <a:extLst>
            <a:ext uri="{FF2B5EF4-FFF2-40B4-BE49-F238E27FC236}">
              <a16:creationId xmlns:a16="http://schemas.microsoft.com/office/drawing/2014/main" id="{0E052898-E4EF-1146-1E24-85C2E5A38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336550</xdr:colOff>
      <xdr:row>29</xdr:row>
      <xdr:rowOff>31750</xdr:rowOff>
    </xdr:from>
    <xdr:to>
      <xdr:col>13</xdr:col>
      <xdr:colOff>228600</xdr:colOff>
      <xdr:row>39</xdr:row>
      <xdr:rowOff>63500</xdr:rowOff>
    </xdr:to>
    <xdr:graphicFrame macro="">
      <xdr:nvGraphicFramePr>
        <xdr:cNvPr id="5" name="Chart 4">
          <a:extLst>
            <a:ext uri="{FF2B5EF4-FFF2-40B4-BE49-F238E27FC236}">
              <a16:creationId xmlns:a16="http://schemas.microsoft.com/office/drawing/2014/main" id="{18295D14-E68A-C4B9-1498-5D37FB68F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327025</xdr:colOff>
      <xdr:row>40</xdr:row>
      <xdr:rowOff>82550</xdr:rowOff>
    </xdr:from>
    <xdr:to>
      <xdr:col>13</xdr:col>
      <xdr:colOff>279400</xdr:colOff>
      <xdr:row>49</xdr:row>
      <xdr:rowOff>133350</xdr:rowOff>
    </xdr:to>
    <xdr:graphicFrame macro="">
      <xdr:nvGraphicFramePr>
        <xdr:cNvPr id="6" name="Chart 5">
          <a:extLst>
            <a:ext uri="{FF2B5EF4-FFF2-40B4-BE49-F238E27FC236}">
              <a16:creationId xmlns:a16="http://schemas.microsoft.com/office/drawing/2014/main" id="{A8792C45-7C34-80E7-11E2-C3D42F9DC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342900</xdr:colOff>
      <xdr:row>3</xdr:row>
      <xdr:rowOff>50800</xdr:rowOff>
    </xdr:from>
    <xdr:to>
      <xdr:col>11</xdr:col>
      <xdr:colOff>25541</xdr:colOff>
      <xdr:row>21</xdr:row>
      <xdr:rowOff>362136</xdr:rowOff>
    </xdr:to>
    <xdr:pic>
      <xdr:nvPicPr>
        <xdr:cNvPr id="2" name="Picture 1">
          <a:extLst>
            <a:ext uri="{FF2B5EF4-FFF2-40B4-BE49-F238E27FC236}">
              <a16:creationId xmlns:a16="http://schemas.microsoft.com/office/drawing/2014/main" id="{1C7A493B-31BC-5B0D-3AEC-0323AC998BE4}"/>
            </a:ext>
          </a:extLst>
        </xdr:cNvPr>
        <xdr:cNvPicPr>
          <a:picLocks noChangeAspect="1"/>
        </xdr:cNvPicPr>
      </xdr:nvPicPr>
      <xdr:blipFill>
        <a:blip xmlns:r="http://schemas.openxmlformats.org/officeDocument/2006/relationships" r:embed="rId5"/>
        <a:stretch>
          <a:fillRect/>
        </a:stretch>
      </xdr:blipFill>
      <xdr:spPr>
        <a:xfrm>
          <a:off x="10191750" y="755650"/>
          <a:ext cx="2743341" cy="36260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419100</xdr:colOff>
      <xdr:row>3</xdr:row>
      <xdr:rowOff>6350</xdr:rowOff>
    </xdr:from>
    <xdr:to>
      <xdr:col>11</xdr:col>
      <xdr:colOff>235098</xdr:colOff>
      <xdr:row>24</xdr:row>
      <xdr:rowOff>95463</xdr:rowOff>
    </xdr:to>
    <xdr:pic>
      <xdr:nvPicPr>
        <xdr:cNvPr id="3" name="Picture 2">
          <a:extLst>
            <a:ext uri="{FF2B5EF4-FFF2-40B4-BE49-F238E27FC236}">
              <a16:creationId xmlns:a16="http://schemas.microsoft.com/office/drawing/2014/main" id="{24436C59-3AC3-F232-F588-C857DDBFF317}"/>
            </a:ext>
          </a:extLst>
        </xdr:cNvPr>
        <xdr:cNvPicPr>
          <a:picLocks noChangeAspect="1"/>
        </xdr:cNvPicPr>
      </xdr:nvPicPr>
      <xdr:blipFill>
        <a:blip xmlns:r="http://schemas.openxmlformats.org/officeDocument/2006/relationships" r:embed="rId1"/>
        <a:stretch>
          <a:fillRect/>
        </a:stretch>
      </xdr:blipFill>
      <xdr:spPr>
        <a:xfrm>
          <a:off x="10267950" y="711200"/>
          <a:ext cx="2876698" cy="41404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0</xdr:colOff>
      <xdr:row>7</xdr:row>
      <xdr:rowOff>95250</xdr:rowOff>
    </xdr:from>
    <xdr:to>
      <xdr:col>20</xdr:col>
      <xdr:colOff>0</xdr:colOff>
      <xdr:row>23</xdr:row>
      <xdr:rowOff>6350</xdr:rowOff>
    </xdr:to>
    <xdr:graphicFrame macro="">
      <xdr:nvGraphicFramePr>
        <xdr:cNvPr id="2" name="STS_1_Chart">
          <a:extLst>
            <a:ext uri="{FF2B5EF4-FFF2-40B4-BE49-F238E27FC236}">
              <a16:creationId xmlns:a16="http://schemas.microsoft.com/office/drawing/2014/main" id="{F3C9B9DD-7F30-7078-ED85-D659C5E85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12700</xdr:colOff>
      <xdr:row>3</xdr:row>
      <xdr:rowOff>19050</xdr:rowOff>
    </xdr:from>
    <xdr:to>
      <xdr:col>16</xdr:col>
      <xdr:colOff>12700</xdr:colOff>
      <xdr:row>6</xdr:row>
      <xdr:rowOff>0</xdr:rowOff>
    </xdr:to>
    <xdr:sp macro="" textlink="">
      <xdr:nvSpPr>
        <xdr:cNvPr id="3" name="TextBox 2">
          <a:extLst>
            <a:ext uri="{FF2B5EF4-FFF2-40B4-BE49-F238E27FC236}">
              <a16:creationId xmlns:a16="http://schemas.microsoft.com/office/drawing/2014/main" id="{FB84F0B6-493E-90D5-8CEF-E8B40C56B269}"/>
            </a:ext>
          </a:extLst>
        </xdr:cNvPr>
        <xdr:cNvSpPr txBox="1"/>
      </xdr:nvSpPr>
      <xdr:spPr>
        <a:xfrm>
          <a:off x="737235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67362-F2B9-4659-88C8-F922FF690C14}">
  <dimension ref="A1:V32"/>
  <sheetViews>
    <sheetView workbookViewId="0">
      <selection activeCell="U14" sqref="U14"/>
    </sheetView>
  </sheetViews>
  <sheetFormatPr defaultRowHeight="14.5" x14ac:dyDescent="0.35"/>
  <cols>
    <col min="2" max="2" width="9.453125" bestFit="1" customWidth="1"/>
    <col min="6" max="6" width="9.453125" bestFit="1" customWidth="1"/>
    <col min="7" max="7" width="10.6328125" customWidth="1"/>
  </cols>
  <sheetData>
    <row r="1" spans="1:22" ht="15.5" customHeight="1" x14ac:dyDescent="0.35">
      <c r="A1" s="67" t="s">
        <v>25</v>
      </c>
      <c r="B1" s="67"/>
      <c r="C1" s="67"/>
      <c r="D1" s="67"/>
      <c r="E1" s="67"/>
      <c r="F1" s="67"/>
      <c r="G1" s="67"/>
      <c r="H1" s="67"/>
      <c r="I1" s="67"/>
      <c r="J1" s="67"/>
      <c r="K1" s="67"/>
      <c r="L1" s="67"/>
      <c r="M1" s="67"/>
      <c r="N1" s="67"/>
      <c r="O1" s="67"/>
      <c r="P1" s="67"/>
      <c r="Q1" s="67"/>
      <c r="R1" s="67"/>
      <c r="S1" s="67"/>
      <c r="T1" s="67"/>
      <c r="U1" s="67"/>
      <c r="V1" s="67"/>
    </row>
    <row r="2" spans="1:22" ht="15.5" customHeight="1" x14ac:dyDescent="0.35">
      <c r="A2" s="67"/>
      <c r="B2" s="67"/>
      <c r="C2" s="67"/>
      <c r="D2" s="67"/>
      <c r="E2" s="67"/>
      <c r="F2" s="67"/>
      <c r="G2" s="67"/>
      <c r="H2" s="67"/>
      <c r="I2" s="67"/>
      <c r="J2" s="67"/>
      <c r="K2" s="67"/>
      <c r="L2" s="67"/>
      <c r="M2" s="67"/>
      <c r="N2" s="67"/>
      <c r="O2" s="67"/>
      <c r="P2" s="67"/>
      <c r="Q2" s="67"/>
      <c r="R2" s="67"/>
      <c r="S2" s="67"/>
      <c r="T2" s="67"/>
      <c r="U2" s="67"/>
      <c r="V2" s="67"/>
    </row>
    <row r="3" spans="1:22" ht="23.5" customHeight="1" x14ac:dyDescent="0.35">
      <c r="A3" s="68" t="s">
        <v>22</v>
      </c>
      <c r="B3" s="68"/>
      <c r="C3" s="68"/>
      <c r="D3" s="68"/>
      <c r="E3" s="68"/>
      <c r="F3" s="68"/>
      <c r="G3" s="68"/>
      <c r="H3" s="68"/>
      <c r="I3" s="68"/>
      <c r="J3" s="68"/>
      <c r="K3" s="68"/>
      <c r="L3" s="68"/>
      <c r="M3" s="68"/>
      <c r="N3" s="68"/>
      <c r="O3" s="68"/>
      <c r="P3" s="68"/>
      <c r="Q3" s="68"/>
      <c r="R3" s="68"/>
      <c r="S3" s="68"/>
      <c r="T3" s="68"/>
      <c r="U3" s="68"/>
      <c r="V3" s="68"/>
    </row>
    <row r="4" spans="1:22" ht="17" customHeight="1" x14ac:dyDescent="0.35">
      <c r="A4" s="69" t="s">
        <v>26</v>
      </c>
      <c r="B4" s="69"/>
      <c r="C4" s="69"/>
      <c r="D4" s="69"/>
      <c r="E4" s="69"/>
      <c r="F4" s="69"/>
      <c r="G4" s="69"/>
      <c r="H4" s="69"/>
      <c r="I4" s="69"/>
      <c r="J4" s="69"/>
      <c r="K4" s="69"/>
      <c r="L4" s="69"/>
      <c r="M4" s="69"/>
      <c r="N4" s="69"/>
      <c r="O4" s="69"/>
      <c r="P4" s="69"/>
      <c r="Q4" s="69"/>
      <c r="R4" s="69"/>
      <c r="S4" s="69"/>
      <c r="T4" s="69"/>
      <c r="U4" s="69"/>
      <c r="V4" s="69"/>
    </row>
    <row r="5" spans="1:22" ht="15" customHeight="1" thickBot="1" x14ac:dyDescent="0.4">
      <c r="R5" s="63" t="s">
        <v>93</v>
      </c>
      <c r="S5" s="63"/>
      <c r="T5" s="63"/>
      <c r="U5" s="63"/>
      <c r="V5" s="63"/>
    </row>
    <row r="6" spans="1:22" ht="15" thickBot="1" x14ac:dyDescent="0.4">
      <c r="A6" s="64" t="s">
        <v>23</v>
      </c>
      <c r="B6" s="65"/>
      <c r="C6" s="66"/>
      <c r="E6" s="64" t="s">
        <v>24</v>
      </c>
      <c r="F6" s="65"/>
      <c r="G6" s="66"/>
      <c r="R6" s="63"/>
      <c r="S6" s="63"/>
      <c r="T6" s="63"/>
      <c r="U6" s="63"/>
      <c r="V6" s="63"/>
    </row>
    <row r="7" spans="1:22" ht="15" thickBot="1" x14ac:dyDescent="0.4">
      <c r="A7" s="2" t="s">
        <v>0</v>
      </c>
      <c r="B7" s="4" t="s">
        <v>1</v>
      </c>
      <c r="C7" s="4" t="s">
        <v>2</v>
      </c>
      <c r="E7" s="2" t="s">
        <v>0</v>
      </c>
      <c r="F7" s="4" t="s">
        <v>1</v>
      </c>
      <c r="G7" s="4" t="s">
        <v>2</v>
      </c>
      <c r="R7" s="63"/>
      <c r="S7" s="63"/>
      <c r="T7" s="63"/>
      <c r="U7" s="63"/>
      <c r="V7" s="63"/>
    </row>
    <row r="8" spans="1:22" ht="15" thickBot="1" x14ac:dyDescent="0.4">
      <c r="A8" s="1">
        <v>1</v>
      </c>
      <c r="B8" s="5">
        <v>1090</v>
      </c>
      <c r="C8" s="3">
        <v>140</v>
      </c>
      <c r="E8" s="1">
        <v>1</v>
      </c>
      <c r="F8" s="5">
        <v>1300</v>
      </c>
      <c r="G8" s="3">
        <v>144</v>
      </c>
      <c r="R8" s="63"/>
      <c r="S8" s="63"/>
      <c r="T8" s="63"/>
      <c r="U8" s="63"/>
      <c r="V8" s="63"/>
    </row>
    <row r="9" spans="1:22" ht="15" thickBot="1" x14ac:dyDescent="0.4">
      <c r="A9" s="1">
        <v>2</v>
      </c>
      <c r="B9" s="5">
        <v>1225</v>
      </c>
      <c r="C9" s="3">
        <v>95</v>
      </c>
      <c r="E9" s="1">
        <v>2</v>
      </c>
      <c r="F9" s="5">
        <v>1310</v>
      </c>
      <c r="G9" s="3">
        <v>139</v>
      </c>
      <c r="R9" s="63"/>
      <c r="S9" s="63"/>
      <c r="T9" s="63"/>
      <c r="U9" s="63"/>
      <c r="V9" s="63"/>
    </row>
    <row r="10" spans="1:22" ht="15" thickBot="1" x14ac:dyDescent="0.4">
      <c r="A10" s="1">
        <v>3</v>
      </c>
      <c r="B10" s="5">
        <v>1170</v>
      </c>
      <c r="C10" s="3">
        <v>113</v>
      </c>
      <c r="E10" s="1">
        <v>3</v>
      </c>
      <c r="F10" s="5">
        <v>1230</v>
      </c>
      <c r="G10" s="3">
        <v>152</v>
      </c>
      <c r="R10" s="63"/>
      <c r="S10" s="63"/>
      <c r="T10" s="63"/>
      <c r="U10" s="63"/>
      <c r="V10" s="63"/>
    </row>
    <row r="11" spans="1:22" ht="15" thickBot="1" x14ac:dyDescent="0.4">
      <c r="A11" s="1">
        <v>4</v>
      </c>
      <c r="B11" s="5">
        <v>1270</v>
      </c>
      <c r="C11" s="3">
        <v>99</v>
      </c>
      <c r="E11" s="1">
        <v>4</v>
      </c>
      <c r="F11" s="5">
        <v>1210</v>
      </c>
      <c r="G11" s="3">
        <v>157</v>
      </c>
      <c r="R11" s="63"/>
      <c r="S11" s="63"/>
      <c r="T11" s="63"/>
      <c r="U11" s="63"/>
      <c r="V11" s="63"/>
    </row>
    <row r="12" spans="1:22" ht="15" thickBot="1" x14ac:dyDescent="0.4">
      <c r="A12" s="1">
        <v>5</v>
      </c>
      <c r="B12" s="5">
        <v>1275</v>
      </c>
      <c r="C12" s="3">
        <v>100</v>
      </c>
      <c r="E12" s="1">
        <v>5</v>
      </c>
      <c r="F12" s="5">
        <v>1270</v>
      </c>
      <c r="G12" s="3">
        <v>148</v>
      </c>
      <c r="R12" s="20"/>
      <c r="S12" s="20"/>
      <c r="T12" s="20"/>
      <c r="U12" s="20"/>
      <c r="V12" s="20"/>
    </row>
    <row r="13" spans="1:22" ht="15" thickBot="1" x14ac:dyDescent="0.4">
      <c r="A13" s="1">
        <v>6</v>
      </c>
      <c r="B13" s="5">
        <v>1190</v>
      </c>
      <c r="C13" s="3">
        <v>107</v>
      </c>
      <c r="E13" s="1">
        <v>6</v>
      </c>
      <c r="F13" s="5">
        <v>1319</v>
      </c>
      <c r="G13" s="3">
        <v>139</v>
      </c>
      <c r="R13" s="20"/>
      <c r="S13" s="20"/>
      <c r="T13" s="20"/>
      <c r="U13" s="20"/>
      <c r="V13" s="20"/>
    </row>
    <row r="14" spans="1:22" ht="15" thickBot="1" x14ac:dyDescent="0.4">
      <c r="A14" s="1">
        <v>7</v>
      </c>
      <c r="B14" s="5">
        <v>1000</v>
      </c>
      <c r="C14" s="3">
        <v>149</v>
      </c>
      <c r="E14" s="1">
        <v>7</v>
      </c>
      <c r="F14" s="5">
        <v>1179</v>
      </c>
      <c r="G14" s="3">
        <v>154</v>
      </c>
      <c r="R14" s="20"/>
      <c r="S14" s="20"/>
      <c r="T14" s="20"/>
      <c r="U14" s="20"/>
      <c r="V14" s="20"/>
    </row>
    <row r="15" spans="1:22" ht="15" thickBot="1" x14ac:dyDescent="0.4">
      <c r="A15" s="1">
        <v>8</v>
      </c>
      <c r="B15" s="5">
        <v>899</v>
      </c>
      <c r="C15" s="3">
        <v>154</v>
      </c>
      <c r="E15" s="1">
        <v>8</v>
      </c>
      <c r="F15" s="5">
        <v>1169</v>
      </c>
      <c r="G15" s="3">
        <v>168</v>
      </c>
      <c r="R15" s="20"/>
      <c r="S15" s="20"/>
      <c r="T15" s="20"/>
      <c r="U15" s="20"/>
      <c r="V15" s="20"/>
    </row>
    <row r="16" spans="1:22" ht="15" thickBot="1" x14ac:dyDescent="0.4">
      <c r="A16" s="1">
        <v>9</v>
      </c>
      <c r="B16" s="5">
        <v>1075</v>
      </c>
      <c r="C16" s="3">
        <v>120</v>
      </c>
      <c r="E16" s="1">
        <v>9</v>
      </c>
      <c r="F16" s="5">
        <v>1175</v>
      </c>
      <c r="G16" s="3">
        <v>162</v>
      </c>
      <c r="R16" s="20"/>
      <c r="S16" s="20"/>
      <c r="T16" s="20"/>
      <c r="U16" s="20"/>
      <c r="V16" s="20"/>
    </row>
    <row r="17" spans="1:22" ht="15" thickBot="1" x14ac:dyDescent="0.4">
      <c r="A17" s="1">
        <v>10</v>
      </c>
      <c r="B17" s="5">
        <v>1075</v>
      </c>
      <c r="C17" s="3">
        <v>124</v>
      </c>
      <c r="E17" s="1">
        <v>10</v>
      </c>
      <c r="F17" s="5">
        <v>1215</v>
      </c>
      <c r="G17" s="3">
        <v>154</v>
      </c>
      <c r="R17" s="20"/>
      <c r="S17" s="20"/>
      <c r="T17" s="20"/>
      <c r="U17" s="20"/>
      <c r="V17" s="20"/>
    </row>
    <row r="18" spans="1:22" ht="15" thickBot="1" x14ac:dyDescent="0.4">
      <c r="A18" s="1">
        <v>11</v>
      </c>
      <c r="B18" s="5">
        <v>989</v>
      </c>
      <c r="C18" s="3">
        <v>148</v>
      </c>
      <c r="E18" s="1">
        <v>11</v>
      </c>
      <c r="F18" s="5">
        <v>1195</v>
      </c>
      <c r="G18" s="3">
        <v>158</v>
      </c>
      <c r="R18" s="20"/>
      <c r="S18" s="20"/>
      <c r="T18" s="20"/>
      <c r="U18" s="20"/>
      <c r="V18" s="20"/>
    </row>
    <row r="19" spans="1:22" ht="15" thickBot="1" x14ac:dyDescent="0.4">
      <c r="A19" s="1">
        <v>12</v>
      </c>
      <c r="B19" s="5">
        <v>979</v>
      </c>
      <c r="C19" s="3">
        <v>138</v>
      </c>
      <c r="E19" s="1">
        <v>12</v>
      </c>
      <c r="F19" s="5">
        <v>1230</v>
      </c>
      <c r="G19" s="3">
        <v>155</v>
      </c>
    </row>
    <row r="20" spans="1:22" ht="15" customHeight="1" thickBot="1" x14ac:dyDescent="0.4">
      <c r="A20" s="1">
        <v>13</v>
      </c>
      <c r="B20" s="5">
        <v>1105</v>
      </c>
      <c r="C20" s="3">
        <v>130</v>
      </c>
      <c r="E20" s="1">
        <v>13</v>
      </c>
      <c r="F20" s="5">
        <v>1245</v>
      </c>
      <c r="G20" s="3">
        <v>147</v>
      </c>
      <c r="R20" s="63" t="s">
        <v>94</v>
      </c>
      <c r="S20" s="63"/>
      <c r="T20" s="63"/>
      <c r="U20" s="63"/>
      <c r="V20" s="63"/>
    </row>
    <row r="21" spans="1:22" ht="15" thickBot="1" x14ac:dyDescent="0.4">
      <c r="A21" s="1">
        <v>14</v>
      </c>
      <c r="B21" s="5">
        <v>980</v>
      </c>
      <c r="C21" s="3">
        <v>149</v>
      </c>
      <c r="E21" s="1">
        <v>14</v>
      </c>
      <c r="F21" s="5">
        <v>1210</v>
      </c>
      <c r="G21" s="3">
        <v>149</v>
      </c>
      <c r="R21" s="63"/>
      <c r="S21" s="63"/>
      <c r="T21" s="63"/>
      <c r="U21" s="63"/>
      <c r="V21" s="63"/>
    </row>
    <row r="22" spans="1:22" ht="15" thickBot="1" x14ac:dyDescent="0.4">
      <c r="A22" s="1">
        <v>15</v>
      </c>
      <c r="B22" s="5">
        <v>879</v>
      </c>
      <c r="C22" s="3">
        <v>158</v>
      </c>
      <c r="E22" s="1">
        <v>15</v>
      </c>
      <c r="F22" s="5">
        <v>1219</v>
      </c>
      <c r="G22" s="3">
        <v>149</v>
      </c>
      <c r="R22" s="63"/>
      <c r="S22" s="63"/>
      <c r="T22" s="63"/>
      <c r="U22" s="63"/>
      <c r="V22" s="63"/>
    </row>
    <row r="23" spans="1:22" ht="15" thickBot="1" x14ac:dyDescent="0.4">
      <c r="A23" s="1">
        <v>16</v>
      </c>
      <c r="B23" s="5">
        <v>1080</v>
      </c>
      <c r="C23" s="3">
        <v>123</v>
      </c>
      <c r="E23" s="1">
        <v>16</v>
      </c>
      <c r="F23" s="5">
        <v>1230</v>
      </c>
      <c r="G23" s="3">
        <v>148</v>
      </c>
      <c r="R23" s="63"/>
      <c r="S23" s="63"/>
      <c r="T23" s="63"/>
      <c r="U23" s="63"/>
      <c r="V23" s="63"/>
    </row>
    <row r="24" spans="1:22" ht="15" thickBot="1" x14ac:dyDescent="0.4">
      <c r="A24" s="1">
        <v>17</v>
      </c>
      <c r="B24" s="5">
        <v>1179</v>
      </c>
      <c r="C24" s="3">
        <v>116</v>
      </c>
      <c r="E24" s="1">
        <v>17</v>
      </c>
      <c r="F24" s="5">
        <v>1230</v>
      </c>
      <c r="G24" s="3">
        <v>146</v>
      </c>
      <c r="R24" s="63"/>
      <c r="S24" s="63"/>
      <c r="T24" s="63"/>
      <c r="U24" s="63"/>
      <c r="V24" s="63"/>
    </row>
    <row r="25" spans="1:22" ht="15" thickBot="1" x14ac:dyDescent="0.4">
      <c r="A25" s="1">
        <v>18</v>
      </c>
      <c r="B25" s="5">
        <v>1239</v>
      </c>
      <c r="C25" s="3">
        <v>110</v>
      </c>
      <c r="E25" s="1">
        <v>18</v>
      </c>
      <c r="F25" s="5">
        <v>1270</v>
      </c>
      <c r="G25" s="3">
        <v>144</v>
      </c>
      <c r="R25" s="63"/>
      <c r="S25" s="63"/>
      <c r="T25" s="63"/>
      <c r="U25" s="63"/>
      <c r="V25" s="63"/>
    </row>
    <row r="26" spans="1:22" ht="15" thickBot="1" x14ac:dyDescent="0.4">
      <c r="A26" s="1">
        <v>19</v>
      </c>
      <c r="B26" s="5">
        <v>1120</v>
      </c>
      <c r="C26" s="3">
        <v>126</v>
      </c>
      <c r="E26" s="1">
        <v>19</v>
      </c>
      <c r="F26" s="5">
        <v>1219</v>
      </c>
      <c r="G26" s="3">
        <v>158</v>
      </c>
      <c r="R26" s="63"/>
      <c r="S26" s="63"/>
      <c r="T26" s="63"/>
      <c r="U26" s="63"/>
      <c r="V26" s="63"/>
    </row>
    <row r="27" spans="1:22" ht="15" thickBot="1" x14ac:dyDescent="0.4">
      <c r="A27" s="1">
        <v>20</v>
      </c>
      <c r="B27" s="5">
        <v>1009</v>
      </c>
      <c r="C27" s="3">
        <v>142</v>
      </c>
      <c r="E27" s="1">
        <v>20</v>
      </c>
      <c r="F27" s="5">
        <v>1169</v>
      </c>
      <c r="G27" s="3">
        <v>155</v>
      </c>
      <c r="R27" s="20"/>
      <c r="S27" s="20"/>
      <c r="T27" s="20"/>
      <c r="U27" s="20"/>
      <c r="V27" s="20"/>
    </row>
    <row r="28" spans="1:22" ht="15" thickBot="1" x14ac:dyDescent="0.4">
      <c r="A28" s="1">
        <v>21</v>
      </c>
      <c r="B28" s="5">
        <v>989</v>
      </c>
      <c r="C28" s="3">
        <v>156</v>
      </c>
      <c r="E28" s="1">
        <v>21</v>
      </c>
      <c r="F28" s="5">
        <v>1219</v>
      </c>
      <c r="G28" s="3">
        <v>158</v>
      </c>
      <c r="R28" s="20"/>
      <c r="S28" s="20"/>
      <c r="T28" s="20"/>
      <c r="U28" s="20"/>
      <c r="V28" s="20"/>
    </row>
    <row r="29" spans="1:22" ht="15" thickBot="1" x14ac:dyDescent="0.4">
      <c r="A29" s="1">
        <v>22</v>
      </c>
      <c r="B29" s="5">
        <v>909</v>
      </c>
      <c r="C29" s="3">
        <v>161</v>
      </c>
      <c r="E29" s="1">
        <v>22</v>
      </c>
      <c r="F29" s="5">
        <v>1132</v>
      </c>
      <c r="G29" s="3">
        <v>167</v>
      </c>
      <c r="R29" s="20"/>
      <c r="S29" s="20"/>
      <c r="T29" s="20"/>
      <c r="U29" s="20"/>
      <c r="V29" s="20"/>
    </row>
    <row r="30" spans="1:22" ht="15" thickBot="1" x14ac:dyDescent="0.4">
      <c r="A30" s="1">
        <v>23</v>
      </c>
      <c r="B30" s="5">
        <v>1000</v>
      </c>
      <c r="C30" s="3">
        <v>134</v>
      </c>
      <c r="E30" s="1">
        <v>23</v>
      </c>
      <c r="F30" s="5">
        <v>1129</v>
      </c>
      <c r="G30" s="3">
        <v>171</v>
      </c>
      <c r="R30" s="20"/>
      <c r="S30" s="20"/>
      <c r="T30" s="20"/>
      <c r="U30" s="20"/>
      <c r="V30" s="20"/>
    </row>
    <row r="31" spans="1:22" ht="15" thickBot="1" x14ac:dyDescent="0.4">
      <c r="A31" s="1">
        <v>24</v>
      </c>
      <c r="B31" s="5">
        <v>1109</v>
      </c>
      <c r="C31" s="3">
        <v>124</v>
      </c>
      <c r="E31" s="1">
        <v>24</v>
      </c>
      <c r="F31" s="5">
        <v>1135</v>
      </c>
      <c r="G31" s="3">
        <v>169</v>
      </c>
      <c r="R31" s="20"/>
      <c r="S31" s="20"/>
      <c r="T31" s="20"/>
      <c r="U31" s="20"/>
      <c r="V31" s="20"/>
    </row>
    <row r="32" spans="1:22" x14ac:dyDescent="0.35">
      <c r="R32" s="20"/>
      <c r="S32" s="20"/>
      <c r="T32" s="20"/>
      <c r="U32" s="20"/>
      <c r="V32" s="20"/>
    </row>
  </sheetData>
  <mergeCells count="7">
    <mergeCell ref="R5:V11"/>
    <mergeCell ref="R20:V26"/>
    <mergeCell ref="A6:C6"/>
    <mergeCell ref="E6:G6"/>
    <mergeCell ref="A1:V2"/>
    <mergeCell ref="A3:V3"/>
    <mergeCell ref="A4:V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3385-B171-4E54-892D-8034ED7D80DD}">
  <dimension ref="B1:I34"/>
  <sheetViews>
    <sheetView topLeftCell="A8" workbookViewId="0">
      <selection activeCell="B26" sqref="B26:F26"/>
    </sheetView>
  </sheetViews>
  <sheetFormatPr defaultRowHeight="14.5" x14ac:dyDescent="0.35"/>
  <cols>
    <col min="1" max="1" width="7.1796875" customWidth="1"/>
    <col min="2" max="2" width="33.08984375" customWidth="1"/>
    <col min="3" max="3" width="32.36328125" customWidth="1"/>
    <col min="4" max="4" width="23.6328125" customWidth="1"/>
    <col min="5" max="5" width="27.36328125" customWidth="1"/>
    <col min="6" max="6" width="28.6328125" customWidth="1"/>
    <col min="7" max="7" width="22.81640625" customWidth="1"/>
    <col min="8" max="8" width="24.90625" customWidth="1"/>
    <col min="9" max="9" width="11.453125" bestFit="1" customWidth="1"/>
  </cols>
  <sheetData>
    <row r="1" spans="2:9" ht="26.5" thickBot="1" x14ac:dyDescent="0.65">
      <c r="B1" s="70" t="s">
        <v>50</v>
      </c>
      <c r="C1" s="71"/>
      <c r="D1" s="71"/>
      <c r="E1" s="71"/>
      <c r="F1" s="71"/>
      <c r="G1" s="71"/>
      <c r="H1" s="72"/>
    </row>
    <row r="2" spans="2:9" ht="34.5" customHeight="1" x14ac:dyDescent="0.35">
      <c r="B2" s="73" t="s">
        <v>29</v>
      </c>
      <c r="C2" s="74"/>
      <c r="D2" s="74"/>
      <c r="E2" s="74"/>
      <c r="F2" s="74"/>
      <c r="G2" s="74"/>
      <c r="H2" s="75"/>
    </row>
    <row r="3" spans="2:9" ht="14" customHeight="1" x14ac:dyDescent="0.35">
      <c r="B3" s="39"/>
      <c r="C3" s="40"/>
      <c r="D3" s="40"/>
      <c r="E3" s="40"/>
      <c r="F3" s="40"/>
      <c r="G3" s="40"/>
      <c r="H3" s="41"/>
    </row>
    <row r="4" spans="2:9" x14ac:dyDescent="0.35">
      <c r="B4" s="81" t="s">
        <v>30</v>
      </c>
      <c r="C4" s="82"/>
      <c r="D4" s="82"/>
      <c r="E4" s="82"/>
      <c r="F4" s="82"/>
      <c r="G4" s="82"/>
      <c r="H4" s="83"/>
    </row>
    <row r="5" spans="2:9" x14ac:dyDescent="0.35">
      <c r="B5" s="76" t="s">
        <v>31</v>
      </c>
      <c r="C5" s="77"/>
      <c r="D5" s="77"/>
      <c r="E5" s="77"/>
      <c r="F5" s="77"/>
      <c r="H5" s="24"/>
    </row>
    <row r="6" spans="2:9" x14ac:dyDescent="0.35">
      <c r="B6" s="95"/>
      <c r="C6" s="96"/>
      <c r="D6" s="96"/>
      <c r="E6" s="96"/>
      <c r="F6" s="96"/>
      <c r="G6" s="96"/>
      <c r="H6" s="97"/>
    </row>
    <row r="7" spans="2:9" ht="37" customHeight="1" x14ac:dyDescent="0.35">
      <c r="B7" s="78" t="s">
        <v>86</v>
      </c>
      <c r="C7" s="79"/>
      <c r="D7" s="79"/>
      <c r="E7" s="79"/>
      <c r="F7" s="79"/>
      <c r="G7" s="79"/>
      <c r="H7" s="80"/>
    </row>
    <row r="8" spans="2:9" ht="14.5" customHeight="1" x14ac:dyDescent="0.35">
      <c r="B8" s="98"/>
      <c r="C8" s="99"/>
      <c r="D8" s="99"/>
      <c r="E8" s="99"/>
      <c r="F8" s="99"/>
      <c r="G8" s="99"/>
      <c r="H8" s="100"/>
    </row>
    <row r="9" spans="2:9" ht="22.5" customHeight="1" x14ac:dyDescent="0.45">
      <c r="B9" s="36" t="s">
        <v>34</v>
      </c>
      <c r="C9" s="32" t="s">
        <v>35</v>
      </c>
      <c r="D9" s="103" t="s">
        <v>33</v>
      </c>
      <c r="E9" s="103"/>
      <c r="F9" s="103"/>
      <c r="G9" s="103"/>
      <c r="H9" s="104"/>
    </row>
    <row r="10" spans="2:9" x14ac:dyDescent="0.35">
      <c r="B10" s="95"/>
      <c r="C10" s="96"/>
      <c r="D10" s="96"/>
      <c r="E10" s="96"/>
      <c r="F10" s="96"/>
      <c r="G10" s="96"/>
      <c r="H10" s="97"/>
    </row>
    <row r="11" spans="2:9" ht="14.5" customHeight="1" x14ac:dyDescent="0.35">
      <c r="B11" s="88" t="s">
        <v>32</v>
      </c>
      <c r="C11" s="89"/>
      <c r="D11" s="89"/>
      <c r="E11" s="89"/>
      <c r="F11" s="89"/>
      <c r="G11" s="89"/>
      <c r="H11" s="90"/>
    </row>
    <row r="12" spans="2:9" x14ac:dyDescent="0.35">
      <c r="B12" s="88"/>
      <c r="C12" s="89"/>
      <c r="D12" s="89"/>
      <c r="E12" s="89"/>
      <c r="F12" s="89"/>
      <c r="G12" s="89"/>
      <c r="H12" s="90"/>
    </row>
    <row r="13" spans="2:9" x14ac:dyDescent="0.35">
      <c r="B13" s="25"/>
      <c r="C13" s="20"/>
      <c r="D13" s="20"/>
      <c r="E13" s="20"/>
      <c r="F13" s="20"/>
      <c r="G13" s="20"/>
      <c r="H13" s="24"/>
      <c r="I13" s="28"/>
    </row>
    <row r="14" spans="2:9" x14ac:dyDescent="0.35">
      <c r="B14" s="23" t="s">
        <v>9</v>
      </c>
      <c r="H14" s="24"/>
    </row>
    <row r="15" spans="2:9" ht="16.5" x14ac:dyDescent="0.45">
      <c r="B15" s="35" t="s">
        <v>48</v>
      </c>
      <c r="D15" s="31"/>
      <c r="H15" s="24"/>
    </row>
    <row r="16" spans="2:9" x14ac:dyDescent="0.35">
      <c r="B16" s="25"/>
      <c r="D16" s="31"/>
      <c r="H16" s="24"/>
    </row>
    <row r="17" spans="2:8" x14ac:dyDescent="0.35">
      <c r="B17" s="23" t="s">
        <v>27</v>
      </c>
      <c r="H17" s="24"/>
    </row>
    <row r="18" spans="2:8" ht="17.5" x14ac:dyDescent="0.45">
      <c r="B18" s="91" t="s">
        <v>37</v>
      </c>
      <c r="C18" s="92"/>
      <c r="D18" s="32" t="s">
        <v>36</v>
      </c>
      <c r="H18" s="24"/>
    </row>
    <row r="19" spans="2:8" ht="17.5" x14ac:dyDescent="0.45">
      <c r="B19" s="91" t="s">
        <v>38</v>
      </c>
      <c r="C19" s="92"/>
      <c r="D19" s="32" t="s">
        <v>39</v>
      </c>
      <c r="H19" s="24"/>
    </row>
    <row r="20" spans="2:8" x14ac:dyDescent="0.35">
      <c r="B20" s="91" t="s">
        <v>43</v>
      </c>
      <c r="C20" s="92"/>
      <c r="D20" s="29" t="s">
        <v>45</v>
      </c>
      <c r="H20" s="24"/>
    </row>
    <row r="21" spans="2:8" x14ac:dyDescent="0.35">
      <c r="B21" s="101" t="s">
        <v>44</v>
      </c>
      <c r="C21" s="102"/>
      <c r="D21" s="32" t="s">
        <v>46</v>
      </c>
      <c r="H21" s="24"/>
    </row>
    <row r="22" spans="2:8" x14ac:dyDescent="0.35">
      <c r="B22" s="101" t="s">
        <v>40</v>
      </c>
      <c r="C22" s="102"/>
      <c r="D22" s="29"/>
      <c r="H22" s="24"/>
    </row>
    <row r="23" spans="2:8" x14ac:dyDescent="0.35">
      <c r="B23" s="101" t="s">
        <v>41</v>
      </c>
      <c r="C23" s="102"/>
      <c r="D23" s="29"/>
      <c r="H23" s="24"/>
    </row>
    <row r="24" spans="2:8" x14ac:dyDescent="0.35">
      <c r="B24" s="30"/>
      <c r="H24" s="24"/>
    </row>
    <row r="25" spans="2:8" x14ac:dyDescent="0.35">
      <c r="B25" s="23" t="s">
        <v>42</v>
      </c>
      <c r="H25" s="24"/>
    </row>
    <row r="26" spans="2:8" x14ac:dyDescent="0.35">
      <c r="B26" s="93" t="s">
        <v>87</v>
      </c>
      <c r="C26" s="94"/>
      <c r="D26" s="94"/>
      <c r="E26" s="94"/>
      <c r="F26" s="94"/>
      <c r="H26" s="24"/>
    </row>
    <row r="27" spans="2:8" x14ac:dyDescent="0.35">
      <c r="B27" s="30"/>
      <c r="H27" s="24"/>
    </row>
    <row r="28" spans="2:8" x14ac:dyDescent="0.35">
      <c r="B28" s="23" t="s">
        <v>28</v>
      </c>
      <c r="H28" s="24"/>
    </row>
    <row r="29" spans="2:8" ht="16.5" x14ac:dyDescent="0.45">
      <c r="B29" s="37" t="s">
        <v>89</v>
      </c>
      <c r="C29" s="34" t="s">
        <v>90</v>
      </c>
      <c r="H29" s="24"/>
    </row>
    <row r="30" spans="2:8" ht="16.5" customHeight="1" x14ac:dyDescent="0.45">
      <c r="B30" s="84" t="s">
        <v>88</v>
      </c>
      <c r="C30" s="85"/>
      <c r="H30" s="24"/>
    </row>
    <row r="31" spans="2:8" x14ac:dyDescent="0.35">
      <c r="B31" s="86" t="s">
        <v>47</v>
      </c>
      <c r="C31" s="87"/>
      <c r="H31" s="24"/>
    </row>
    <row r="32" spans="2:8" x14ac:dyDescent="0.35">
      <c r="B32" s="86" t="s">
        <v>84</v>
      </c>
      <c r="C32" s="87"/>
      <c r="H32" s="24"/>
    </row>
    <row r="33" spans="2:8" x14ac:dyDescent="0.35">
      <c r="B33" s="86" t="s">
        <v>85</v>
      </c>
      <c r="C33" s="87"/>
      <c r="H33" s="24"/>
    </row>
    <row r="34" spans="2:8" ht="15" thickBot="1" x14ac:dyDescent="0.4">
      <c r="B34" s="38"/>
      <c r="C34" s="26"/>
      <c r="D34" s="26"/>
      <c r="E34" s="26"/>
      <c r="F34" s="26"/>
      <c r="G34" s="26"/>
      <c r="H34" s="27"/>
    </row>
  </sheetData>
  <mergeCells count="21">
    <mergeCell ref="B8:H8"/>
    <mergeCell ref="B10:H10"/>
    <mergeCell ref="B21:C21"/>
    <mergeCell ref="B22:C22"/>
    <mergeCell ref="B23:C23"/>
    <mergeCell ref="D9:H9"/>
    <mergeCell ref="B30:C30"/>
    <mergeCell ref="B31:C31"/>
    <mergeCell ref="B32:C32"/>
    <mergeCell ref="B33:C33"/>
    <mergeCell ref="B11:H12"/>
    <mergeCell ref="B18:C18"/>
    <mergeCell ref="B20:C20"/>
    <mergeCell ref="B19:C19"/>
    <mergeCell ref="B26:F26"/>
    <mergeCell ref="B1:H1"/>
    <mergeCell ref="B2:H2"/>
    <mergeCell ref="B5:F5"/>
    <mergeCell ref="B7:H7"/>
    <mergeCell ref="B4:H4"/>
    <mergeCell ref="B6: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A003-E047-468F-81E3-68A7BEFA56DB}">
  <dimension ref="A1:N57"/>
  <sheetViews>
    <sheetView topLeftCell="A23" workbookViewId="0">
      <selection activeCell="B34" sqref="B34"/>
    </sheetView>
  </sheetViews>
  <sheetFormatPr defaultRowHeight="14.5" x14ac:dyDescent="0.35"/>
  <cols>
    <col min="1" max="1" width="26.26953125" customWidth="1"/>
    <col min="2" max="2" width="16.453125" customWidth="1"/>
    <col min="4" max="4" width="21.26953125" customWidth="1"/>
    <col min="5" max="5" width="19.453125" customWidth="1"/>
    <col min="6" max="6" width="14.54296875" customWidth="1"/>
    <col min="7" max="7" width="34.26953125" customWidth="1"/>
    <col min="8" max="8" width="17.6328125" customWidth="1"/>
  </cols>
  <sheetData>
    <row r="1" spans="1:12" ht="26.5" thickBot="1" x14ac:dyDescent="0.65">
      <c r="A1" s="70" t="s">
        <v>49</v>
      </c>
      <c r="B1" s="106"/>
      <c r="C1" s="106"/>
      <c r="D1" s="106"/>
      <c r="E1" s="106"/>
      <c r="F1" s="106"/>
      <c r="G1" s="106"/>
      <c r="H1" s="106"/>
      <c r="I1" s="106"/>
      <c r="J1" s="106"/>
      <c r="K1" s="106"/>
      <c r="L1" s="107"/>
    </row>
    <row r="2" spans="1:12" x14ac:dyDescent="0.35">
      <c r="A2" s="105" t="s">
        <v>51</v>
      </c>
      <c r="B2" s="105"/>
      <c r="C2" s="105"/>
      <c r="D2" s="105"/>
      <c r="E2" s="105"/>
    </row>
    <row r="3" spans="1:12" x14ac:dyDescent="0.35">
      <c r="H3" s="22"/>
    </row>
    <row r="4" spans="1:12" x14ac:dyDescent="0.35">
      <c r="A4" s="9" t="s">
        <v>3</v>
      </c>
      <c r="B4" s="9" t="s">
        <v>6</v>
      </c>
      <c r="D4" s="9" t="s">
        <v>12</v>
      </c>
      <c r="E4" s="9" t="s">
        <v>13</v>
      </c>
      <c r="F4" s="9" t="s">
        <v>52</v>
      </c>
      <c r="G4" s="9" t="s">
        <v>80</v>
      </c>
      <c r="H4" s="22"/>
    </row>
    <row r="5" spans="1:12" x14ac:dyDescent="0.35">
      <c r="A5" s="9" t="s">
        <v>75</v>
      </c>
      <c r="B5" s="8">
        <v>240</v>
      </c>
      <c r="D5" s="45">
        <v>1</v>
      </c>
      <c r="E5" s="45">
        <v>8</v>
      </c>
      <c r="F5" s="45">
        <v>3</v>
      </c>
      <c r="G5" s="21">
        <f>B17</f>
        <v>163.10779995380935</v>
      </c>
      <c r="H5" s="22"/>
    </row>
    <row r="6" spans="1:12" x14ac:dyDescent="0.35">
      <c r="A6" s="9" t="s">
        <v>76</v>
      </c>
      <c r="B6" s="8">
        <v>300</v>
      </c>
      <c r="D6" s="45">
        <v>1</v>
      </c>
      <c r="E6" s="45">
        <v>10</v>
      </c>
      <c r="F6" s="45">
        <v>4</v>
      </c>
      <c r="G6" s="21">
        <f>B20</f>
        <v>116.89220005556619</v>
      </c>
    </row>
    <row r="7" spans="1:12" x14ac:dyDescent="0.35">
      <c r="D7" s="44">
        <v>280</v>
      </c>
      <c r="E7" s="44">
        <v>2600</v>
      </c>
      <c r="F7" s="44">
        <v>1100</v>
      </c>
      <c r="G7" s="46" t="s">
        <v>53</v>
      </c>
    </row>
    <row r="9" spans="1:12" x14ac:dyDescent="0.35">
      <c r="A9" s="43" t="s">
        <v>7</v>
      </c>
      <c r="B9" s="7"/>
    </row>
    <row r="10" spans="1:12" x14ac:dyDescent="0.35">
      <c r="A10" s="110" t="s">
        <v>67</v>
      </c>
      <c r="B10" s="111"/>
      <c r="C10" s="19"/>
      <c r="D10" s="108" t="s">
        <v>68</v>
      </c>
      <c r="E10" s="109"/>
    </row>
    <row r="11" spans="1:12" x14ac:dyDescent="0.35">
      <c r="A11" s="42" t="s">
        <v>81</v>
      </c>
      <c r="B11" s="53">
        <v>1733350.64</v>
      </c>
      <c r="C11" s="19"/>
      <c r="D11" s="42" t="s">
        <v>82</v>
      </c>
      <c r="E11" s="53">
        <v>1099135.82</v>
      </c>
    </row>
    <row r="12" spans="1:12" x14ac:dyDescent="0.35">
      <c r="A12" s="42" t="s">
        <v>8</v>
      </c>
      <c r="B12" s="8">
        <v>-1.36</v>
      </c>
      <c r="C12" s="19"/>
      <c r="D12" s="42" t="s">
        <v>8</v>
      </c>
      <c r="E12" s="8">
        <v>-1.25</v>
      </c>
    </row>
    <row r="15" spans="1:12" x14ac:dyDescent="0.35">
      <c r="A15" s="43" t="s">
        <v>9</v>
      </c>
    </row>
    <row r="16" spans="1:12" x14ac:dyDescent="0.35">
      <c r="A16" s="9" t="s">
        <v>69</v>
      </c>
      <c r="B16" s="48">
        <v>913.26504357346221</v>
      </c>
      <c r="D16" s="113" t="s">
        <v>95</v>
      </c>
      <c r="E16" s="113"/>
      <c r="F16" s="113"/>
      <c r="G16" s="113"/>
    </row>
    <row r="17" spans="1:8" x14ac:dyDescent="0.35">
      <c r="A17" s="9" t="s">
        <v>74</v>
      </c>
      <c r="B17" s="47">
        <f>B11*B16^B12</f>
        <v>163.10779995380935</v>
      </c>
      <c r="D17" s="113"/>
      <c r="E17" s="113"/>
      <c r="F17" s="113"/>
      <c r="G17" s="113"/>
    </row>
    <row r="18" spans="1:8" x14ac:dyDescent="0.35">
      <c r="A18" s="9" t="s">
        <v>71</v>
      </c>
      <c r="B18" s="21">
        <f>(B16-B5)*B17</f>
        <v>109814.78004307301</v>
      </c>
      <c r="D18" s="113"/>
      <c r="E18" s="113"/>
      <c r="F18" s="113"/>
      <c r="G18" s="113"/>
    </row>
    <row r="19" spans="1:8" x14ac:dyDescent="0.35">
      <c r="A19" s="9" t="s">
        <v>70</v>
      </c>
      <c r="B19" s="48">
        <v>1508.7339497380854</v>
      </c>
      <c r="D19" s="113"/>
      <c r="E19" s="113"/>
      <c r="F19" s="113"/>
      <c r="G19" s="113"/>
    </row>
    <row r="20" spans="1:8" x14ac:dyDescent="0.35">
      <c r="A20" s="9" t="s">
        <v>73</v>
      </c>
      <c r="B20" s="47">
        <f>E11*B19^E12</f>
        <v>116.89220005556619</v>
      </c>
      <c r="D20" s="113"/>
      <c r="E20" s="113"/>
      <c r="F20" s="113"/>
      <c r="G20" s="113"/>
    </row>
    <row r="21" spans="1:8" x14ac:dyDescent="0.35">
      <c r="A21" s="9" t="s">
        <v>72</v>
      </c>
      <c r="B21" s="21">
        <f>(B19-B6)*B20</f>
        <v>141291.57066673896</v>
      </c>
      <c r="D21" s="113"/>
      <c r="E21" s="113"/>
      <c r="F21" s="113"/>
      <c r="G21" s="113"/>
    </row>
    <row r="22" spans="1:8" ht="29" x14ac:dyDescent="0.35">
      <c r="A22" s="55" t="s">
        <v>58</v>
      </c>
      <c r="B22" s="48">
        <f>SUM(B18,B21)</f>
        <v>251106.35070981196</v>
      </c>
      <c r="D22" s="113"/>
      <c r="E22" s="113"/>
      <c r="F22" s="113"/>
      <c r="G22" s="113"/>
    </row>
    <row r="23" spans="1:8" x14ac:dyDescent="0.35">
      <c r="B23" s="22"/>
    </row>
    <row r="24" spans="1:8" x14ac:dyDescent="0.35">
      <c r="A24" s="52" t="s">
        <v>10</v>
      </c>
      <c r="B24" s="22"/>
    </row>
    <row r="25" spans="1:8" x14ac:dyDescent="0.35">
      <c r="A25" s="61" t="s">
        <v>77</v>
      </c>
      <c r="B25" s="50">
        <f>B16</f>
        <v>913.26504357346221</v>
      </c>
      <c r="C25" s="9" t="s">
        <v>79</v>
      </c>
      <c r="D25" s="51">
        <v>240</v>
      </c>
    </row>
    <row r="26" spans="1:8" x14ac:dyDescent="0.35">
      <c r="A26" s="61" t="s">
        <v>78</v>
      </c>
      <c r="B26" s="50">
        <f>B19</f>
        <v>1508.7339497380854</v>
      </c>
      <c r="C26" s="9" t="s">
        <v>79</v>
      </c>
      <c r="D26" s="51">
        <v>300</v>
      </c>
    </row>
    <row r="27" spans="1:8" x14ac:dyDescent="0.35">
      <c r="A27" s="9" t="s">
        <v>54</v>
      </c>
      <c r="B27" s="50">
        <f>SUMPRODUCT(D5:D6,G5:G6)</f>
        <v>280.00000000937553</v>
      </c>
      <c r="C27" s="9" t="s">
        <v>11</v>
      </c>
      <c r="D27" s="51">
        <v>280</v>
      </c>
      <c r="E27" s="54" t="s">
        <v>57</v>
      </c>
    </row>
    <row r="28" spans="1:8" x14ac:dyDescent="0.35">
      <c r="A28" s="9" t="s">
        <v>55</v>
      </c>
      <c r="B28" s="50">
        <f>SUMPRODUCT(E5:E6,G5:G6)</f>
        <v>2473.7844001861367</v>
      </c>
      <c r="C28" s="9" t="s">
        <v>11</v>
      </c>
      <c r="D28" s="51">
        <v>2600</v>
      </c>
    </row>
    <row r="29" spans="1:8" x14ac:dyDescent="0.35">
      <c r="A29" s="9" t="s">
        <v>56</v>
      </c>
      <c r="B29" s="50">
        <f>SUMPRODUCT(F5:F6,G5:G6)</f>
        <v>956.89220008369284</v>
      </c>
      <c r="C29" s="9" t="s">
        <v>11</v>
      </c>
      <c r="D29" s="51">
        <v>1100</v>
      </c>
    </row>
    <row r="31" spans="1:8" x14ac:dyDescent="0.35">
      <c r="G31" s="9" t="s">
        <v>65</v>
      </c>
      <c r="H31" s="9" t="s">
        <v>66</v>
      </c>
    </row>
    <row r="32" spans="1:8" x14ac:dyDescent="0.35">
      <c r="A32" s="9" t="s">
        <v>63</v>
      </c>
      <c r="B32" s="9" t="s">
        <v>64</v>
      </c>
      <c r="G32" s="56">
        <v>280</v>
      </c>
      <c r="H32" s="33">
        <f>(G32-B6)*(E11*G32^E12)</f>
        <v>-19192.600256459416</v>
      </c>
    </row>
    <row r="33" spans="1:8" x14ac:dyDescent="0.35">
      <c r="A33" s="56">
        <v>200</v>
      </c>
      <c r="B33" s="33">
        <f>(A33-B5)*(B11*A33^B12)</f>
        <v>-51468.987204453289</v>
      </c>
      <c r="G33" s="56">
        <v>290</v>
      </c>
      <c r="H33" s="33">
        <f>(G33-B6)*(E11*G33^E12)</f>
        <v>-9184.4650117999772</v>
      </c>
    </row>
    <row r="34" spans="1:8" x14ac:dyDescent="0.35">
      <c r="A34" s="56">
        <v>210</v>
      </c>
      <c r="B34" s="33">
        <f>(A34-B5)*(B11*A34^B12)</f>
        <v>-36123.468112867966</v>
      </c>
      <c r="G34" s="56">
        <v>300</v>
      </c>
      <c r="H34" s="33">
        <f>(G34-B6)*(E11*G34^E12)</f>
        <v>0</v>
      </c>
    </row>
    <row r="35" spans="1:8" x14ac:dyDescent="0.35">
      <c r="A35" s="56">
        <v>220</v>
      </c>
      <c r="B35" s="33">
        <f>(A35-B5)*(B11*A35^B12)</f>
        <v>-22605.888173213891</v>
      </c>
      <c r="G35" s="56">
        <v>310</v>
      </c>
      <c r="H35" s="33">
        <f>(G35-B6)*(E11*G35^E12)</f>
        <v>8449.8547594450938</v>
      </c>
    </row>
    <row r="36" spans="1:8" x14ac:dyDescent="0.35">
      <c r="A36" s="56">
        <v>230</v>
      </c>
      <c r="B36" s="33">
        <f>(A36-B5)*(B11*A36^B12)</f>
        <v>-10639.876038465249</v>
      </c>
      <c r="G36" s="56">
        <v>320</v>
      </c>
      <c r="H36" s="33">
        <f>(G36-B6)*(E11*G36^E12)</f>
        <v>16242.163733122272</v>
      </c>
    </row>
    <row r="37" spans="1:8" x14ac:dyDescent="0.35">
      <c r="A37" s="56">
        <v>240</v>
      </c>
      <c r="B37" s="33">
        <f>(A37-B5)*(B11*A37^B12)</f>
        <v>0</v>
      </c>
      <c r="G37" s="56">
        <v>330</v>
      </c>
      <c r="H37" s="33">
        <f>(G37-B6)*(E11*G37^E12)</f>
        <v>23443.917871528007</v>
      </c>
    </row>
    <row r="38" spans="1:8" x14ac:dyDescent="0.35">
      <c r="A38" s="56">
        <v>250</v>
      </c>
      <c r="B38" s="33">
        <f>(A38-B5)*(B11*A38^B12)</f>
        <v>9499.2214742393735</v>
      </c>
      <c r="G38" s="56">
        <v>340</v>
      </c>
      <c r="H38" s="33">
        <f>(G38-B6)*(E11*G38^E12)</f>
        <v>30113.602017369514</v>
      </c>
    </row>
    <row r="39" spans="1:8" x14ac:dyDescent="0.35">
      <c r="A39" s="56"/>
      <c r="B39" s="29"/>
      <c r="G39" s="56">
        <v>350</v>
      </c>
      <c r="H39" s="33">
        <f>(G39-B6)*(E11*G39^E12)</f>
        <v>36302.481294997393</v>
      </c>
    </row>
    <row r="40" spans="1:8" x14ac:dyDescent="0.35">
      <c r="A40" s="56">
        <v>860</v>
      </c>
      <c r="B40" s="33">
        <f>(A40-B5)*(B11*A40^B12)</f>
        <v>109738.80356601653</v>
      </c>
    </row>
    <row r="41" spans="1:8" x14ac:dyDescent="0.35">
      <c r="A41" s="56">
        <v>870</v>
      </c>
      <c r="B41" s="33">
        <f>(A41-B5)*(B11*A41^B12)</f>
        <v>109769.2737982387</v>
      </c>
      <c r="G41" s="56">
        <v>1000</v>
      </c>
      <c r="H41" s="33">
        <f>(G41-B6)*(E11*G41^E12)</f>
        <v>136819.94182795737</v>
      </c>
    </row>
    <row r="42" spans="1:8" x14ac:dyDescent="0.35">
      <c r="A42" s="56">
        <v>880</v>
      </c>
      <c r="B42" s="33">
        <f>(A42-B5)*(B11*A42^B12)</f>
        <v>109791.8151084912</v>
      </c>
      <c r="G42" s="56">
        <v>1100</v>
      </c>
      <c r="H42" s="57">
        <f>(G42-B6)*(E11*G42^E12)</f>
        <v>138803.52389317803</v>
      </c>
    </row>
    <row r="43" spans="1:8" x14ac:dyDescent="0.35">
      <c r="A43" s="56">
        <v>890</v>
      </c>
      <c r="B43" s="33">
        <f>(A43-B5)*(B11*A43^B12)</f>
        <v>109806.83471081092</v>
      </c>
      <c r="G43" s="56">
        <v>1200</v>
      </c>
      <c r="H43" s="33">
        <f>(G43-B6)*(E11*G43^E12)</f>
        <v>140061.02919572435</v>
      </c>
    </row>
    <row r="44" spans="1:8" x14ac:dyDescent="0.35">
      <c r="A44" s="56">
        <v>900</v>
      </c>
      <c r="B44" s="33">
        <f>(A44-B5)*(B11*A44^B12)</f>
        <v>109814.71729258832</v>
      </c>
      <c r="G44" s="56">
        <v>1300</v>
      </c>
      <c r="H44" s="33">
        <f>(G44-B6)*(E11*G44^E12)</f>
        <v>140806.32738315759</v>
      </c>
    </row>
    <row r="45" spans="1:8" x14ac:dyDescent="0.35">
      <c r="A45" s="58">
        <v>910</v>
      </c>
      <c r="B45" s="59">
        <f>(A45-B5)*(B11*A45^B12)</f>
        <v>109815.8264433928</v>
      </c>
      <c r="G45" s="56">
        <v>1400</v>
      </c>
      <c r="H45" s="33">
        <f>(G45-B6)*(E11*G45^E12)</f>
        <v>141183.51883674736</v>
      </c>
    </row>
    <row r="46" spans="1:8" x14ac:dyDescent="0.35">
      <c r="A46" s="56">
        <v>920</v>
      </c>
      <c r="B46" s="33">
        <f>(A46-B5)*(B11*A46^B12)</f>
        <v>109810.50598026642</v>
      </c>
      <c r="G46" s="58">
        <v>1500</v>
      </c>
      <c r="H46" s="59">
        <f>(G46-B6)*(E11*G46^E12)</f>
        <v>141292.31265088537</v>
      </c>
    </row>
    <row r="47" spans="1:8" x14ac:dyDescent="0.35">
      <c r="A47" s="56">
        <v>930</v>
      </c>
      <c r="B47" s="33">
        <f>(A47-B5)*(B11*A47^B12)</f>
        <v>109799.08117795404</v>
      </c>
      <c r="G47" s="56">
        <v>1600</v>
      </c>
      <c r="H47" s="33">
        <f>(G47-B6)*(E11*G47^E12)</f>
        <v>141203.26386874719</v>
      </c>
    </row>
    <row r="48" spans="1:8" x14ac:dyDescent="0.35">
      <c r="A48" s="56">
        <v>940</v>
      </c>
      <c r="B48" s="33">
        <f>(A48-B5)*(B11*A48^B12)</f>
        <v>109781.85991175394</v>
      </c>
      <c r="G48" s="56">
        <v>1700</v>
      </c>
      <c r="H48" s="33">
        <f>(G48-B6)*(E11*G48^E12)</f>
        <v>140967.25577924028</v>
      </c>
    </row>
    <row r="49" spans="1:14" x14ac:dyDescent="0.35">
      <c r="A49" s="56">
        <v>950</v>
      </c>
      <c r="B49" s="33">
        <f>(A49-B5)*(B11*A49^B12)</f>
        <v>109759.13371999482</v>
      </c>
      <c r="G49" s="56">
        <v>1800</v>
      </c>
      <c r="H49" s="33">
        <f>(G49-B6)*(E11*G49^E12)</f>
        <v>140621.58512101474</v>
      </c>
    </row>
    <row r="52" spans="1:14" x14ac:dyDescent="0.35">
      <c r="A52" s="114" t="s">
        <v>92</v>
      </c>
      <c r="B52" s="114"/>
      <c r="C52" s="114"/>
      <c r="D52" s="114"/>
      <c r="E52" s="114"/>
      <c r="G52" s="114" t="s">
        <v>91</v>
      </c>
      <c r="H52" s="114"/>
      <c r="I52" s="114"/>
      <c r="J52" s="114"/>
      <c r="K52" s="114"/>
      <c r="L52" s="114"/>
      <c r="M52" s="114"/>
      <c r="N52" s="114"/>
    </row>
    <row r="53" spans="1:14" x14ac:dyDescent="0.35">
      <c r="A53" s="114"/>
      <c r="B53" s="114"/>
      <c r="C53" s="114"/>
      <c r="D53" s="114"/>
      <c r="E53" s="114"/>
      <c r="G53" s="114"/>
      <c r="H53" s="114"/>
      <c r="I53" s="114"/>
      <c r="J53" s="114"/>
      <c r="K53" s="114"/>
      <c r="L53" s="114"/>
      <c r="M53" s="114"/>
      <c r="N53" s="114"/>
    </row>
    <row r="54" spans="1:14" x14ac:dyDescent="0.35">
      <c r="A54" s="114"/>
      <c r="B54" s="114"/>
      <c r="C54" s="114"/>
      <c r="D54" s="114"/>
      <c r="E54" s="114"/>
      <c r="G54" s="114"/>
      <c r="H54" s="114"/>
      <c r="I54" s="114"/>
      <c r="J54" s="114"/>
      <c r="K54" s="114"/>
      <c r="L54" s="114"/>
      <c r="M54" s="114"/>
      <c r="N54" s="114"/>
    </row>
    <row r="55" spans="1:14" x14ac:dyDescent="0.35">
      <c r="A55" s="114"/>
      <c r="B55" s="114"/>
      <c r="C55" s="114"/>
      <c r="D55" s="114"/>
      <c r="E55" s="114"/>
      <c r="G55" s="114"/>
      <c r="H55" s="114"/>
      <c r="I55" s="114"/>
      <c r="J55" s="114"/>
      <c r="K55" s="114"/>
      <c r="L55" s="114"/>
      <c r="M55" s="114"/>
      <c r="N55" s="114"/>
    </row>
    <row r="56" spans="1:14" x14ac:dyDescent="0.35">
      <c r="A56" s="114"/>
      <c r="B56" s="114"/>
      <c r="C56" s="114"/>
      <c r="D56" s="114"/>
      <c r="E56" s="114"/>
      <c r="G56" s="114"/>
      <c r="H56" s="114"/>
      <c r="I56" s="114"/>
      <c r="J56" s="114"/>
      <c r="K56" s="114"/>
      <c r="L56" s="114"/>
      <c r="M56" s="114"/>
      <c r="N56" s="114"/>
    </row>
    <row r="57" spans="1:14" x14ac:dyDescent="0.35">
      <c r="A57" s="114"/>
      <c r="B57" s="114"/>
      <c r="C57" s="114"/>
      <c r="D57" s="114"/>
      <c r="E57" s="114"/>
      <c r="G57" s="114"/>
      <c r="H57" s="114"/>
      <c r="I57" s="114"/>
      <c r="J57" s="114"/>
      <c r="K57" s="114"/>
      <c r="L57" s="114"/>
      <c r="M57" s="114"/>
      <c r="N57" s="114"/>
    </row>
  </sheetData>
  <mergeCells count="7">
    <mergeCell ref="A52:E57"/>
    <mergeCell ref="G52:N57"/>
    <mergeCell ref="A2:E2"/>
    <mergeCell ref="A1:L1"/>
    <mergeCell ref="D10:E10"/>
    <mergeCell ref="A10:B10"/>
    <mergeCell ref="D16:G22"/>
  </mergeCells>
  <pageMargins left="0.7" right="0.7" top="0.75" bottom="0.75" header="0.3" footer="0.3"/>
  <ignoredErrors>
    <ignoredError sqref="B27:B29"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3F10F-066B-47A3-B125-BB61E81631C5}">
  <dimension ref="A1:L39"/>
  <sheetViews>
    <sheetView topLeftCell="A7" workbookViewId="0">
      <selection activeCell="F13" sqref="F13"/>
    </sheetView>
  </sheetViews>
  <sheetFormatPr defaultRowHeight="14.5" x14ac:dyDescent="0.35"/>
  <cols>
    <col min="1" max="1" width="26.26953125" customWidth="1"/>
    <col min="2" max="2" width="16.453125" customWidth="1"/>
    <col min="4" max="4" width="21.26953125" customWidth="1"/>
    <col min="5" max="5" width="19.453125" customWidth="1"/>
    <col min="6" max="6" width="16.08984375" customWidth="1"/>
    <col min="7" max="7" width="32.7265625" customWidth="1"/>
    <col min="8" max="8" width="17.6328125" customWidth="1"/>
  </cols>
  <sheetData>
    <row r="1" spans="1:12" ht="26.5" thickBot="1" x14ac:dyDescent="0.65">
      <c r="A1" s="70" t="s">
        <v>83</v>
      </c>
      <c r="B1" s="106"/>
      <c r="C1" s="106"/>
      <c r="D1" s="106"/>
      <c r="E1" s="106"/>
      <c r="F1" s="106"/>
      <c r="G1" s="106"/>
      <c r="H1" s="106"/>
      <c r="I1" s="106"/>
      <c r="J1" s="106"/>
      <c r="K1" s="106"/>
      <c r="L1" s="107"/>
    </row>
    <row r="2" spans="1:12" x14ac:dyDescent="0.35">
      <c r="A2" s="105" t="s">
        <v>51</v>
      </c>
      <c r="B2" s="105"/>
      <c r="C2" s="105"/>
      <c r="D2" s="105"/>
      <c r="E2" s="105"/>
    </row>
    <row r="3" spans="1:12" x14ac:dyDescent="0.35">
      <c r="H3" s="22"/>
    </row>
    <row r="4" spans="1:12" x14ac:dyDescent="0.35">
      <c r="A4" s="9" t="s">
        <v>3</v>
      </c>
      <c r="B4" s="9" t="s">
        <v>6</v>
      </c>
      <c r="D4" s="9" t="s">
        <v>12</v>
      </c>
      <c r="E4" s="9" t="s">
        <v>13</v>
      </c>
      <c r="F4" s="9" t="s">
        <v>52</v>
      </c>
      <c r="G4" s="9" t="s">
        <v>80</v>
      </c>
      <c r="H4" s="22"/>
    </row>
    <row r="5" spans="1:12" x14ac:dyDescent="0.35">
      <c r="A5" s="9" t="s">
        <v>4</v>
      </c>
      <c r="B5" s="8">
        <v>240</v>
      </c>
      <c r="D5" s="45">
        <v>1</v>
      </c>
      <c r="E5" s="45">
        <v>8</v>
      </c>
      <c r="F5" s="45">
        <v>3</v>
      </c>
      <c r="G5" s="21">
        <f>B17</f>
        <v>141.85539064300508</v>
      </c>
      <c r="H5" s="22"/>
    </row>
    <row r="6" spans="1:12" x14ac:dyDescent="0.35">
      <c r="A6" s="9" t="s">
        <v>5</v>
      </c>
      <c r="B6" s="8">
        <v>300</v>
      </c>
      <c r="D6" s="45">
        <v>1</v>
      </c>
      <c r="E6" s="45">
        <v>10</v>
      </c>
      <c r="F6" s="45">
        <v>4</v>
      </c>
      <c r="G6" s="21">
        <f>B20</f>
        <v>138.14461087114964</v>
      </c>
    </row>
    <row r="7" spans="1:12" x14ac:dyDescent="0.35">
      <c r="D7" s="44">
        <v>280</v>
      </c>
      <c r="E7" s="44">
        <v>2600</v>
      </c>
      <c r="F7" s="44">
        <v>1100</v>
      </c>
      <c r="G7" s="46" t="s">
        <v>53</v>
      </c>
    </row>
    <row r="9" spans="1:12" x14ac:dyDescent="0.35">
      <c r="A9" s="43" t="s">
        <v>7</v>
      </c>
      <c r="B9" s="7"/>
    </row>
    <row r="10" spans="1:12" x14ac:dyDescent="0.35">
      <c r="A10" s="110" t="s">
        <v>67</v>
      </c>
      <c r="B10" s="111"/>
      <c r="C10" s="19"/>
      <c r="D10" s="108" t="s">
        <v>68</v>
      </c>
      <c r="E10" s="109"/>
    </row>
    <row r="11" spans="1:12" x14ac:dyDescent="0.35">
      <c r="A11" s="42" t="s">
        <v>82</v>
      </c>
      <c r="B11" s="53">
        <v>1733350.64</v>
      </c>
      <c r="C11" s="19"/>
      <c r="D11" s="42" t="s">
        <v>82</v>
      </c>
      <c r="E11" s="53">
        <v>1099135.82</v>
      </c>
    </row>
    <row r="12" spans="1:12" x14ac:dyDescent="0.35">
      <c r="A12" s="42" t="s">
        <v>8</v>
      </c>
      <c r="B12" s="8">
        <v>-1.36</v>
      </c>
      <c r="C12" s="19"/>
      <c r="D12" s="42" t="s">
        <v>8</v>
      </c>
      <c r="E12" s="8">
        <v>-1.25</v>
      </c>
    </row>
    <row r="15" spans="1:12" x14ac:dyDescent="0.35">
      <c r="A15" s="43" t="s">
        <v>9</v>
      </c>
    </row>
    <row r="16" spans="1:12" x14ac:dyDescent="0.35">
      <c r="A16" s="9" t="s">
        <v>69</v>
      </c>
      <c r="B16" s="48">
        <v>1011.9915771484375</v>
      </c>
      <c r="D16" s="114" t="s">
        <v>96</v>
      </c>
      <c r="E16" s="114"/>
      <c r="F16" s="114"/>
      <c r="G16" s="114"/>
    </row>
    <row r="17" spans="1:7" x14ac:dyDescent="0.35">
      <c r="A17" s="9" t="s">
        <v>74</v>
      </c>
      <c r="B17" s="47">
        <f>B11*B16^B12</f>
        <v>141.85539064300508</v>
      </c>
      <c r="D17" s="114"/>
      <c r="E17" s="114"/>
      <c r="F17" s="114"/>
      <c r="G17" s="114"/>
    </row>
    <row r="18" spans="1:7" x14ac:dyDescent="0.35">
      <c r="A18" s="9" t="s">
        <v>71</v>
      </c>
      <c r="B18" s="21">
        <f>(B16-B5)*B17</f>
        <v>109511.16674950119</v>
      </c>
      <c r="D18" s="114"/>
      <c r="E18" s="114"/>
      <c r="F18" s="114"/>
      <c r="G18" s="114"/>
    </row>
    <row r="19" spans="1:7" x14ac:dyDescent="0.35">
      <c r="A19" s="9" t="s">
        <v>70</v>
      </c>
      <c r="B19" s="48">
        <v>1320</v>
      </c>
      <c r="D19" s="114"/>
      <c r="E19" s="114"/>
      <c r="F19" s="114"/>
      <c r="G19" s="114"/>
    </row>
    <row r="20" spans="1:7" x14ac:dyDescent="0.35">
      <c r="A20" s="9" t="s">
        <v>73</v>
      </c>
      <c r="B20" s="47">
        <f>E11*B19^E12</f>
        <v>138.14461087114964</v>
      </c>
      <c r="D20" s="114"/>
      <c r="E20" s="114"/>
      <c r="F20" s="114"/>
      <c r="G20" s="114"/>
    </row>
    <row r="21" spans="1:7" x14ac:dyDescent="0.35">
      <c r="A21" s="9" t="s">
        <v>72</v>
      </c>
      <c r="B21" s="21">
        <f>(B19-B6)*B20</f>
        <v>140907.50308857264</v>
      </c>
      <c r="D21" s="114"/>
      <c r="E21" s="114"/>
      <c r="F21" s="114"/>
      <c r="G21" s="114"/>
    </row>
    <row r="22" spans="1:7" ht="29" x14ac:dyDescent="0.35">
      <c r="A22" s="55" t="s">
        <v>58</v>
      </c>
      <c r="B22" s="48">
        <f>SUM(B18,B21)</f>
        <v>250418.66983807384</v>
      </c>
      <c r="D22" s="114"/>
      <c r="E22" s="114"/>
      <c r="F22" s="114"/>
      <c r="G22" s="114"/>
    </row>
    <row r="23" spans="1:7" x14ac:dyDescent="0.35">
      <c r="B23" s="22"/>
    </row>
    <row r="24" spans="1:7" x14ac:dyDescent="0.35">
      <c r="A24" s="52" t="s">
        <v>10</v>
      </c>
      <c r="B24" s="22"/>
    </row>
    <row r="25" spans="1:7" x14ac:dyDescent="0.35">
      <c r="A25" s="61" t="s">
        <v>77</v>
      </c>
      <c r="B25" s="50">
        <f>B16</f>
        <v>1011.9915771484375</v>
      </c>
      <c r="C25" s="9" t="s">
        <v>79</v>
      </c>
      <c r="D25" s="51">
        <v>240</v>
      </c>
    </row>
    <row r="26" spans="1:7" x14ac:dyDescent="0.35">
      <c r="A26" s="61" t="s">
        <v>78</v>
      </c>
      <c r="B26" s="50">
        <f>B19</f>
        <v>1320</v>
      </c>
      <c r="C26" s="9" t="s">
        <v>79</v>
      </c>
      <c r="D26" s="51">
        <v>300</v>
      </c>
    </row>
    <row r="27" spans="1:7" x14ac:dyDescent="0.35">
      <c r="A27" s="9" t="s">
        <v>54</v>
      </c>
      <c r="B27" s="50">
        <f>SUMPRODUCT(D5:D6,G5:G6)</f>
        <v>280.00000151415475</v>
      </c>
      <c r="C27" s="9" t="s">
        <v>11</v>
      </c>
      <c r="D27" s="51">
        <v>280</v>
      </c>
      <c r="E27" s="54" t="s">
        <v>62</v>
      </c>
    </row>
    <row r="28" spans="1:7" x14ac:dyDescent="0.35">
      <c r="A28" s="9" t="s">
        <v>55</v>
      </c>
      <c r="B28" s="50">
        <f>SUMPRODUCT(E5:E6,G5:G6)</f>
        <v>2516.2892338555371</v>
      </c>
      <c r="C28" s="9" t="s">
        <v>11</v>
      </c>
      <c r="D28" s="51">
        <v>2600</v>
      </c>
    </row>
    <row r="29" spans="1:7" x14ac:dyDescent="0.35">
      <c r="A29" s="9" t="s">
        <v>56</v>
      </c>
      <c r="B29" s="50">
        <f>SUMPRODUCT(F5:F6,G5:G6)</f>
        <v>978.14461541361379</v>
      </c>
      <c r="C29" s="9" t="s">
        <v>11</v>
      </c>
      <c r="D29" s="51">
        <v>1100</v>
      </c>
    </row>
    <row r="30" spans="1:7" x14ac:dyDescent="0.35">
      <c r="A30" s="60" t="s">
        <v>60</v>
      </c>
      <c r="B30" s="50">
        <f>B16</f>
        <v>1011.9915771484375</v>
      </c>
      <c r="C30" s="9" t="s">
        <v>11</v>
      </c>
      <c r="D30" s="51">
        <v>1100</v>
      </c>
      <c r="E30" s="112" t="s">
        <v>61</v>
      </c>
    </row>
    <row r="31" spans="1:7" x14ac:dyDescent="0.35">
      <c r="A31" s="60" t="s">
        <v>59</v>
      </c>
      <c r="B31" s="50">
        <f>B19</f>
        <v>1320</v>
      </c>
      <c r="C31" s="9" t="s">
        <v>11</v>
      </c>
      <c r="D31" s="51">
        <v>1320</v>
      </c>
      <c r="E31" s="112"/>
      <c r="F31" s="54" t="s">
        <v>62</v>
      </c>
    </row>
    <row r="35" spans="1:1" x14ac:dyDescent="0.35">
      <c r="A35" s="62"/>
    </row>
    <row r="36" spans="1:1" x14ac:dyDescent="0.35">
      <c r="A36" s="62"/>
    </row>
    <row r="37" spans="1:1" x14ac:dyDescent="0.35">
      <c r="A37" s="49"/>
    </row>
    <row r="38" spans="1:1" x14ac:dyDescent="0.35">
      <c r="A38" s="49"/>
    </row>
    <row r="39" spans="1:1" x14ac:dyDescent="0.35">
      <c r="A39" s="49"/>
    </row>
  </sheetData>
  <mergeCells count="6">
    <mergeCell ref="A1:L1"/>
    <mergeCell ref="A2:E2"/>
    <mergeCell ref="A10:B10"/>
    <mergeCell ref="D10:E10"/>
    <mergeCell ref="E30:E31"/>
    <mergeCell ref="D16:G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B9B78-FD8A-4499-B77A-E79CC80100D9}">
  <dimension ref="A1:B15"/>
  <sheetViews>
    <sheetView workbookViewId="0"/>
  </sheetViews>
  <sheetFormatPr defaultRowHeight="14.5" x14ac:dyDescent="0.35"/>
  <sheetData>
    <row r="1" spans="1:2" x14ac:dyDescent="0.35">
      <c r="A1">
        <v>1</v>
      </c>
    </row>
    <row r="2" spans="1:2" x14ac:dyDescent="0.35">
      <c r="A2" t="s">
        <v>97</v>
      </c>
    </row>
    <row r="3" spans="1:2" x14ac:dyDescent="0.35">
      <c r="A3">
        <v>1</v>
      </c>
    </row>
    <row r="4" spans="1:2" x14ac:dyDescent="0.35">
      <c r="A4">
        <v>500</v>
      </c>
    </row>
    <row r="5" spans="1:2" x14ac:dyDescent="0.35">
      <c r="A5">
        <v>1500</v>
      </c>
    </row>
    <row r="6" spans="1:2" x14ac:dyDescent="0.35">
      <c r="A6">
        <v>20</v>
      </c>
    </row>
    <row r="8" spans="1:2" x14ac:dyDescent="0.35">
      <c r="A8" s="10"/>
      <c r="B8" s="10"/>
    </row>
    <row r="9" spans="1:2" x14ac:dyDescent="0.35">
      <c r="A9" t="s">
        <v>98</v>
      </c>
    </row>
    <row r="10" spans="1:2" x14ac:dyDescent="0.35">
      <c r="A10" t="s">
        <v>14</v>
      </c>
    </row>
    <row r="15" spans="1:2" x14ac:dyDescent="0.35">
      <c r="B15"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E897-CB96-469B-9CDD-5E3952317AC7}">
  <dimension ref="A1:T55"/>
  <sheetViews>
    <sheetView tabSelected="1" topLeftCell="A16" workbookViewId="0">
      <selection activeCell="V41" sqref="V41"/>
    </sheetView>
  </sheetViews>
  <sheetFormatPr defaultRowHeight="14.5" x14ac:dyDescent="0.35"/>
  <cols>
    <col min="6" max="6" width="9.36328125" bestFit="1" customWidth="1"/>
  </cols>
  <sheetData>
    <row r="1" spans="1:11" x14ac:dyDescent="0.35">
      <c r="A1" s="6" t="s">
        <v>15</v>
      </c>
      <c r="K1" s="16" t="str">
        <f>CONCATENATE("Sensitivity of ",$K$4," to ","Affect of changes in the maximum number of labor hours ")</f>
        <v xml:space="preserve">Sensitivity of $B$22 to Affect of changes in the maximum number of labor hours </v>
      </c>
    </row>
    <row r="3" spans="1:11" x14ac:dyDescent="0.35">
      <c r="A3" t="s">
        <v>99</v>
      </c>
      <c r="K3" t="s">
        <v>20</v>
      </c>
    </row>
    <row r="4" spans="1:11" ht="32.5" x14ac:dyDescent="0.35">
      <c r="B4" s="11" t="s">
        <v>16</v>
      </c>
      <c r="C4" s="11" t="s">
        <v>17</v>
      </c>
      <c r="D4" s="11" t="s">
        <v>18</v>
      </c>
      <c r="E4" s="11" t="s">
        <v>19</v>
      </c>
      <c r="F4" s="11" t="s">
        <v>100</v>
      </c>
      <c r="J4" s="16">
        <f>MATCH($K$4,OutputAddresses,0)</f>
        <v>5</v>
      </c>
      <c r="K4" s="15" t="s">
        <v>100</v>
      </c>
    </row>
    <row r="5" spans="1:11" x14ac:dyDescent="0.35">
      <c r="A5" s="115">
        <v>500</v>
      </c>
      <c r="B5" s="17" t="s">
        <v>21</v>
      </c>
      <c r="C5" s="12"/>
      <c r="D5" s="12"/>
      <c r="E5" s="12"/>
      <c r="F5" s="13"/>
      <c r="K5">
        <f>INDEX(OutputValues,1,$J$4)</f>
        <v>0</v>
      </c>
    </row>
    <row r="6" spans="1:11" x14ac:dyDescent="0.35">
      <c r="A6" s="115">
        <v>520</v>
      </c>
      <c r="B6" s="18" t="s">
        <v>21</v>
      </c>
      <c r="C6" s="116"/>
      <c r="D6" s="116"/>
      <c r="E6" s="116"/>
      <c r="F6" s="14"/>
      <c r="K6">
        <f>INDEX(OutputValues,2,$J$4)</f>
        <v>0</v>
      </c>
    </row>
    <row r="7" spans="1:11" x14ac:dyDescent="0.35">
      <c r="A7" s="115">
        <v>540</v>
      </c>
      <c r="B7" s="18" t="s">
        <v>21</v>
      </c>
      <c r="C7" s="116"/>
      <c r="D7" s="116"/>
      <c r="E7" s="116"/>
      <c r="F7" s="14"/>
      <c r="K7">
        <f>INDEX(OutputValues,3,$J$4)</f>
        <v>0</v>
      </c>
    </row>
    <row r="8" spans="1:11" x14ac:dyDescent="0.35">
      <c r="A8" s="115">
        <v>560</v>
      </c>
      <c r="B8" s="18" t="s">
        <v>21</v>
      </c>
      <c r="C8" s="116"/>
      <c r="D8" s="116"/>
      <c r="E8" s="116"/>
      <c r="F8" s="14"/>
      <c r="K8">
        <f>INDEX(OutputValues,4,$J$4)</f>
        <v>0</v>
      </c>
    </row>
    <row r="9" spans="1:11" x14ac:dyDescent="0.35">
      <c r="A9" s="115">
        <v>580</v>
      </c>
      <c r="B9" s="18" t="s">
        <v>21</v>
      </c>
      <c r="C9" s="116"/>
      <c r="D9" s="116"/>
      <c r="E9" s="116"/>
      <c r="F9" s="14"/>
      <c r="K9">
        <f>INDEX(OutputValues,5,$J$4)</f>
        <v>0</v>
      </c>
    </row>
    <row r="10" spans="1:11" x14ac:dyDescent="0.35">
      <c r="A10" s="115">
        <v>600</v>
      </c>
      <c r="B10" s="18" t="s">
        <v>21</v>
      </c>
      <c r="C10" s="116"/>
      <c r="D10" s="116"/>
      <c r="E10" s="116"/>
      <c r="F10" s="14"/>
      <c r="K10">
        <f>INDEX(OutputValues,6,$J$4)</f>
        <v>0</v>
      </c>
    </row>
    <row r="11" spans="1:11" x14ac:dyDescent="0.35">
      <c r="A11" s="115">
        <v>620</v>
      </c>
      <c r="B11" s="18" t="s">
        <v>21</v>
      </c>
      <c r="C11" s="116"/>
      <c r="D11" s="116"/>
      <c r="E11" s="116"/>
      <c r="F11" s="14"/>
      <c r="K11">
        <f>INDEX(OutputValues,7,$J$4)</f>
        <v>0</v>
      </c>
    </row>
    <row r="12" spans="1:11" x14ac:dyDescent="0.35">
      <c r="A12" s="115">
        <v>640</v>
      </c>
      <c r="B12" s="18" t="s">
        <v>21</v>
      </c>
      <c r="C12" s="116"/>
      <c r="D12" s="116"/>
      <c r="E12" s="116"/>
      <c r="F12" s="14"/>
      <c r="K12">
        <f>INDEX(OutputValues,8,$J$4)</f>
        <v>0</v>
      </c>
    </row>
    <row r="13" spans="1:11" x14ac:dyDescent="0.35">
      <c r="A13" s="115">
        <v>660</v>
      </c>
      <c r="B13" s="18" t="s">
        <v>21</v>
      </c>
      <c r="C13" s="116"/>
      <c r="D13" s="116"/>
      <c r="E13" s="116"/>
      <c r="F13" s="14"/>
      <c r="K13">
        <f>INDEX(OutputValues,9,$J$4)</f>
        <v>0</v>
      </c>
    </row>
    <row r="14" spans="1:11" x14ac:dyDescent="0.35">
      <c r="A14" s="115">
        <v>680</v>
      </c>
      <c r="B14" s="18" t="s">
        <v>21</v>
      </c>
      <c r="C14" s="116"/>
      <c r="D14" s="116"/>
      <c r="E14" s="116"/>
      <c r="F14" s="14"/>
      <c r="K14">
        <f>INDEX(OutputValues,10,$J$4)</f>
        <v>0</v>
      </c>
    </row>
    <row r="15" spans="1:11" x14ac:dyDescent="0.35">
      <c r="A15" s="115">
        <v>700</v>
      </c>
      <c r="B15" s="18" t="s">
        <v>21</v>
      </c>
      <c r="C15" s="116"/>
      <c r="D15" s="116"/>
      <c r="E15" s="116"/>
      <c r="F15" s="14"/>
      <c r="K15">
        <f>INDEX(OutputValues,11,$J$4)</f>
        <v>0</v>
      </c>
    </row>
    <row r="16" spans="1:11" x14ac:dyDescent="0.35">
      <c r="A16" s="115">
        <v>720</v>
      </c>
      <c r="B16" s="18" t="s">
        <v>21</v>
      </c>
      <c r="C16" s="116"/>
      <c r="D16" s="116"/>
      <c r="E16" s="116"/>
      <c r="F16" s="14"/>
      <c r="K16">
        <f>INDEX(OutputValues,12,$J$4)</f>
        <v>0</v>
      </c>
    </row>
    <row r="17" spans="1:20" x14ac:dyDescent="0.35">
      <c r="A17" s="115">
        <v>740</v>
      </c>
      <c r="B17" s="18" t="s">
        <v>21</v>
      </c>
      <c r="C17" s="116"/>
      <c r="D17" s="116"/>
      <c r="E17" s="116"/>
      <c r="F17" s="14"/>
      <c r="K17">
        <f>INDEX(OutputValues,13,$J$4)</f>
        <v>0</v>
      </c>
    </row>
    <row r="18" spans="1:20" x14ac:dyDescent="0.35">
      <c r="A18" s="115">
        <v>760</v>
      </c>
      <c r="B18" s="18" t="s">
        <v>21</v>
      </c>
      <c r="C18" s="116"/>
      <c r="D18" s="116"/>
      <c r="E18" s="116"/>
      <c r="F18" s="14"/>
      <c r="K18">
        <f>INDEX(OutputValues,14,$J$4)</f>
        <v>0</v>
      </c>
    </row>
    <row r="19" spans="1:20" x14ac:dyDescent="0.35">
      <c r="A19" s="115">
        <v>780</v>
      </c>
      <c r="B19" s="18" t="s">
        <v>21</v>
      </c>
      <c r="C19" s="116"/>
      <c r="D19" s="116"/>
      <c r="E19" s="116"/>
      <c r="F19" s="14"/>
      <c r="K19">
        <f>INDEX(OutputValues,15,$J$4)</f>
        <v>0</v>
      </c>
    </row>
    <row r="20" spans="1:20" x14ac:dyDescent="0.35">
      <c r="A20" s="115">
        <v>800</v>
      </c>
      <c r="B20" s="18" t="s">
        <v>21</v>
      </c>
      <c r="C20" s="116"/>
      <c r="D20" s="116"/>
      <c r="E20" s="116"/>
      <c r="F20" s="14"/>
      <c r="K20">
        <f>INDEX(OutputValues,16,$J$4)</f>
        <v>0</v>
      </c>
    </row>
    <row r="21" spans="1:20" x14ac:dyDescent="0.35">
      <c r="A21" s="115">
        <v>820</v>
      </c>
      <c r="B21" s="18" t="s">
        <v>21</v>
      </c>
      <c r="C21" s="116"/>
      <c r="D21" s="116"/>
      <c r="E21" s="116"/>
      <c r="F21" s="14"/>
      <c r="K21">
        <f>INDEX(OutputValues,17,$J$4)</f>
        <v>0</v>
      </c>
    </row>
    <row r="22" spans="1:20" x14ac:dyDescent="0.35">
      <c r="A22" s="115">
        <v>840</v>
      </c>
      <c r="B22" s="18" t="s">
        <v>21</v>
      </c>
      <c r="C22" s="116"/>
      <c r="D22" s="116"/>
      <c r="E22" s="116"/>
      <c r="F22" s="14"/>
      <c r="K22">
        <f>INDEX(OutputValues,18,$J$4)</f>
        <v>0</v>
      </c>
    </row>
    <row r="23" spans="1:20" x14ac:dyDescent="0.35">
      <c r="A23" s="115">
        <v>860</v>
      </c>
      <c r="B23" s="18" t="s">
        <v>21</v>
      </c>
      <c r="C23" s="116"/>
      <c r="D23" s="116"/>
      <c r="E23" s="116"/>
      <c r="F23" s="14"/>
      <c r="K23">
        <f>INDEX(OutputValues,19,$J$4)</f>
        <v>0</v>
      </c>
    </row>
    <row r="24" spans="1:20" x14ac:dyDescent="0.35">
      <c r="A24" s="115">
        <v>880</v>
      </c>
      <c r="B24" s="18" t="s">
        <v>21</v>
      </c>
      <c r="C24" s="116"/>
      <c r="D24" s="116"/>
      <c r="E24" s="116"/>
      <c r="F24" s="14"/>
      <c r="K24">
        <f>INDEX(OutputValues,20,$J$4)</f>
        <v>0</v>
      </c>
    </row>
    <row r="25" spans="1:20" x14ac:dyDescent="0.35">
      <c r="A25" s="115">
        <v>900</v>
      </c>
      <c r="B25" s="18" t="s">
        <v>21</v>
      </c>
      <c r="C25" s="116"/>
      <c r="D25" s="116"/>
      <c r="E25" s="116"/>
      <c r="F25" s="14"/>
      <c r="K25">
        <f>INDEX(OutputValues,21,$J$4)</f>
        <v>0</v>
      </c>
      <c r="M25" s="113" t="s">
        <v>102</v>
      </c>
      <c r="N25" s="113"/>
      <c r="O25" s="113"/>
      <c r="P25" s="113"/>
      <c r="Q25" s="113"/>
      <c r="R25" s="113"/>
      <c r="S25" s="113"/>
      <c r="T25" s="113"/>
    </row>
    <row r="26" spans="1:20" x14ac:dyDescent="0.35">
      <c r="A26" s="115">
        <v>920</v>
      </c>
      <c r="B26" s="18" t="s">
        <v>21</v>
      </c>
      <c r="C26" s="116"/>
      <c r="D26" s="116"/>
      <c r="E26" s="116"/>
      <c r="F26" s="14"/>
      <c r="K26">
        <f>INDEX(OutputValues,22,$J$4)</f>
        <v>0</v>
      </c>
      <c r="M26" s="113"/>
      <c r="N26" s="113"/>
      <c r="O26" s="113"/>
      <c r="P26" s="113"/>
      <c r="Q26" s="113"/>
      <c r="R26" s="113"/>
      <c r="S26" s="113"/>
      <c r="T26" s="113"/>
    </row>
    <row r="27" spans="1:20" x14ac:dyDescent="0.35">
      <c r="A27" s="115">
        <v>940</v>
      </c>
      <c r="B27" s="117">
        <v>1084.3378846362698</v>
      </c>
      <c r="C27" s="118">
        <v>129.14051868942227</v>
      </c>
      <c r="D27" s="118">
        <v>1320</v>
      </c>
      <c r="E27" s="118">
        <v>138.14461087114964</v>
      </c>
      <c r="F27" s="119">
        <v>249945.73545963009</v>
      </c>
      <c r="K27">
        <f>INDEX(OutputValues,23,$J$4)</f>
        <v>249945.73545963009</v>
      </c>
      <c r="M27" s="113"/>
      <c r="N27" s="113"/>
      <c r="O27" s="113"/>
      <c r="P27" s="113"/>
      <c r="Q27" s="113"/>
      <c r="R27" s="113"/>
      <c r="S27" s="113"/>
      <c r="T27" s="113"/>
    </row>
    <row r="28" spans="1:20" x14ac:dyDescent="0.35">
      <c r="A28" s="123">
        <v>960</v>
      </c>
      <c r="B28" s="124">
        <v>1044.9390015314073</v>
      </c>
      <c r="C28" s="125">
        <v>135.80718518145773</v>
      </c>
      <c r="D28" s="125">
        <v>1320</v>
      </c>
      <c r="E28" s="125">
        <v>138.14461087114964</v>
      </c>
      <c r="F28" s="126">
        <v>250224.00312932616</v>
      </c>
      <c r="K28">
        <f>INDEX(OutputValues,24,$J$4)</f>
        <v>250224.00312932616</v>
      </c>
      <c r="M28" s="113"/>
      <c r="N28" s="113"/>
      <c r="O28" s="113"/>
      <c r="P28" s="113"/>
      <c r="Q28" s="113"/>
      <c r="R28" s="113"/>
      <c r="S28" s="113"/>
      <c r="T28" s="113"/>
    </row>
    <row r="29" spans="1:20" x14ac:dyDescent="0.35">
      <c r="A29" s="123">
        <v>980</v>
      </c>
      <c r="B29" s="124">
        <v>1011.9915810453858</v>
      </c>
      <c r="C29" s="125">
        <v>141.85538990010133</v>
      </c>
      <c r="D29" s="125">
        <v>1320</v>
      </c>
      <c r="E29" s="125">
        <v>138.14461087114964</v>
      </c>
      <c r="F29" s="126">
        <v>250418.66981736152</v>
      </c>
      <c r="G29" s="54" t="s">
        <v>101</v>
      </c>
      <c r="H29" s="127"/>
      <c r="I29" s="127"/>
      <c r="K29">
        <f>INDEX(OutputValues,25,$J$4)</f>
        <v>250418.66981736152</v>
      </c>
      <c r="M29" s="113"/>
      <c r="N29" s="113"/>
      <c r="O29" s="113"/>
      <c r="P29" s="113"/>
      <c r="Q29" s="113"/>
      <c r="R29" s="113"/>
      <c r="S29" s="113"/>
      <c r="T29" s="113"/>
    </row>
    <row r="30" spans="1:20" x14ac:dyDescent="0.35">
      <c r="A30" s="115">
        <v>1000</v>
      </c>
      <c r="B30" s="117">
        <v>1011.9915810453858</v>
      </c>
      <c r="C30" s="118">
        <v>141.85538990010133</v>
      </c>
      <c r="D30" s="118">
        <v>1320</v>
      </c>
      <c r="E30" s="118">
        <v>138.14461087114964</v>
      </c>
      <c r="F30" s="119">
        <v>250418.66981736152</v>
      </c>
      <c r="K30">
        <f>INDEX(OutputValues,26,$J$4)</f>
        <v>250418.66981736152</v>
      </c>
      <c r="M30" s="113"/>
      <c r="N30" s="113"/>
      <c r="O30" s="113"/>
      <c r="P30" s="113"/>
      <c r="Q30" s="113"/>
      <c r="R30" s="113"/>
      <c r="S30" s="113"/>
      <c r="T30" s="113"/>
    </row>
    <row r="31" spans="1:20" x14ac:dyDescent="0.35">
      <c r="A31" s="115">
        <v>1020</v>
      </c>
      <c r="B31" s="117">
        <v>1011.9915810453858</v>
      </c>
      <c r="C31" s="118">
        <v>141.85538990010133</v>
      </c>
      <c r="D31" s="118">
        <v>1320</v>
      </c>
      <c r="E31" s="118">
        <v>138.14461087114964</v>
      </c>
      <c r="F31" s="119">
        <v>250418.66981736152</v>
      </c>
      <c r="K31">
        <f>INDEX(OutputValues,27,$J$4)</f>
        <v>250418.66981736152</v>
      </c>
      <c r="M31" s="113"/>
      <c r="N31" s="113"/>
      <c r="O31" s="113"/>
      <c r="P31" s="113"/>
      <c r="Q31" s="113"/>
      <c r="R31" s="113"/>
      <c r="S31" s="113"/>
      <c r="T31" s="113"/>
    </row>
    <row r="32" spans="1:20" x14ac:dyDescent="0.35">
      <c r="A32" s="115">
        <v>1040</v>
      </c>
      <c r="B32" s="117">
        <v>1011.9915810453858</v>
      </c>
      <c r="C32" s="118">
        <v>141.85538990010133</v>
      </c>
      <c r="D32" s="118">
        <v>1320</v>
      </c>
      <c r="E32" s="118">
        <v>138.14461087114964</v>
      </c>
      <c r="F32" s="119">
        <v>250418.66981736152</v>
      </c>
      <c r="K32">
        <f>INDEX(OutputValues,28,$J$4)</f>
        <v>250418.66981736152</v>
      </c>
      <c r="M32" s="113"/>
      <c r="N32" s="113"/>
      <c r="O32" s="113"/>
      <c r="P32" s="113"/>
      <c r="Q32" s="113"/>
      <c r="R32" s="113"/>
      <c r="S32" s="113"/>
      <c r="T32" s="113"/>
    </row>
    <row r="33" spans="1:20" x14ac:dyDescent="0.35">
      <c r="A33" s="115">
        <v>1060</v>
      </c>
      <c r="B33" s="117">
        <v>1011.9915810453858</v>
      </c>
      <c r="C33" s="118">
        <v>141.85538990010133</v>
      </c>
      <c r="D33" s="118">
        <v>1320</v>
      </c>
      <c r="E33" s="118">
        <v>138.14461087114964</v>
      </c>
      <c r="F33" s="119">
        <v>250418.66981736152</v>
      </c>
      <c r="K33">
        <f>INDEX(OutputValues,29,$J$4)</f>
        <v>250418.66981736152</v>
      </c>
      <c r="M33" s="113"/>
      <c r="N33" s="113"/>
      <c r="O33" s="113"/>
      <c r="P33" s="113"/>
      <c r="Q33" s="113"/>
      <c r="R33" s="113"/>
      <c r="S33" s="113"/>
      <c r="T33" s="113"/>
    </row>
    <row r="34" spans="1:20" x14ac:dyDescent="0.35">
      <c r="A34" s="115">
        <v>1080</v>
      </c>
      <c r="B34" s="117">
        <v>1011.9915810453858</v>
      </c>
      <c r="C34" s="118">
        <v>141.85538990010133</v>
      </c>
      <c r="D34" s="118">
        <v>1320</v>
      </c>
      <c r="E34" s="118">
        <v>138.14461087114964</v>
      </c>
      <c r="F34" s="119">
        <v>250418.66981736152</v>
      </c>
      <c r="K34">
        <f>INDEX(OutputValues,30,$J$4)</f>
        <v>250418.66981736152</v>
      </c>
      <c r="M34" s="113"/>
      <c r="N34" s="113"/>
      <c r="O34" s="113"/>
      <c r="P34" s="113"/>
      <c r="Q34" s="113"/>
      <c r="R34" s="113"/>
      <c r="S34" s="113"/>
      <c r="T34" s="113"/>
    </row>
    <row r="35" spans="1:20" x14ac:dyDescent="0.35">
      <c r="A35" s="115">
        <v>1100</v>
      </c>
      <c r="B35" s="117">
        <v>1011.9915810453858</v>
      </c>
      <c r="C35" s="118">
        <v>141.85538990010133</v>
      </c>
      <c r="D35" s="118">
        <v>1320</v>
      </c>
      <c r="E35" s="118">
        <v>138.14461087114964</v>
      </c>
      <c r="F35" s="119">
        <v>250418.66981736152</v>
      </c>
      <c r="K35">
        <f>INDEX(OutputValues,31,$J$4)</f>
        <v>250418.66981736152</v>
      </c>
      <c r="M35" s="113"/>
      <c r="N35" s="113"/>
      <c r="O35" s="113"/>
      <c r="P35" s="113"/>
      <c r="Q35" s="113"/>
      <c r="R35" s="113"/>
      <c r="S35" s="113"/>
      <c r="T35" s="113"/>
    </row>
    <row r="36" spans="1:20" x14ac:dyDescent="0.35">
      <c r="A36" s="115">
        <v>1120</v>
      </c>
      <c r="B36" s="117">
        <v>1011.9915810453858</v>
      </c>
      <c r="C36" s="118">
        <v>141.85538990010133</v>
      </c>
      <c r="D36" s="118">
        <v>1320</v>
      </c>
      <c r="E36" s="118">
        <v>138.14461087114964</v>
      </c>
      <c r="F36" s="119">
        <v>250418.66981736152</v>
      </c>
      <c r="K36">
        <f>INDEX(OutputValues,32,$J$4)</f>
        <v>250418.66981736152</v>
      </c>
      <c r="M36" s="113"/>
      <c r="N36" s="113"/>
      <c r="O36" s="113"/>
      <c r="P36" s="113"/>
      <c r="Q36" s="113"/>
      <c r="R36" s="113"/>
      <c r="S36" s="113"/>
      <c r="T36" s="113"/>
    </row>
    <row r="37" spans="1:20" x14ac:dyDescent="0.35">
      <c r="A37" s="115">
        <v>1140</v>
      </c>
      <c r="B37" s="117">
        <v>1011.9915810453858</v>
      </c>
      <c r="C37" s="118">
        <v>141.85538990010133</v>
      </c>
      <c r="D37" s="118">
        <v>1320</v>
      </c>
      <c r="E37" s="118">
        <v>138.14461087114964</v>
      </c>
      <c r="F37" s="119">
        <v>250418.66981736152</v>
      </c>
      <c r="K37">
        <f>INDEX(OutputValues,33,$J$4)</f>
        <v>250418.66981736152</v>
      </c>
      <c r="M37" s="113"/>
      <c r="N37" s="113"/>
      <c r="O37" s="113"/>
      <c r="P37" s="113"/>
      <c r="Q37" s="113"/>
      <c r="R37" s="113"/>
      <c r="S37" s="113"/>
      <c r="T37" s="113"/>
    </row>
    <row r="38" spans="1:20" x14ac:dyDescent="0.35">
      <c r="A38" s="115">
        <v>1160</v>
      </c>
      <c r="B38" s="117">
        <v>1011.9915810453858</v>
      </c>
      <c r="C38" s="118">
        <v>141.85538990010133</v>
      </c>
      <c r="D38" s="118">
        <v>1320</v>
      </c>
      <c r="E38" s="118">
        <v>138.14461087114964</v>
      </c>
      <c r="F38" s="119">
        <v>250418.66981736152</v>
      </c>
      <c r="K38">
        <f>INDEX(OutputValues,34,$J$4)</f>
        <v>250418.66981736152</v>
      </c>
      <c r="M38" s="113"/>
      <c r="N38" s="113"/>
      <c r="O38" s="113"/>
      <c r="P38" s="113"/>
      <c r="Q38" s="113"/>
      <c r="R38" s="113"/>
      <c r="S38" s="113"/>
      <c r="T38" s="113"/>
    </row>
    <row r="39" spans="1:20" x14ac:dyDescent="0.35">
      <c r="A39" s="115">
        <v>1180</v>
      </c>
      <c r="B39" s="117">
        <v>1011.9915810453858</v>
      </c>
      <c r="C39" s="118">
        <v>141.85538990010133</v>
      </c>
      <c r="D39" s="118">
        <v>1320</v>
      </c>
      <c r="E39" s="118">
        <v>138.14461087114964</v>
      </c>
      <c r="F39" s="119">
        <v>250418.66981736152</v>
      </c>
      <c r="K39">
        <f>INDEX(OutputValues,35,$J$4)</f>
        <v>250418.66981736152</v>
      </c>
      <c r="M39" s="113"/>
      <c r="N39" s="113"/>
      <c r="O39" s="113"/>
      <c r="P39" s="113"/>
      <c r="Q39" s="113"/>
      <c r="R39" s="113"/>
      <c r="S39" s="113"/>
      <c r="T39" s="113"/>
    </row>
    <row r="40" spans="1:20" x14ac:dyDescent="0.35">
      <c r="A40" s="115">
        <v>1200</v>
      </c>
      <c r="B40" s="117">
        <v>1011.9915810453858</v>
      </c>
      <c r="C40" s="118">
        <v>141.85538990010133</v>
      </c>
      <c r="D40" s="118">
        <v>1320</v>
      </c>
      <c r="E40" s="118">
        <v>138.14461087114964</v>
      </c>
      <c r="F40" s="119">
        <v>250418.66981736152</v>
      </c>
      <c r="K40">
        <f>INDEX(OutputValues,36,$J$4)</f>
        <v>250418.66981736152</v>
      </c>
      <c r="M40" s="113"/>
      <c r="N40" s="113"/>
      <c r="O40" s="113"/>
      <c r="P40" s="113"/>
      <c r="Q40" s="113"/>
      <c r="R40" s="113"/>
      <c r="S40" s="113"/>
      <c r="T40" s="113"/>
    </row>
    <row r="41" spans="1:20" x14ac:dyDescent="0.35">
      <c r="A41" s="115">
        <v>1220</v>
      </c>
      <c r="B41" s="117">
        <v>1011.9915810453858</v>
      </c>
      <c r="C41" s="118">
        <v>141.85538990010133</v>
      </c>
      <c r="D41" s="118">
        <v>1320</v>
      </c>
      <c r="E41" s="118">
        <v>138.14461087114964</v>
      </c>
      <c r="F41" s="119">
        <v>250418.66981736152</v>
      </c>
      <c r="K41">
        <f>INDEX(OutputValues,37,$J$4)</f>
        <v>250418.66981736152</v>
      </c>
      <c r="M41" s="113"/>
      <c r="N41" s="113"/>
      <c r="O41" s="113"/>
      <c r="P41" s="113"/>
      <c r="Q41" s="113"/>
      <c r="R41" s="113"/>
      <c r="S41" s="113"/>
      <c r="T41" s="113"/>
    </row>
    <row r="42" spans="1:20" x14ac:dyDescent="0.35">
      <c r="A42" s="115">
        <v>1240</v>
      </c>
      <c r="B42" s="117">
        <v>1011.9915810453858</v>
      </c>
      <c r="C42" s="118">
        <v>141.85538990010133</v>
      </c>
      <c r="D42" s="118">
        <v>1320</v>
      </c>
      <c r="E42" s="118">
        <v>138.14461087114964</v>
      </c>
      <c r="F42" s="119">
        <v>250418.66981736152</v>
      </c>
      <c r="K42">
        <f>INDEX(OutputValues,38,$J$4)</f>
        <v>250418.66981736152</v>
      </c>
      <c r="M42" s="113"/>
      <c r="N42" s="113"/>
      <c r="O42" s="113"/>
      <c r="P42" s="113"/>
      <c r="Q42" s="113"/>
      <c r="R42" s="113"/>
      <c r="S42" s="113"/>
      <c r="T42" s="113"/>
    </row>
    <row r="43" spans="1:20" x14ac:dyDescent="0.35">
      <c r="A43" s="115">
        <v>1260</v>
      </c>
      <c r="B43" s="117">
        <v>1011.9915810453858</v>
      </c>
      <c r="C43" s="118">
        <v>141.85538990010133</v>
      </c>
      <c r="D43" s="118">
        <v>1320</v>
      </c>
      <c r="E43" s="118">
        <v>138.14461087114964</v>
      </c>
      <c r="F43" s="119">
        <v>250418.66981736152</v>
      </c>
      <c r="K43">
        <f>INDEX(OutputValues,39,$J$4)</f>
        <v>250418.66981736152</v>
      </c>
      <c r="M43" s="113"/>
      <c r="N43" s="113"/>
      <c r="O43" s="113"/>
      <c r="P43" s="113"/>
      <c r="Q43" s="113"/>
      <c r="R43" s="113"/>
      <c r="S43" s="113"/>
      <c r="T43" s="113"/>
    </row>
    <row r="44" spans="1:20" x14ac:dyDescent="0.35">
      <c r="A44" s="115">
        <v>1280</v>
      </c>
      <c r="B44" s="117">
        <v>1011.9915810453858</v>
      </c>
      <c r="C44" s="118">
        <v>141.85538990010133</v>
      </c>
      <c r="D44" s="118">
        <v>1320</v>
      </c>
      <c r="E44" s="118">
        <v>138.14461087114964</v>
      </c>
      <c r="F44" s="119">
        <v>250418.66981736152</v>
      </c>
      <c r="K44">
        <f>INDEX(OutputValues,40,$J$4)</f>
        <v>250418.66981736152</v>
      </c>
    </row>
    <row r="45" spans="1:20" x14ac:dyDescent="0.35">
      <c r="A45" s="115">
        <v>1300</v>
      </c>
      <c r="B45" s="117">
        <v>1011.9915810453858</v>
      </c>
      <c r="C45" s="118">
        <v>141.85538990010133</v>
      </c>
      <c r="D45" s="118">
        <v>1320</v>
      </c>
      <c r="E45" s="118">
        <v>138.14461087114964</v>
      </c>
      <c r="F45" s="119">
        <v>250418.66981736152</v>
      </c>
      <c r="K45">
        <f>INDEX(OutputValues,41,$J$4)</f>
        <v>250418.66981736152</v>
      </c>
    </row>
    <row r="46" spans="1:20" x14ac:dyDescent="0.35">
      <c r="A46" s="115">
        <v>1320</v>
      </c>
      <c r="B46" s="117">
        <v>1011.9915810453858</v>
      </c>
      <c r="C46" s="118">
        <v>141.85538990010133</v>
      </c>
      <c r="D46" s="118">
        <v>1320</v>
      </c>
      <c r="E46" s="118">
        <v>138.14461087114964</v>
      </c>
      <c r="F46" s="119">
        <v>250418.66981736152</v>
      </c>
      <c r="K46">
        <f>INDEX(OutputValues,42,$J$4)</f>
        <v>250418.66981736152</v>
      </c>
    </row>
    <row r="47" spans="1:20" x14ac:dyDescent="0.35">
      <c r="A47" s="115">
        <v>1340</v>
      </c>
      <c r="B47" s="117">
        <v>1011.9915810453858</v>
      </c>
      <c r="C47" s="118">
        <v>141.85538990010133</v>
      </c>
      <c r="D47" s="118">
        <v>1320</v>
      </c>
      <c r="E47" s="118">
        <v>138.14461087114964</v>
      </c>
      <c r="F47" s="119">
        <v>250418.66981736152</v>
      </c>
      <c r="K47">
        <f>INDEX(OutputValues,43,$J$4)</f>
        <v>250418.66981736152</v>
      </c>
    </row>
    <row r="48" spans="1:20" x14ac:dyDescent="0.35">
      <c r="A48" s="115">
        <v>1360</v>
      </c>
      <c r="B48" s="117">
        <v>1011.9915810453858</v>
      </c>
      <c r="C48" s="118">
        <v>141.85538990010133</v>
      </c>
      <c r="D48" s="118">
        <v>1320</v>
      </c>
      <c r="E48" s="118">
        <v>138.14461087114964</v>
      </c>
      <c r="F48" s="119">
        <v>250418.66981736152</v>
      </c>
      <c r="K48">
        <f>INDEX(OutputValues,44,$J$4)</f>
        <v>250418.66981736152</v>
      </c>
    </row>
    <row r="49" spans="1:11" x14ac:dyDescent="0.35">
      <c r="A49" s="115">
        <v>1380</v>
      </c>
      <c r="B49" s="117">
        <v>1011.9915810453858</v>
      </c>
      <c r="C49" s="118">
        <v>141.85538990010133</v>
      </c>
      <c r="D49" s="118">
        <v>1320</v>
      </c>
      <c r="E49" s="118">
        <v>138.14461087114964</v>
      </c>
      <c r="F49" s="119">
        <v>250418.66981736152</v>
      </c>
      <c r="K49">
        <f>INDEX(OutputValues,45,$J$4)</f>
        <v>250418.66981736152</v>
      </c>
    </row>
    <row r="50" spans="1:11" x14ac:dyDescent="0.35">
      <c r="A50" s="115">
        <v>1400</v>
      </c>
      <c r="B50" s="117">
        <v>1011.9915810453858</v>
      </c>
      <c r="C50" s="118">
        <v>141.85538990010133</v>
      </c>
      <c r="D50" s="118">
        <v>1320</v>
      </c>
      <c r="E50" s="118">
        <v>138.14461087114964</v>
      </c>
      <c r="F50" s="119">
        <v>250418.66981736152</v>
      </c>
      <c r="K50">
        <f>INDEX(OutputValues,46,$J$4)</f>
        <v>250418.66981736152</v>
      </c>
    </row>
    <row r="51" spans="1:11" x14ac:dyDescent="0.35">
      <c r="A51" s="115">
        <v>1420</v>
      </c>
      <c r="B51" s="117">
        <v>1011.9915810453858</v>
      </c>
      <c r="C51" s="118">
        <v>141.85538990010133</v>
      </c>
      <c r="D51" s="118">
        <v>1320</v>
      </c>
      <c r="E51" s="118">
        <v>138.14461087114964</v>
      </c>
      <c r="F51" s="119">
        <v>250418.66981736152</v>
      </c>
      <c r="K51">
        <f>INDEX(OutputValues,47,$J$4)</f>
        <v>250418.66981736152</v>
      </c>
    </row>
    <row r="52" spans="1:11" x14ac:dyDescent="0.35">
      <c r="A52" s="115">
        <v>1440</v>
      </c>
      <c r="B52" s="117">
        <v>1011.9915810453858</v>
      </c>
      <c r="C52" s="118">
        <v>141.85538990010133</v>
      </c>
      <c r="D52" s="118">
        <v>1320</v>
      </c>
      <c r="E52" s="118">
        <v>138.14461087114964</v>
      </c>
      <c r="F52" s="119">
        <v>250418.66981736152</v>
      </c>
      <c r="K52">
        <f>INDEX(OutputValues,48,$J$4)</f>
        <v>250418.66981736152</v>
      </c>
    </row>
    <row r="53" spans="1:11" x14ac:dyDescent="0.35">
      <c r="A53" s="115">
        <v>1460</v>
      </c>
      <c r="B53" s="117">
        <v>1011.9915810453858</v>
      </c>
      <c r="C53" s="118">
        <v>141.85538990010133</v>
      </c>
      <c r="D53" s="118">
        <v>1320</v>
      </c>
      <c r="E53" s="118">
        <v>138.14461087114964</v>
      </c>
      <c r="F53" s="119">
        <v>250418.66981736152</v>
      </c>
      <c r="K53">
        <f>INDEX(OutputValues,49,$J$4)</f>
        <v>250418.66981736152</v>
      </c>
    </row>
    <row r="54" spans="1:11" x14ac:dyDescent="0.35">
      <c r="A54" s="115">
        <v>1480</v>
      </c>
      <c r="B54" s="117">
        <v>1011.9915810453858</v>
      </c>
      <c r="C54" s="118">
        <v>141.85538990010133</v>
      </c>
      <c r="D54" s="118">
        <v>1320</v>
      </c>
      <c r="E54" s="118">
        <v>138.14461087114964</v>
      </c>
      <c r="F54" s="119">
        <v>250418.66981736152</v>
      </c>
      <c r="K54">
        <f>INDEX(OutputValues,50,$J$4)</f>
        <v>250418.66981736152</v>
      </c>
    </row>
    <row r="55" spans="1:11" x14ac:dyDescent="0.35">
      <c r="A55" s="115">
        <v>1500</v>
      </c>
      <c r="B55" s="120">
        <v>1011.9915810453858</v>
      </c>
      <c r="C55" s="121">
        <v>141.85538990010133</v>
      </c>
      <c r="D55" s="121">
        <v>1320</v>
      </c>
      <c r="E55" s="121">
        <v>138.14461087114964</v>
      </c>
      <c r="F55" s="122">
        <v>250418.66981736152</v>
      </c>
      <c r="K55">
        <f>INDEX(OutputValues,51,$J$4)</f>
        <v>250418.66981736152</v>
      </c>
    </row>
  </sheetData>
  <mergeCells count="1">
    <mergeCell ref="M25:T43"/>
  </mergeCells>
  <dataValidations count="1">
    <dataValidation type="list" allowBlank="1" showInputMessage="1" showErrorMessage="1" sqref="K4" xr:uid="{1266B194-1F5D-4780-A307-8499380A7003}">
      <formula1>OutputAddresses</formula1>
    </dataValidation>
  </dataValidation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6CDD56B7C4C1F4EAB5270EAF482DBEB" ma:contentTypeVersion="4" ma:contentTypeDescription="Create a new document." ma:contentTypeScope="" ma:versionID="0832eb79618c99123fab5ec8f2985b69">
  <xsd:schema xmlns:xsd="http://www.w3.org/2001/XMLSchema" xmlns:xs="http://www.w3.org/2001/XMLSchema" xmlns:p="http://schemas.microsoft.com/office/2006/metadata/properties" xmlns:ns3="0e0241be-c10c-4e64-8913-371441d179d8" targetNamespace="http://schemas.microsoft.com/office/2006/metadata/properties" ma:root="true" ma:fieldsID="4aa4b5aac274685b1442d7b1c9b4c9a0" ns3:_="">
    <xsd:import namespace="0e0241be-c10c-4e64-8913-371441d179d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0241be-c10c-4e64-8913-371441d179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965622-8E74-45E6-90A0-256DCC70E2F1}">
  <ds:schemaRefs>
    <ds:schemaRef ds:uri="http://schemas.microsoft.com/sharepoint/v3/contenttype/forms"/>
  </ds:schemaRefs>
</ds:datastoreItem>
</file>

<file path=customXml/itemProps2.xml><?xml version="1.0" encoding="utf-8"?>
<ds:datastoreItem xmlns:ds="http://schemas.openxmlformats.org/officeDocument/2006/customXml" ds:itemID="{19BA98B4-9465-4A39-8A8C-635E341299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0241be-c10c-4e64-8913-371441d179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89306E-335B-4CC3-8A56-51A277E9A085}">
  <ds:schemaRefs>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www.w3.org/XML/1998/namespace"/>
    <ds:schemaRef ds:uri="http://purl.org/dc/dcmitype/"/>
    <ds:schemaRef ds:uri="http://purl.org/dc/terms/"/>
    <ds:schemaRef ds:uri="http://schemas.openxmlformats.org/package/2006/metadata/core-properties"/>
    <ds:schemaRef ds:uri="0e0241be-c10c-4e64-8913-371441d179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Solution 1</vt:lpstr>
      <vt:lpstr>Solution 2</vt:lpstr>
      <vt:lpstr>Solution 3</vt:lpstr>
      <vt:lpstr>Solution 4</vt:lpstr>
      <vt:lpstr>Solution 5</vt:lpstr>
      <vt:lpstr>'Solution 5'!ChartData</vt:lpstr>
      <vt:lpstr>'Solution 5'!InputValues</vt:lpstr>
      <vt:lpstr>'Solution 5'!OutputAddresses</vt:lpstr>
      <vt:lpstr>'Solution 5'!OutputValues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Sharma</dc:creator>
  <cp:lastModifiedBy>Nidhi Sharma</cp:lastModifiedBy>
  <dcterms:created xsi:type="dcterms:W3CDTF">2024-02-17T21:26:30Z</dcterms:created>
  <dcterms:modified xsi:type="dcterms:W3CDTF">2024-02-21T00:15:24Z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0x010100F6CDD56B7C4C1F4EAB5270EAF482DBEB</vt:lpwstr>
  </property>
</Properties>
</file>