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dbank-my.sharepoint.com/personal/niella_nedbank_co_za/Documents/Documents/capacity/"/>
    </mc:Choice>
  </mc:AlternateContent>
  <xr:revisionPtr revIDLastSave="170" documentId="8_{7EB5C50F-E10D-4F47-8B26-B56B985A4EAD}" xr6:coauthVersionLast="47" xr6:coauthVersionMax="47" xr10:uidLastSave="{FB648D6C-9280-7B42-88E6-BB252F6E6894}"/>
  <bookViews>
    <workbookView xWindow="0" yWindow="2280" windowWidth="28380" windowHeight="15640" xr2:uid="{E2F2A543-F399-2F4E-AB56-6657D7158C10}"/>
  </bookViews>
  <sheets>
    <sheet name="nFIT" sheetId="1" r:id="rId1"/>
    <sheet name="PowerHA" sheetId="2" r:id="rId2"/>
    <sheet name="Example - VM Config Data" sheetId="5" r:id="rId3"/>
  </sheets>
  <definedNames>
    <definedName name="_xlnm._FilterDatabase" localSheetId="0" hidden="1">nFIT!$A$1:$AC$34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9" i="1" l="1"/>
  <c r="X38" i="1"/>
  <c r="H44" i="1"/>
  <c r="D44" i="1"/>
  <c r="D45" i="1"/>
  <c r="D46" i="1"/>
  <c r="D47" i="1"/>
  <c r="D43" i="1"/>
  <c r="C44" i="1"/>
  <c r="C45" i="1"/>
  <c r="C46" i="1"/>
  <c r="C47" i="1"/>
  <c r="C43" i="1"/>
  <c r="B47" i="1"/>
  <c r="B46" i="1"/>
  <c r="B45" i="1"/>
  <c r="B44" i="1"/>
  <c r="B43" i="1"/>
  <c r="AD36" i="1"/>
  <c r="AD35" i="1"/>
  <c r="AD29" i="1"/>
  <c r="AD28" i="1"/>
  <c r="Y35" i="1"/>
  <c r="AA35" i="1" s="1"/>
  <c r="Y36" i="1"/>
  <c r="AA36" i="1" s="1"/>
  <c r="Y28" i="1"/>
  <c r="AA28" i="1" s="1"/>
  <c r="Y29" i="1"/>
  <c r="AA29" i="1" s="1"/>
  <c r="AD22" i="1"/>
  <c r="AD21" i="1"/>
  <c r="Y21" i="1"/>
  <c r="AA21" i="1" s="1"/>
  <c r="Y22" i="1"/>
  <c r="AA22" i="1" s="1"/>
  <c r="AD8" i="1"/>
  <c r="AD7" i="1"/>
  <c r="Y7" i="1"/>
  <c r="AA7" i="1" s="1"/>
  <c r="Y8" i="1"/>
  <c r="AA8" i="1" s="1"/>
  <c r="AD14" i="1"/>
  <c r="AD15" i="1"/>
  <c r="Y14" i="1"/>
  <c r="Z14" i="1" s="1"/>
  <c r="Y15" i="1"/>
  <c r="AA15" i="1" s="1"/>
  <c r="G44" i="1" l="1"/>
  <c r="Z35" i="1"/>
  <c r="Z36" i="1"/>
  <c r="Z29" i="1"/>
  <c r="Z28" i="1"/>
  <c r="Z22" i="1"/>
  <c r="Z21" i="1"/>
  <c r="Z8" i="1"/>
  <c r="Z7" i="1"/>
  <c r="AA14" i="1"/>
  <c r="Z15" i="1"/>
  <c r="V42" i="1" l="1" a="1"/>
  <c r="V42" i="1" s="1"/>
  <c r="R42" i="1" a="1"/>
  <c r="R42" i="1" s="1"/>
  <c r="R43" i="1" s="1"/>
  <c r="U42" i="1" a="1"/>
  <c r="U42" i="1" s="1"/>
  <c r="U43" i="1" s="1"/>
  <c r="A43" i="1" a="1"/>
  <c r="A43" i="1" s="1"/>
  <c r="AD9" i="1"/>
  <c r="AD10" i="1"/>
  <c r="AD11" i="1"/>
  <c r="AD12" i="1"/>
  <c r="AD13" i="1"/>
  <c r="AD16" i="1"/>
  <c r="AD17" i="1"/>
  <c r="AD18" i="1"/>
  <c r="AD19" i="1"/>
  <c r="AD20" i="1"/>
  <c r="AD23" i="1"/>
  <c r="AD24" i="1"/>
  <c r="AD25" i="1"/>
  <c r="AD26" i="1"/>
  <c r="AD27" i="1"/>
  <c r="AD30" i="1"/>
  <c r="AD31" i="1"/>
  <c r="AD32" i="1"/>
  <c r="AD33" i="1"/>
  <c r="AD34" i="1"/>
  <c r="AD3" i="1"/>
  <c r="AD4" i="1"/>
  <c r="AD5" i="1"/>
  <c r="AD6" i="1"/>
  <c r="AD2" i="1"/>
  <c r="V43" i="1" l="1"/>
  <c r="R44" i="1"/>
  <c r="R45" i="1" s="1"/>
  <c r="Y3" i="1"/>
  <c r="Z3" i="1" s="1"/>
  <c r="Y4" i="1"/>
  <c r="Z4" i="1" s="1"/>
  <c r="Y5" i="1"/>
  <c r="AA5" i="1" s="1"/>
  <c r="Y6" i="1"/>
  <c r="Y9" i="1" s="1"/>
  <c r="Y16" i="1"/>
  <c r="Y17" i="1"/>
  <c r="Y18" i="1"/>
  <c r="Z18" i="1" s="1"/>
  <c r="Y19" i="1"/>
  <c r="Y20" i="1"/>
  <c r="Y24" i="1"/>
  <c r="H46" i="1" s="1"/>
  <c r="Y30" i="1"/>
  <c r="Y31" i="1"/>
  <c r="AA31" i="1" s="1"/>
  <c r="Y32" i="1"/>
  <c r="Z32" i="1" s="1"/>
  <c r="Y33" i="1"/>
  <c r="Z33" i="1" s="1"/>
  <c r="Y34" i="1"/>
  <c r="Y25" i="1" s="1"/>
  <c r="Y2" i="1"/>
  <c r="Y39" i="1" l="1"/>
  <c r="G45" i="1"/>
  <c r="H45" i="1"/>
  <c r="G47" i="1"/>
  <c r="H47" i="1"/>
  <c r="H43" i="1"/>
  <c r="Y11" i="1"/>
  <c r="G46" i="1"/>
  <c r="G43" i="1"/>
  <c r="F47" i="1"/>
  <c r="F45" i="1"/>
  <c r="F43" i="1"/>
  <c r="E45" i="1"/>
  <c r="Y12" i="1"/>
  <c r="AA12" i="1" s="1"/>
  <c r="E47" i="1"/>
  <c r="Y10" i="1"/>
  <c r="AA10" i="1" s="1"/>
  <c r="E43" i="1"/>
  <c r="Y26" i="1"/>
  <c r="AA26" i="1" s="1"/>
  <c r="Y27" i="1"/>
  <c r="Y13" i="1"/>
  <c r="I47" i="1" s="1" a="1"/>
  <c r="I47" i="1" s="1"/>
  <c r="Y23" i="1"/>
  <c r="C48" i="1"/>
  <c r="Z24" i="1"/>
  <c r="B48" i="1"/>
  <c r="D48" i="1"/>
  <c r="Z30" i="1"/>
  <c r="AA2" i="1"/>
  <c r="Z17" i="1"/>
  <c r="Z6" i="1"/>
  <c r="AA34" i="1"/>
  <c r="AA16" i="1"/>
  <c r="AA19" i="1"/>
  <c r="AA20" i="1"/>
  <c r="AA30" i="1"/>
  <c r="AA24" i="1"/>
  <c r="AA6" i="1"/>
  <c r="AA4" i="1"/>
  <c r="AA18" i="1"/>
  <c r="AA33" i="1"/>
  <c r="AA3" i="1"/>
  <c r="AA17" i="1"/>
  <c r="AA32" i="1"/>
  <c r="Z34" i="1"/>
  <c r="Z31" i="1"/>
  <c r="Z20" i="1"/>
  <c r="Z19" i="1"/>
  <c r="Z16" i="1"/>
  <c r="AA9" i="1"/>
  <c r="Z5" i="1"/>
  <c r="Z2" i="1"/>
  <c r="I43" i="1" l="1" a="1"/>
  <c r="I43" i="1" s="1"/>
  <c r="Y38" i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F46" i="1"/>
  <c r="I46" i="1" a="1"/>
  <c r="I46" i="1" s="1"/>
  <c r="I45" i="1" a="1"/>
  <c r="I45" i="1" s="1"/>
  <c r="I44" i="1" a="1"/>
  <c r="I44" i="1" s="1"/>
  <c r="F44" i="1"/>
  <c r="AA23" i="1"/>
  <c r="E46" i="1"/>
  <c r="E44" i="1"/>
  <c r="AA13" i="1"/>
  <c r="S42" i="1" a="1"/>
  <c r="S42" i="1" s="1"/>
  <c r="S43" i="1" s="1"/>
  <c r="V44" i="1" s="1"/>
  <c r="V45" i="1" s="1"/>
  <c r="H48" i="1"/>
  <c r="G48" i="1"/>
  <c r="Z39" i="1"/>
  <c r="AA39" i="1" s="1"/>
  <c r="Z25" i="1"/>
  <c r="AA25" i="1"/>
  <c r="Z11" i="1"/>
  <c r="AA11" i="1"/>
  <c r="Z27" i="1"/>
  <c r="AA27" i="1"/>
  <c r="Z38" i="1"/>
  <c r="AA38" i="1" s="1"/>
  <c r="Z26" i="1"/>
  <c r="Z23" i="1"/>
  <c r="Z12" i="1"/>
  <c r="Z13" i="1"/>
  <c r="Z10" i="1"/>
  <c r="Z9" i="1"/>
  <c r="J48" i="1" l="1"/>
  <c r="I48" i="1"/>
  <c r="F48" i="1"/>
  <c r="E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14D892DC-4303-AA48-958D-099CDDE13BF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Pressure is True/False based on P-99W1 vs maxcpu check (True : server is flat-lining)</t>
        </r>
      </text>
    </comment>
    <comment ref="Y1" authorId="0" shapeId="0" xr:uid="{07317FA7-77B5-E240-991E-6DDA5126C945}">
      <text>
        <r>
          <rPr>
            <b/>
            <sz val="10"/>
            <color rgb="FF000000"/>
            <rFont val="Tahoma"/>
            <family val="2"/>
          </rPr>
          <t xml:space="preserve">Microsoft Office User: </t>
        </r>
        <r>
          <rPr>
            <sz val="10"/>
            <color rgb="FF000000"/>
            <rFont val="Tahoma"/>
            <family val="2"/>
          </rPr>
          <t>nFit Right Sizing Recommendation</t>
        </r>
      </text>
    </comment>
    <comment ref="AC1" authorId="0" shapeId="0" xr:uid="{6467DD7B-F313-3A4A-8AD4-F57C36F0625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>Double check new pasted values against this column, to detect if LPM or other changes have changed the VM row layout (helpful when you copy and paste new nFit data).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<sst xmlns="http://schemas.openxmlformats.org/spreadsheetml/2006/main" count="435" uniqueCount="159">
  <si>
    <t>VM</t>
  </si>
  <si>
    <t>TIER</t>
  </si>
  <si>
    <t>Hint</t>
  </si>
  <si>
    <t>Pattern</t>
  </si>
  <si>
    <t>Pressure</t>
  </si>
  <si>
    <t>Serial</t>
  </si>
  <si>
    <t>SystemType</t>
  </si>
  <si>
    <t>Pool Name</t>
  </si>
  <si>
    <t>Pool ID</t>
  </si>
  <si>
    <t>Peak</t>
  </si>
  <si>
    <t>P-99W1</t>
  </si>
  <si>
    <t>G1-99W5</t>
  </si>
  <si>
    <t>G2-98W10</t>
  </si>
  <si>
    <t>G3-95W15</t>
  </si>
  <si>
    <t>G4-90W15</t>
  </si>
  <si>
    <t>O1-99W5</t>
  </si>
  <si>
    <t>O2-98W10</t>
  </si>
  <si>
    <t>O3-95W15</t>
  </si>
  <si>
    <t>O4-90W15</t>
  </si>
  <si>
    <t>B1-99W5</t>
  </si>
  <si>
    <t>B2-98W10</t>
  </si>
  <si>
    <t>B3-95W15</t>
  </si>
  <si>
    <t>B4-90W15</t>
  </si>
  <si>
    <t>Current - ENT</t>
  </si>
  <si>
    <t>NFIT - ENT</t>
  </si>
  <si>
    <t>NETT</t>
  </si>
  <si>
    <t>NETT%</t>
  </si>
  <si>
    <t>G3</t>
  </si>
  <si>
    <t>Steady</t>
  </si>
  <si>
    <t>SPLPAR</t>
  </si>
  <si>
    <t>DefaultPool</t>
  </si>
  <si>
    <t>B3</t>
  </si>
  <si>
    <t>Steady Check Duration</t>
  </si>
  <si>
    <t>G3/4</t>
  </si>
  <si>
    <t>G1/2</t>
  </si>
  <si>
    <t>Very Peaky</t>
  </si>
  <si>
    <t>PowerHA Primary (ACTIVE) SPLPAR</t>
  </si>
  <si>
    <t>G2/3</t>
  </si>
  <si>
    <t>Moderately Peaky</t>
  </si>
  <si>
    <t>B2/3</t>
  </si>
  <si>
    <t>Moderately Peaky Check Duration</t>
  </si>
  <si>
    <t>PowerHA Standby (ACTIVE) SPLPAR</t>
  </si>
  <si>
    <t>O3/4</t>
  </si>
  <si>
    <t>PowerHA Broken/Unknown SPLPAR</t>
  </si>
  <si>
    <t>G2</t>
  </si>
  <si>
    <t>P</t>
  </si>
  <si>
    <t>VIO Server</t>
  </si>
  <si>
    <t>nethost</t>
  </si>
  <si>
    <t>O3</t>
  </si>
  <si>
    <t>G1</t>
  </si>
  <si>
    <t>O1</t>
  </si>
  <si>
    <t>Excl. SBY</t>
  </si>
  <si>
    <t>Incl. SBY</t>
  </si>
  <si>
    <t>Comments</t>
  </si>
  <si>
    <t>DoubleCheck</t>
  </si>
  <si>
    <t>MATCH</t>
  </si>
  <si>
    <t>ENT</t>
  </si>
  <si>
    <t>ENT-HA</t>
  </si>
  <si>
    <t>ENT-NFIT</t>
  </si>
  <si>
    <t>NFIT-ENT-NO-VIO</t>
  </si>
  <si>
    <t>Largest PowerHA</t>
  </si>
  <si>
    <t>PowerHA SBY% TGT</t>
  </si>
  <si>
    <t>Largest Frame</t>
  </si>
  <si>
    <t>Largest PowerHA ENT</t>
  </si>
  <si>
    <t>Frame Evac - Max Required</t>
  </si>
  <si>
    <t>Largest Frame ENT (Excl. VIO)</t>
  </si>
  <si>
    <t>Total</t>
  </si>
  <si>
    <t>NFIT-ENT-NO-POWERHA-STANDBY</t>
  </si>
  <si>
    <t>NFIT-ENT-NO-POWERHA-SBY-NO-VIO</t>
  </si>
  <si>
    <t>NFIT-ENT-POWERHA-SBY-AS-IS</t>
  </si>
  <si>
    <t>NFIT-ENT-POWERHA-SBY-AS-IS-NOVIO</t>
  </si>
  <si>
    <t>ENT-NOVIO</t>
  </si>
  <si>
    <t>Frame Evac - Required per frame</t>
  </si>
  <si>
    <t>Data Age</t>
  </si>
  <si>
    <t>AS-IS</t>
  </si>
  <si>
    <t>NFIT</t>
  </si>
  <si>
    <t>testvm1</t>
  </si>
  <si>
    <t>testvm2</t>
  </si>
  <si>
    <t>IBM,02788AA20</t>
  </si>
  <si>
    <t>IBM,02788AA21</t>
  </si>
  <si>
    <t>IBM,02788AA22</t>
  </si>
  <si>
    <t>IBM,02788AA23</t>
  </si>
  <si>
    <t>IBM,02788AA24</t>
  </si>
  <si>
    <t>appserver1</t>
  </si>
  <si>
    <t>appserver2</t>
  </si>
  <si>
    <t>monitor1</t>
  </si>
  <si>
    <t>dumpserver1</t>
  </si>
  <si>
    <t>dumpserver2</t>
  </si>
  <si>
    <t>teller1</t>
  </si>
  <si>
    <t>teller2</t>
  </si>
  <si>
    <t>workflow1</t>
  </si>
  <si>
    <t>workflow2</t>
  </si>
  <si>
    <t>db2server1</t>
  </si>
  <si>
    <t>db2server2</t>
  </si>
  <si>
    <t>gateway1</t>
  </si>
  <si>
    <t>gateway2</t>
  </si>
  <si>
    <t>balancer1</t>
  </si>
  <si>
    <t>balancer2</t>
  </si>
  <si>
    <t>instanceb1</t>
  </si>
  <si>
    <t>instanceb2</t>
  </si>
  <si>
    <t>instancec1</t>
  </si>
  <si>
    <t>instancec2</t>
  </si>
  <si>
    <t>ibmsrv1</t>
  </si>
  <si>
    <t>ibmsrv2</t>
  </si>
  <si>
    <t>finsrv1</t>
  </si>
  <si>
    <t>finsrv2</t>
  </si>
  <si>
    <t>logic1</t>
  </si>
  <si>
    <t>logic2</t>
  </si>
  <si>
    <t>deploy1</t>
  </si>
  <si>
    <t>deploy2</t>
  </si>
  <si>
    <t>mqserver1</t>
  </si>
  <si>
    <t>PoolA</t>
  </si>
  <si>
    <t>PoolC</t>
  </si>
  <si>
    <t>PoolB</t>
  </si>
  <si>
    <t>2025-05-025</t>
  </si>
  <si>
    <t>Managed System</t>
  </si>
  <si>
    <t>m1vio1</t>
  </si>
  <si>
    <t>m1vio2</t>
  </si>
  <si>
    <t>m2vio1</t>
  </si>
  <si>
    <t>m2vio2</t>
  </si>
  <si>
    <t>m3vio1</t>
  </si>
  <si>
    <t>m3vio2</t>
  </si>
  <si>
    <t>m4vio1</t>
  </si>
  <si>
    <t>m4vio2</t>
  </si>
  <si>
    <t>m5vio1</t>
  </si>
  <si>
    <t>m5vio2</t>
  </si>
  <si>
    <t>hostname</t>
  </si>
  <si>
    <t>groupname</t>
  </si>
  <si>
    <t>osname</t>
  </si>
  <si>
    <t>hostip</t>
  </si>
  <si>
    <t>procpool_id</t>
  </si>
  <si>
    <t>procpool_name</t>
  </si>
  <si>
    <t>cluster_id</t>
  </si>
  <si>
    <t>cluster_name</t>
  </si>
  <si>
    <t>if_ips</t>
  </si>
  <si>
    <t>systemtype</t>
  </si>
  <si>
    <t>model</t>
  </si>
  <si>
    <t>serial</t>
  </si>
  <si>
    <t>entitledcpu</t>
  </si>
  <si>
    <t>maxcpu</t>
  </si>
  <si>
    <t>memorymb</t>
  </si>
  <si>
    <t>osversion</t>
  </si>
  <si>
    <t>fwlevel</t>
  </si>
  <si>
    <t>disks</t>
  </si>
  <si>
    <t>prod</t>
  </si>
  <si>
    <t>AIX</t>
  </si>
  <si>
    <t>IBM,9080-HEX (Power10 E1080 Enterprise Server)</t>
  </si>
  <si>
    <t>7200-05-06-2320</t>
  </si>
  <si>
    <t>IBM,FW1050.21 (MH1050_062)</t>
  </si>
  <si>
    <t>vm1</t>
  </si>
  <si>
    <t>8.8.8.40</t>
  </si>
  <si>
    <t>8.8.8.40,192.168.0.5</t>
  </si>
  <si>
    <t>IBM,027XXXXX</t>
  </si>
  <si>
    <t>WPAR Global: SPLPAR</t>
  </si>
  <si>
    <t>WPAR</t>
  </si>
  <si>
    <t>Server</t>
  </si>
  <si>
    <t>Recommended System Types</t>
  </si>
  <si>
    <t>Primary</t>
  </si>
  <si>
    <t>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</si>
</sst>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2" fillId="0" borderId="0" xfId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3" fillId="2" borderId="0" xfId="3"/>
    <xf numFmtId="0" fontId="3" fillId="3" borderId="0" xfId="4"/>
    <xf numFmtId="0" fontId="3" fillId="4" borderId="0" xfId="5"/>
    <xf numFmtId="0" fontId="3" fillId="5" borderId="0" xfId="6"/>
    <xf numFmtId="0" fontId="3" fillId="6" borderId="0" xfId="7"/>
    <xf numFmtId="166" fontId="0" fillId="0" borderId="0" xfId="0" applyNumberFormat="1"/>
    <xf numFmtId="165" fontId="3" fillId="2" borderId="0" xfId="3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4" applyAlignment="1">
      <alignment horizontal="center"/>
    </xf>
    <xf numFmtId="0" fontId="3" fillId="4" borderId="0" xfId="5" applyAlignment="1">
      <alignment horizontal="center"/>
    </xf>
    <xf numFmtId="0" fontId="3" fillId="5" borderId="0" xfId="6" applyAlignment="1">
      <alignment horizontal="center"/>
    </xf>
    <xf numFmtId="0" fontId="3" fillId="6" borderId="0" xfId="7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wrapText="1"/>
    </xf>
    <xf numFmtId="2" fontId="1" fillId="0" borderId="1" xfId="2" applyNumberFormat="1" applyAlignment="1">
      <alignment wrapText="1"/>
    </xf>
    <xf numFmtId="10" fontId="1" fillId="0" borderId="1" xfId="2" applyNumberFormat="1"/>
    <xf numFmtId="2" fontId="1" fillId="0" borderId="2" xfId="0" applyNumberFormat="1" applyFont="1" applyBorder="1" applyAlignment="1">
      <alignment wrapText="1"/>
    </xf>
    <xf numFmtId="0" fontId="0" fillId="0" borderId="2" xfId="0" applyBorder="1"/>
    <xf numFmtId="2" fontId="0" fillId="0" borderId="2" xfId="0" applyNumberFormat="1" applyBorder="1"/>
    <xf numFmtId="0" fontId="0" fillId="0" borderId="2" xfId="0" applyBorder="1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textRotation="255"/>
    </xf>
    <xf numFmtId="0" fontId="0" fillId="0" borderId="0" xfId="0"/>
    <xf numFmtId="0" fontId="8" fillId="0" borderId="0" xfId="1" applyFont="1"/>
  </cellXfs>
  <cellStyles count="8">
    <cellStyle name="20% - Accent1" xfId="3" builtinId="30"/>
    <cellStyle name="20% - Accent2" xfId="4" builtinId="34"/>
    <cellStyle name="20% - Accent3" xfId="5" builtinId="38"/>
    <cellStyle name="20% - Accent4" xfId="6" builtinId="42"/>
    <cellStyle name="20% - Accent6" xfId="7" builtinId="50"/>
    <cellStyle name="Normal" xfId="0" builtinId="0"/>
    <cellStyle name="Normal 2" xfId="1" xr:uid="{CFE28954-C71D-6A47-B013-D8310E72C77A}"/>
    <cellStyle name="Total" xfId="2" builtinId="2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7C2B-17B8-D843-9BA0-FA1CD1CA92A0}">
  <dimension ref="A1:AD4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E10" sqref="AE10"/>
    </sheetView>
  </sheetViews>
  <sheetFormatPr baseColWidth="10" defaultRowHeight="16" x14ac:dyDescent="0.2"/>
  <cols>
    <col min="1" max="1" width="16" bestFit="1" customWidth="1"/>
    <col min="2" max="2" width="9.83203125" style="18" bestFit="1" customWidth="1"/>
    <col min="4" max="4" width="15.33203125" customWidth="1"/>
    <col min="6" max="6" width="23.33203125" customWidth="1"/>
    <col min="10" max="10" width="7.6640625" style="5" bestFit="1" customWidth="1"/>
    <col min="11" max="11" width="10.1640625" style="5" bestFit="1" customWidth="1"/>
    <col min="12" max="12" width="9" style="5" bestFit="1" customWidth="1"/>
    <col min="13" max="15" width="10" style="5" bestFit="1" customWidth="1"/>
    <col min="16" max="16" width="9" style="5" bestFit="1" customWidth="1"/>
    <col min="17" max="19" width="10" style="5" bestFit="1" customWidth="1"/>
    <col min="20" max="20" width="8.83203125" style="5" bestFit="1" customWidth="1"/>
    <col min="21" max="23" width="9.83203125" style="5" bestFit="1" customWidth="1"/>
    <col min="24" max="24" width="8.83203125" customWidth="1"/>
    <col min="25" max="26" width="10.83203125" style="5"/>
    <col min="28" max="28" width="31.1640625" customWidth="1"/>
    <col min="29" max="29" width="16" customWidth="1"/>
  </cols>
  <sheetData>
    <row r="1" spans="1:30" s="3" customFormat="1" x14ac:dyDescent="0.2">
      <c r="A1" s="3" t="s">
        <v>0</v>
      </c>
      <c r="B1" s="1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3" t="s">
        <v>53</v>
      </c>
      <c r="AC1" s="3" t="s">
        <v>54</v>
      </c>
      <c r="AD1" s="3" t="s">
        <v>55</v>
      </c>
    </row>
    <row r="2" spans="1:30" x14ac:dyDescent="0.2">
      <c r="A2" s="6" t="s">
        <v>83</v>
      </c>
      <c r="B2" s="12" t="s">
        <v>27</v>
      </c>
      <c r="C2" s="6" t="s">
        <v>27</v>
      </c>
      <c r="D2" s="6" t="s">
        <v>28</v>
      </c>
      <c r="E2" s="6" t="b">
        <v>1</v>
      </c>
      <c r="F2" s="6" t="s">
        <v>78</v>
      </c>
      <c r="G2" t="s">
        <v>36</v>
      </c>
      <c r="H2" t="s">
        <v>30</v>
      </c>
      <c r="I2">
        <v>0</v>
      </c>
      <c r="J2" s="5">
        <v>0.995</v>
      </c>
      <c r="K2" s="5">
        <v>0.99399999999999999</v>
      </c>
      <c r="L2" s="5">
        <v>0.99360000000000004</v>
      </c>
      <c r="M2" s="5">
        <v>0.99319999999999997</v>
      </c>
      <c r="N2" s="5">
        <v>0.99299999999999999</v>
      </c>
      <c r="O2" s="5">
        <v>0.99280000000000002</v>
      </c>
      <c r="P2" s="5">
        <v>0.99299999999999999</v>
      </c>
      <c r="Q2" s="5">
        <v>0.9929</v>
      </c>
      <c r="R2" s="5">
        <v>0.99270000000000003</v>
      </c>
      <c r="S2" s="5">
        <v>0.99239999999999995</v>
      </c>
      <c r="T2" s="5">
        <v>0.99380000000000002</v>
      </c>
      <c r="U2" s="5">
        <v>0.99339999999999995</v>
      </c>
      <c r="V2" s="5">
        <v>0.99309999999999998</v>
      </c>
      <c r="W2" s="5">
        <v>0.9929</v>
      </c>
      <c r="X2">
        <v>0.5</v>
      </c>
      <c r="Y2" s="5">
        <f>IF(ISNUMBER(SEARCH("PowerHA Standby", G2)), VLOOKUP(VLOOKUP(A2, PowerHA!A:B, 2, FALSE), A:Y, 25, FALSE) * $O$42,CEILING(INDEX(K2:W2, MATCH(B2, {"P","G1","G2","G3","G4","O1","O2","O3","O4","B1","B2","B3","B4"}, 0)), 0.05))</f>
        <v>1</v>
      </c>
      <c r="Z2" s="5">
        <f>Y2-X2</f>
        <v>0.5</v>
      </c>
      <c r="AA2" s="1">
        <f t="shared" ref="AA2:AA8" si="0">(Y2-X2)/X2</f>
        <v>1</v>
      </c>
      <c r="AC2" s="19" t="s">
        <v>83</v>
      </c>
      <c r="AD2" t="b">
        <f>AC2=A2</f>
        <v>1</v>
      </c>
    </row>
    <row r="3" spans="1:30" x14ac:dyDescent="0.2">
      <c r="A3" s="6" t="s">
        <v>85</v>
      </c>
      <c r="B3" s="12" t="s">
        <v>27</v>
      </c>
      <c r="C3" s="6" t="s">
        <v>31</v>
      </c>
      <c r="D3" s="6" t="s">
        <v>32</v>
      </c>
      <c r="E3" s="6" t="b">
        <v>1</v>
      </c>
      <c r="F3" s="6" t="s">
        <v>78</v>
      </c>
      <c r="G3" t="s">
        <v>29</v>
      </c>
      <c r="H3" t="s">
        <v>30</v>
      </c>
      <c r="I3">
        <v>0</v>
      </c>
      <c r="J3" s="5">
        <v>0.99299999999999999</v>
      </c>
      <c r="K3" s="5">
        <v>0.99199999999999999</v>
      </c>
      <c r="L3" s="5">
        <v>0.97819999999999996</v>
      </c>
      <c r="M3" s="5">
        <v>0.96009999999999995</v>
      </c>
      <c r="N3" s="5">
        <v>0.94289999999999996</v>
      </c>
      <c r="O3" s="5">
        <v>0.69799999999999995</v>
      </c>
      <c r="P3" s="5">
        <v>0.87880000000000003</v>
      </c>
      <c r="Q3" s="5">
        <v>0.48530000000000001</v>
      </c>
      <c r="R3" s="5">
        <v>0.33889999999999998</v>
      </c>
      <c r="S3" s="5">
        <v>0.3337</v>
      </c>
      <c r="T3" s="5">
        <v>0.98460000000000003</v>
      </c>
      <c r="U3" s="5">
        <v>0.96850000000000003</v>
      </c>
      <c r="V3" s="5">
        <v>0.95679999999999998</v>
      </c>
      <c r="W3" s="5">
        <v>0.92820000000000003</v>
      </c>
      <c r="X3">
        <v>0.5</v>
      </c>
      <c r="Y3" s="5">
        <f>IF(ISNUMBER(SEARCH("PowerHA Standby", G3)), VLOOKUP(VLOOKUP(A3, PowerHA!A:B, 2, FALSE), A:Y, 25, FALSE) * $O$42,CEILING(INDEX(K3:W3, MATCH(B3, {"P","G1","G2","G3","G4","O1","O2","O3","O4","B1","B2","B3","B4"}, 0)), 0.05))</f>
        <v>0.95000000000000007</v>
      </c>
      <c r="Z3" s="5">
        <f t="shared" ref="Z3:Z8" si="1">Y3-X3</f>
        <v>0.45000000000000007</v>
      </c>
      <c r="AA3" s="1">
        <f t="shared" si="0"/>
        <v>0.90000000000000013</v>
      </c>
      <c r="AC3" s="19" t="s">
        <v>85</v>
      </c>
      <c r="AD3" t="b">
        <f t="shared" ref="AD3:AD8" si="2">AC3=A3</f>
        <v>1</v>
      </c>
    </row>
    <row r="4" spans="1:30" x14ac:dyDescent="0.2">
      <c r="A4" s="6" t="s">
        <v>110</v>
      </c>
      <c r="B4" s="12" t="s">
        <v>44</v>
      </c>
      <c r="C4" s="6" t="s">
        <v>33</v>
      </c>
      <c r="D4" s="6" t="s">
        <v>28</v>
      </c>
      <c r="E4" s="6" t="b">
        <v>0</v>
      </c>
      <c r="F4" s="6" t="s">
        <v>78</v>
      </c>
      <c r="G4" t="s">
        <v>29</v>
      </c>
      <c r="H4" t="s">
        <v>30</v>
      </c>
      <c r="I4">
        <v>0</v>
      </c>
      <c r="J4" s="5">
        <v>0.995</v>
      </c>
      <c r="K4" s="5">
        <v>0.40050000000000002</v>
      </c>
      <c r="L4" s="5">
        <v>0.25440000000000002</v>
      </c>
      <c r="M4" s="5">
        <v>0.2359</v>
      </c>
      <c r="N4" s="5">
        <v>0.2238</v>
      </c>
      <c r="O4" s="5">
        <v>0.21410000000000001</v>
      </c>
      <c r="P4" s="5">
        <v>0.24640000000000001</v>
      </c>
      <c r="Q4" s="5">
        <v>0.2351</v>
      </c>
      <c r="R4" s="5">
        <v>0.2278</v>
      </c>
      <c r="S4" s="5">
        <v>0.222</v>
      </c>
      <c r="T4" s="5">
        <v>0.35870000000000002</v>
      </c>
      <c r="U4" s="5">
        <v>0.25890000000000002</v>
      </c>
      <c r="V4" s="5">
        <v>0.21149999999999999</v>
      </c>
      <c r="W4" s="5">
        <v>0.1963</v>
      </c>
      <c r="X4">
        <v>0.2</v>
      </c>
      <c r="Y4" s="5">
        <f>IF(ISNUMBER(SEARCH("PowerHA Standby", G4)), VLOOKUP(VLOOKUP(A4, PowerHA!A:B, 2, FALSE), A:Y, 25, FALSE) * $O$42,CEILING(INDEX(K4:W4, MATCH(B4, {"P","G1","G2","G3","G4","O1","O2","O3","O4","B1","B2","B3","B4"}, 0)), 0.05))</f>
        <v>0.25</v>
      </c>
      <c r="Z4" s="5">
        <f t="shared" si="1"/>
        <v>4.9999999999999989E-2</v>
      </c>
      <c r="AA4" s="1">
        <f t="shared" si="0"/>
        <v>0.24999999999999994</v>
      </c>
      <c r="AC4" s="19" t="s">
        <v>110</v>
      </c>
      <c r="AD4" t="b">
        <f t="shared" si="2"/>
        <v>1</v>
      </c>
    </row>
    <row r="5" spans="1:30" x14ac:dyDescent="0.2">
      <c r="A5" s="6" t="s">
        <v>86</v>
      </c>
      <c r="B5" s="12" t="s">
        <v>44</v>
      </c>
      <c r="C5" s="6" t="s">
        <v>34</v>
      </c>
      <c r="D5" s="6" t="s">
        <v>35</v>
      </c>
      <c r="E5" s="6" t="b">
        <v>0</v>
      </c>
      <c r="F5" s="6" t="s">
        <v>78</v>
      </c>
      <c r="G5" t="s">
        <v>36</v>
      </c>
      <c r="H5" t="s">
        <v>30</v>
      </c>
      <c r="I5">
        <v>0</v>
      </c>
      <c r="J5" s="5">
        <v>0.99299999999999999</v>
      </c>
      <c r="K5" s="5">
        <v>0.28100000000000003</v>
      </c>
      <c r="L5" s="5">
        <v>9.2600000000000002E-2</v>
      </c>
      <c r="M5" s="5">
        <v>6.6699999999999995E-2</v>
      </c>
      <c r="N5" s="5">
        <v>5.3100000000000001E-2</v>
      </c>
      <c r="O5" s="5">
        <v>4.65E-2</v>
      </c>
      <c r="P5" s="5">
        <v>9.1200000000000003E-2</v>
      </c>
      <c r="Q5" s="5">
        <v>6.6100000000000006E-2</v>
      </c>
      <c r="R5" s="5">
        <v>5.33E-2</v>
      </c>
      <c r="S5" s="5">
        <v>4.7500000000000001E-2</v>
      </c>
      <c r="T5" s="5">
        <v>0.2077</v>
      </c>
      <c r="U5" s="5">
        <v>0.1263</v>
      </c>
      <c r="V5" s="5">
        <v>5.4699999999999999E-2</v>
      </c>
      <c r="W5" s="5">
        <v>4.6899999999999997E-2</v>
      </c>
      <c r="X5">
        <v>0.1</v>
      </c>
      <c r="Y5" s="5">
        <f>IF(ISNUMBER(SEARCH("PowerHA Standby", G5)), VLOOKUP(VLOOKUP(A5, PowerHA!A:B, 2, FALSE), A:Y, 25, FALSE) * $O$42,CEILING(INDEX(K5:W5, MATCH(B5, {"P","G1","G2","G3","G4","O1","O2","O3","O4","B1","B2","B3","B4"}, 0)), 0.05))</f>
        <v>0.1</v>
      </c>
      <c r="Z5" s="5">
        <f t="shared" si="1"/>
        <v>0</v>
      </c>
      <c r="AA5" s="1">
        <f t="shared" si="0"/>
        <v>0</v>
      </c>
      <c r="AC5" s="19" t="s">
        <v>86</v>
      </c>
      <c r="AD5" t="b">
        <f t="shared" si="2"/>
        <v>1</v>
      </c>
    </row>
    <row r="6" spans="1:30" x14ac:dyDescent="0.2">
      <c r="A6" s="6" t="s">
        <v>76</v>
      </c>
      <c r="B6" s="12" t="s">
        <v>48</v>
      </c>
      <c r="C6" s="6" t="s">
        <v>34</v>
      </c>
      <c r="D6" s="6" t="s">
        <v>35</v>
      </c>
      <c r="E6" s="6" t="b">
        <v>0</v>
      </c>
      <c r="F6" s="6" t="s">
        <v>78</v>
      </c>
      <c r="G6" t="s">
        <v>36</v>
      </c>
      <c r="H6" t="s">
        <v>30</v>
      </c>
      <c r="I6">
        <v>0</v>
      </c>
      <c r="J6" s="5">
        <v>1</v>
      </c>
      <c r="K6" s="5">
        <v>0.46750000000000003</v>
      </c>
      <c r="L6" s="5">
        <v>0.15379999999999999</v>
      </c>
      <c r="M6" s="5">
        <v>9.1200000000000003E-2</v>
      </c>
      <c r="N6" s="5">
        <v>6.1400000000000003E-2</v>
      </c>
      <c r="O6" s="5">
        <v>3.5099999999999999E-2</v>
      </c>
      <c r="P6" s="5">
        <v>0.1333</v>
      </c>
      <c r="Q6" s="5">
        <v>8.2699999999999996E-2</v>
      </c>
      <c r="R6" s="5">
        <v>6.1899999999999997E-2</v>
      </c>
      <c r="S6" s="5">
        <v>3.3799999999999997E-2</v>
      </c>
      <c r="T6" s="5">
        <v>0.20449999999999999</v>
      </c>
      <c r="U6" s="5">
        <v>0.12379999999999999</v>
      </c>
      <c r="V6" s="5">
        <v>6.6299999999999998E-2</v>
      </c>
      <c r="W6" s="5">
        <v>4.1599999999999998E-2</v>
      </c>
      <c r="X6">
        <v>2</v>
      </c>
      <c r="Y6" s="5">
        <f>IF(ISNUMBER(SEARCH("PowerHA Standby", G6)), VLOOKUP(VLOOKUP(A6, PowerHA!A:B, 2, FALSE), A:Y, 25, FALSE) * $O$42,CEILING(INDEX(K6:W6, MATCH(B6, {"P","G1","G2","G3","G4","O1","O2","O3","O4","B1","B2","B3","B4"}, 0)), 0.05))</f>
        <v>0.1</v>
      </c>
      <c r="Z6" s="5">
        <f t="shared" si="1"/>
        <v>-1.9</v>
      </c>
      <c r="AA6" s="1">
        <f t="shared" si="0"/>
        <v>-0.95</v>
      </c>
      <c r="AC6" s="19" t="s">
        <v>76</v>
      </c>
      <c r="AD6" t="b">
        <f t="shared" si="2"/>
        <v>1</v>
      </c>
    </row>
    <row r="7" spans="1:30" x14ac:dyDescent="0.2">
      <c r="A7" s="6" t="s">
        <v>116</v>
      </c>
      <c r="B7" s="12" t="s">
        <v>45</v>
      </c>
      <c r="C7" s="6" t="s">
        <v>45</v>
      </c>
      <c r="D7" s="6" t="s">
        <v>46</v>
      </c>
      <c r="E7" s="6" t="b">
        <v>0</v>
      </c>
      <c r="F7" s="6" t="s">
        <v>78</v>
      </c>
      <c r="G7" t="s">
        <v>46</v>
      </c>
      <c r="H7" t="s">
        <v>30</v>
      </c>
      <c r="I7">
        <v>0</v>
      </c>
      <c r="J7" s="5">
        <v>6.15</v>
      </c>
      <c r="K7" s="5">
        <v>6.05</v>
      </c>
      <c r="L7" s="5">
        <v>5.65</v>
      </c>
      <c r="M7" s="5">
        <v>5.2140000000000004</v>
      </c>
      <c r="N7" s="5">
        <v>4.6026999999999996</v>
      </c>
      <c r="O7" s="5">
        <v>3.9540000000000002</v>
      </c>
      <c r="P7" s="5">
        <v>5.9519000000000002</v>
      </c>
      <c r="Q7" s="5">
        <v>5.6559999999999997</v>
      </c>
      <c r="R7" s="5">
        <v>5.1580000000000004</v>
      </c>
      <c r="S7" s="5">
        <v>4.4912999999999998</v>
      </c>
      <c r="T7" s="5">
        <v>4.976</v>
      </c>
      <c r="U7" s="5">
        <v>4.6870000000000003</v>
      </c>
      <c r="V7" s="5">
        <v>4.1597999999999997</v>
      </c>
      <c r="W7" s="5">
        <v>3.5752999999999999</v>
      </c>
      <c r="X7">
        <v>8</v>
      </c>
      <c r="Y7" s="5">
        <f>IF(ISNUMBER(SEARCH("PowerHA Standby", G7)), VLOOKUP(VLOOKUP(A7, PowerHA!A:B, 2, FALSE), A:Y, 25, FALSE) * $O$42,CEILING(INDEX(K7:W7, MATCH(B7, {"P","G1","G2","G3","G4","O1","O2","O3","O4","B1","B2","B3","B4"}, 0)), 0.05))</f>
        <v>6.0500000000000007</v>
      </c>
      <c r="Z7" s="5">
        <f t="shared" si="1"/>
        <v>-1.9499999999999993</v>
      </c>
      <c r="AA7" s="1">
        <f t="shared" si="0"/>
        <v>-0.24374999999999991</v>
      </c>
      <c r="AC7" s="19" t="s">
        <v>116</v>
      </c>
      <c r="AD7" t="b">
        <f t="shared" si="2"/>
        <v>1</v>
      </c>
    </row>
    <row r="8" spans="1:30" x14ac:dyDescent="0.2">
      <c r="A8" s="6" t="s">
        <v>117</v>
      </c>
      <c r="B8" s="12" t="s">
        <v>45</v>
      </c>
      <c r="C8" s="6" t="s">
        <v>45</v>
      </c>
      <c r="D8" s="6" t="s">
        <v>46</v>
      </c>
      <c r="E8" s="6" t="b">
        <v>0</v>
      </c>
      <c r="F8" s="6" t="s">
        <v>78</v>
      </c>
      <c r="G8" t="s">
        <v>46</v>
      </c>
      <c r="H8" t="s">
        <v>30</v>
      </c>
      <c r="I8">
        <v>0</v>
      </c>
      <c r="J8" s="5">
        <v>7.38</v>
      </c>
      <c r="K8" s="5">
        <v>6.62</v>
      </c>
      <c r="L8" s="5">
        <v>6.26</v>
      </c>
      <c r="M8" s="5">
        <v>5.9610000000000003</v>
      </c>
      <c r="N8" s="5">
        <v>5.45</v>
      </c>
      <c r="O8" s="5">
        <v>5.0606999999999998</v>
      </c>
      <c r="P8" s="5">
        <v>6.1239999999999997</v>
      </c>
      <c r="Q8" s="5">
        <v>5.8737000000000004</v>
      </c>
      <c r="R8" s="5">
        <v>5.4093</v>
      </c>
      <c r="S8" s="5">
        <v>4.9160000000000004</v>
      </c>
      <c r="T8" s="5">
        <v>6.3052000000000001</v>
      </c>
      <c r="U8" s="5">
        <v>6.05</v>
      </c>
      <c r="V8" s="5">
        <v>5.516</v>
      </c>
      <c r="W8" s="5">
        <v>5.17</v>
      </c>
      <c r="X8">
        <v>8</v>
      </c>
      <c r="Y8" s="5">
        <f>IF(ISNUMBER(SEARCH("PowerHA Standby", G8)), VLOOKUP(VLOOKUP(A8, PowerHA!A:B, 2, FALSE), A:Y, 25, FALSE) * $O$42,CEILING(INDEX(K8:W8, MATCH(B8, {"P","G1","G2","G3","G4","O1","O2","O3","O4","B1","B2","B3","B4"}, 0)), 0.05))</f>
        <v>6.65</v>
      </c>
      <c r="Z8" s="5">
        <f t="shared" si="1"/>
        <v>-1.3499999999999996</v>
      </c>
      <c r="AA8" s="1">
        <f t="shared" si="0"/>
        <v>-0.16874999999999996</v>
      </c>
      <c r="AC8" s="19" t="s">
        <v>117</v>
      </c>
      <c r="AD8" t="b">
        <f t="shared" si="2"/>
        <v>1</v>
      </c>
    </row>
    <row r="9" spans="1:30" x14ac:dyDescent="0.2">
      <c r="A9" s="7" t="s">
        <v>77</v>
      </c>
      <c r="B9" s="14" t="s">
        <v>27</v>
      </c>
      <c r="C9" s="7" t="s">
        <v>34</v>
      </c>
      <c r="D9" s="7" t="s">
        <v>35</v>
      </c>
      <c r="E9" s="7" t="b">
        <v>0</v>
      </c>
      <c r="F9" s="7" t="s">
        <v>79</v>
      </c>
      <c r="G9" t="s">
        <v>41</v>
      </c>
      <c r="H9" t="s">
        <v>30</v>
      </c>
      <c r="I9">
        <v>0</v>
      </c>
      <c r="J9" s="5">
        <v>1.08</v>
      </c>
      <c r="K9" s="5">
        <v>0.499</v>
      </c>
      <c r="L9" s="5">
        <v>0.18609999999999999</v>
      </c>
      <c r="M9" s="5">
        <v>0.14899999999999999</v>
      </c>
      <c r="N9" s="5">
        <v>6.8699999999999997E-2</v>
      </c>
      <c r="O9" s="5">
        <v>5.5500000000000001E-2</v>
      </c>
      <c r="P9" s="5">
        <v>0.18479999999999999</v>
      </c>
      <c r="Q9" s="5">
        <v>0.1666</v>
      </c>
      <c r="R9" s="5">
        <v>6.54E-2</v>
      </c>
      <c r="S9" s="5">
        <v>5.5500000000000001E-2</v>
      </c>
      <c r="T9" s="5">
        <v>0.2051</v>
      </c>
      <c r="U9" s="5">
        <v>0.121</v>
      </c>
      <c r="V9" s="5">
        <v>7.1900000000000006E-2</v>
      </c>
      <c r="W9" s="5">
        <v>5.5800000000000002E-2</v>
      </c>
      <c r="X9">
        <v>0.5</v>
      </c>
      <c r="Y9" s="5">
        <f>IF(ISNUMBER(SEARCH("PowerHA Standby", G9)), VLOOKUP(VLOOKUP(A9, PowerHA!A:B, 2, FALSE), A:Y, 25, FALSE) * $O$42,CEILING(INDEX(K9:W9, MATCH(B9, {"P","G1","G2","G3","G4","O1","O2","O3","O4","B1","B2","B3","B4"}, 0)), 0.05))</f>
        <v>7.5000000000000011E-2</v>
      </c>
      <c r="Z9" s="5">
        <f>Y9-X9</f>
        <v>-0.42499999999999999</v>
      </c>
      <c r="AA9" s="1">
        <f t="shared" ref="AA9:AA15" si="3">(Y9-X9)/X9</f>
        <v>-0.85</v>
      </c>
      <c r="AC9" t="s">
        <v>77</v>
      </c>
      <c r="AD9" t="b">
        <f t="shared" ref="AD9:AD22" si="4">AC9=A9</f>
        <v>1</v>
      </c>
    </row>
    <row r="10" spans="1:30" x14ac:dyDescent="0.2">
      <c r="A10" s="7" t="s">
        <v>84</v>
      </c>
      <c r="B10" s="14" t="s">
        <v>44</v>
      </c>
      <c r="C10" s="7" t="s">
        <v>34</v>
      </c>
      <c r="D10" s="7" t="s">
        <v>35</v>
      </c>
      <c r="E10" s="7" t="b">
        <v>0</v>
      </c>
      <c r="F10" s="7" t="s">
        <v>79</v>
      </c>
      <c r="G10" t="s">
        <v>41</v>
      </c>
      <c r="H10" t="s">
        <v>30</v>
      </c>
      <c r="I10">
        <v>0</v>
      </c>
      <c r="J10" s="5">
        <v>1.56</v>
      </c>
      <c r="K10" s="5">
        <v>0.46200000000000002</v>
      </c>
      <c r="L10" s="5">
        <v>0.1573</v>
      </c>
      <c r="M10" s="5">
        <v>0.1051</v>
      </c>
      <c r="N10" s="5">
        <v>7.0900000000000005E-2</v>
      </c>
      <c r="O10" s="5">
        <v>6.3500000000000001E-2</v>
      </c>
      <c r="P10" s="5">
        <v>0.12089999999999999</v>
      </c>
      <c r="Q10" s="5">
        <v>7.9600000000000004E-2</v>
      </c>
      <c r="R10" s="5">
        <v>6.6000000000000003E-2</v>
      </c>
      <c r="S10" s="5">
        <v>6.2100000000000002E-2</v>
      </c>
      <c r="T10" s="5">
        <v>0.28489999999999999</v>
      </c>
      <c r="U10" s="5">
        <v>0.16850000000000001</v>
      </c>
      <c r="V10" s="5">
        <v>8.6099999999999996E-2</v>
      </c>
      <c r="W10" s="5">
        <v>6.6600000000000006E-2</v>
      </c>
      <c r="X10">
        <v>0.4</v>
      </c>
      <c r="Y10" s="5">
        <f>IF(ISNUMBER(SEARCH("PowerHA Standby", G10)), VLOOKUP(VLOOKUP(A10, PowerHA!A:B, 2, FALSE), A:Y, 25, FALSE) * $O$42,CEILING(INDEX(K10:W10, MATCH(B10, {"P","G1","G2","G3","G4","O1","O2","O3","O4","B1","B2","B3","B4"}, 0)), 0.05))</f>
        <v>0.75</v>
      </c>
      <c r="Z10" s="5">
        <f t="shared" ref="Z10:Z15" si="5">Y10-X10</f>
        <v>0.35</v>
      </c>
      <c r="AA10" s="1">
        <f t="shared" si="3"/>
        <v>0.87499999999999989</v>
      </c>
      <c r="AC10" t="s">
        <v>84</v>
      </c>
      <c r="AD10" t="b">
        <f t="shared" si="4"/>
        <v>1</v>
      </c>
    </row>
    <row r="11" spans="1:30" x14ac:dyDescent="0.2">
      <c r="A11" s="7" t="s">
        <v>89</v>
      </c>
      <c r="B11" s="14" t="s">
        <v>50</v>
      </c>
      <c r="C11" s="7" t="s">
        <v>34</v>
      </c>
      <c r="D11" s="7" t="s">
        <v>35</v>
      </c>
      <c r="E11" s="7" t="b">
        <v>0</v>
      </c>
      <c r="F11" s="7" t="s">
        <v>79</v>
      </c>
      <c r="G11" t="s">
        <v>41</v>
      </c>
      <c r="H11" t="s">
        <v>30</v>
      </c>
      <c r="I11">
        <v>0</v>
      </c>
      <c r="J11" s="5">
        <v>1.29</v>
      </c>
      <c r="K11" s="5">
        <v>0.433</v>
      </c>
      <c r="L11" s="5">
        <v>0.15959999999999999</v>
      </c>
      <c r="M11" s="5">
        <v>0.10979999999999999</v>
      </c>
      <c r="N11" s="5">
        <v>7.9000000000000001E-2</v>
      </c>
      <c r="O11" s="5">
        <v>7.0499999999999993E-2</v>
      </c>
      <c r="P11" s="5">
        <v>0.122</v>
      </c>
      <c r="Q11" s="5">
        <v>8.3400000000000002E-2</v>
      </c>
      <c r="R11" s="5">
        <v>7.4200000000000002E-2</v>
      </c>
      <c r="S11" s="5">
        <v>6.8900000000000003E-2</v>
      </c>
      <c r="T11" s="5">
        <v>0.2278</v>
      </c>
      <c r="U11" s="5">
        <v>0.13439999999999999</v>
      </c>
      <c r="V11" s="5">
        <v>9.0399999999999994E-2</v>
      </c>
      <c r="W11" s="5">
        <v>7.3999999999999996E-2</v>
      </c>
      <c r="X11">
        <v>0.3</v>
      </c>
      <c r="Y11" s="5">
        <f>IF(ISNUMBER(SEARCH("PowerHA Standby", G11)), VLOOKUP(VLOOKUP(A11, PowerHA!A:B, 2, FALSE), A:Y, 25, FALSE) * $O$42,CEILING(INDEX(K11:W11, MATCH(B11, {"P","G1","G2","G3","G4","O1","O2","O3","O4","B1","B2","B3","B4"}, 0)), 0.05))</f>
        <v>0.82500000000000007</v>
      </c>
      <c r="Z11" s="5">
        <f t="shared" si="5"/>
        <v>0.52500000000000013</v>
      </c>
      <c r="AA11" s="1">
        <f t="shared" si="3"/>
        <v>1.7500000000000004</v>
      </c>
      <c r="AC11" t="s">
        <v>89</v>
      </c>
      <c r="AD11" t="b">
        <f t="shared" si="4"/>
        <v>1</v>
      </c>
    </row>
    <row r="12" spans="1:30" x14ac:dyDescent="0.2">
      <c r="A12" s="7" t="s">
        <v>91</v>
      </c>
      <c r="B12" s="14" t="s">
        <v>44</v>
      </c>
      <c r="C12" s="7" t="s">
        <v>34</v>
      </c>
      <c r="D12" s="7" t="s">
        <v>35</v>
      </c>
      <c r="E12" s="7" t="b">
        <v>0</v>
      </c>
      <c r="F12" s="7" t="s">
        <v>79</v>
      </c>
      <c r="G12" t="s">
        <v>41</v>
      </c>
      <c r="H12" t="s">
        <v>30</v>
      </c>
      <c r="I12">
        <v>0</v>
      </c>
      <c r="J12" s="5">
        <v>1.45</v>
      </c>
      <c r="K12" s="5">
        <v>0.42449999999999999</v>
      </c>
      <c r="L12" s="5">
        <v>0.13039999999999999</v>
      </c>
      <c r="M12" s="5">
        <v>8.5500000000000007E-2</v>
      </c>
      <c r="N12" s="5">
        <v>6.4600000000000005E-2</v>
      </c>
      <c r="O12" s="5">
        <v>4.02E-2</v>
      </c>
      <c r="P12" s="5">
        <v>0.1242</v>
      </c>
      <c r="Q12" s="5">
        <v>7.8700000000000006E-2</v>
      </c>
      <c r="R12" s="5">
        <v>4.5900000000000003E-2</v>
      </c>
      <c r="S12" s="5">
        <v>3.6700000000000003E-2</v>
      </c>
      <c r="T12" s="5">
        <v>0.2147</v>
      </c>
      <c r="U12" s="5">
        <v>0.12870000000000001</v>
      </c>
      <c r="V12" s="5">
        <v>7.0699999999999999E-2</v>
      </c>
      <c r="W12" s="5">
        <v>4.8599999999999997E-2</v>
      </c>
      <c r="X12">
        <v>0.7</v>
      </c>
      <c r="Y12" s="5">
        <f>IF(ISNUMBER(SEARCH("PowerHA Standby", G12)), VLOOKUP(VLOOKUP(A12, PowerHA!A:B, 2, FALSE), A:Y, 25, FALSE) * $O$42,CEILING(INDEX(K12:W12, MATCH(B12, {"P","G1","G2","G3","G4","O1","O2","O3","O4","B1","B2","B3","B4"}, 0)), 0.05))</f>
        <v>1.5</v>
      </c>
      <c r="Z12" s="5">
        <f t="shared" si="5"/>
        <v>0.8</v>
      </c>
      <c r="AA12" s="1">
        <f t="shared" si="3"/>
        <v>1.142857142857143</v>
      </c>
      <c r="AC12" t="s">
        <v>91</v>
      </c>
      <c r="AD12" t="b">
        <f t="shared" si="4"/>
        <v>1</v>
      </c>
    </row>
    <row r="13" spans="1:30" x14ac:dyDescent="0.2">
      <c r="A13" s="7" t="s">
        <v>93</v>
      </c>
      <c r="B13" s="14" t="s">
        <v>44</v>
      </c>
      <c r="C13" s="7" t="s">
        <v>34</v>
      </c>
      <c r="D13" s="7" t="s">
        <v>35</v>
      </c>
      <c r="E13" s="7" t="b">
        <v>0</v>
      </c>
      <c r="F13" s="7" t="s">
        <v>79</v>
      </c>
      <c r="G13" t="s">
        <v>41</v>
      </c>
      <c r="H13" t="s">
        <v>30</v>
      </c>
      <c r="I13">
        <v>0</v>
      </c>
      <c r="J13" s="5">
        <v>1.28</v>
      </c>
      <c r="K13" s="5">
        <v>0.46039999999999998</v>
      </c>
      <c r="L13" s="5">
        <v>0.1464</v>
      </c>
      <c r="M13" s="5">
        <v>9.74E-2</v>
      </c>
      <c r="N13" s="5">
        <v>7.3499999999999996E-2</v>
      </c>
      <c r="O13" s="5">
        <v>4.5100000000000001E-2</v>
      </c>
      <c r="P13" s="5">
        <v>0.13980000000000001</v>
      </c>
      <c r="Q13" s="5">
        <v>9.11E-2</v>
      </c>
      <c r="R13" s="5">
        <v>5.21E-2</v>
      </c>
      <c r="S13" s="5">
        <v>4.1700000000000001E-2</v>
      </c>
      <c r="T13" s="5">
        <v>0.23910000000000001</v>
      </c>
      <c r="U13" s="5">
        <v>0.14249999999999999</v>
      </c>
      <c r="V13" s="5">
        <v>7.9200000000000007E-2</v>
      </c>
      <c r="W13" s="5">
        <v>5.2499999999999998E-2</v>
      </c>
      <c r="X13">
        <v>0.4</v>
      </c>
      <c r="Y13" s="5">
        <f>IF(ISNUMBER(SEARCH("PowerHA Standby", G13)), VLOOKUP(VLOOKUP(A13, PowerHA!A:B, 2, FALSE), A:Y, 25, FALSE) * $O$42,CEILING(INDEX(K13:W13, MATCH(B13, {"P","G1","G2","G3","G4","O1","O2","O3","O4","B1","B2","B3","B4"}, 0)), 0.05))</f>
        <v>0.11250000000000002</v>
      </c>
      <c r="Z13" s="5">
        <f t="shared" si="5"/>
        <v>-0.28749999999999998</v>
      </c>
      <c r="AA13" s="1">
        <f t="shared" si="3"/>
        <v>-0.71874999999999989</v>
      </c>
      <c r="AC13" t="s">
        <v>93</v>
      </c>
      <c r="AD13" t="b">
        <f t="shared" si="4"/>
        <v>1</v>
      </c>
    </row>
    <row r="14" spans="1:30" x14ac:dyDescent="0.2">
      <c r="A14" s="7" t="s">
        <v>118</v>
      </c>
      <c r="B14" s="14" t="s">
        <v>45</v>
      </c>
      <c r="C14" s="7" t="s">
        <v>45</v>
      </c>
      <c r="D14" s="7" t="s">
        <v>46</v>
      </c>
      <c r="E14" s="7" t="b">
        <v>0</v>
      </c>
      <c r="F14" s="7" t="s">
        <v>79</v>
      </c>
      <c r="G14" t="s">
        <v>46</v>
      </c>
      <c r="H14" t="s">
        <v>30</v>
      </c>
      <c r="I14">
        <v>0</v>
      </c>
      <c r="J14" s="5">
        <v>6.77</v>
      </c>
      <c r="K14" s="5">
        <v>6.52</v>
      </c>
      <c r="L14" s="5">
        <v>6.2160000000000002</v>
      </c>
      <c r="M14" s="5">
        <v>5.9359999999999999</v>
      </c>
      <c r="N14" s="5">
        <v>5.5170000000000003</v>
      </c>
      <c r="O14" s="5">
        <v>5.1032999999999999</v>
      </c>
      <c r="P14" s="5">
        <v>6.4219999999999997</v>
      </c>
      <c r="Q14" s="5">
        <v>6.2160000000000002</v>
      </c>
      <c r="R14" s="5">
        <v>5.9032999999999998</v>
      </c>
      <c r="S14" s="5">
        <v>5.5673000000000004</v>
      </c>
      <c r="T14" s="5">
        <v>5.5659999999999998</v>
      </c>
      <c r="U14" s="5">
        <v>5.327</v>
      </c>
      <c r="V14" s="5">
        <v>4.8127000000000004</v>
      </c>
      <c r="W14" s="5">
        <v>4.0792999999999999</v>
      </c>
      <c r="X14">
        <v>8</v>
      </c>
      <c r="Y14" s="5">
        <f>IF(ISNUMBER(SEARCH("PowerHA Standby", G14)), VLOOKUP(VLOOKUP(A14, PowerHA!A:B, 2, FALSE), A:Y, 25, FALSE) * $O$42,CEILING(INDEX(K14:W14, MATCH(B14, {"P","G1","G2","G3","G4","O1","O2","O3","O4","B1","B2","B3","B4"}, 0)), 0.05))</f>
        <v>6.5500000000000007</v>
      </c>
      <c r="Z14" s="5">
        <f t="shared" si="5"/>
        <v>-1.4499999999999993</v>
      </c>
      <c r="AA14" s="1">
        <f t="shared" si="3"/>
        <v>-0.18124999999999991</v>
      </c>
      <c r="AC14" t="s">
        <v>118</v>
      </c>
      <c r="AD14" t="b">
        <f t="shared" si="4"/>
        <v>1</v>
      </c>
    </row>
    <row r="15" spans="1:30" x14ac:dyDescent="0.2">
      <c r="A15" s="7" t="s">
        <v>119</v>
      </c>
      <c r="B15" s="14" t="s">
        <v>45</v>
      </c>
      <c r="C15" s="7" t="s">
        <v>45</v>
      </c>
      <c r="D15" s="7" t="s">
        <v>46</v>
      </c>
      <c r="E15" s="7" t="b">
        <v>0</v>
      </c>
      <c r="F15" s="7" t="s">
        <v>79</v>
      </c>
      <c r="G15" t="s">
        <v>46</v>
      </c>
      <c r="H15" t="s">
        <v>30</v>
      </c>
      <c r="I15">
        <v>0</v>
      </c>
      <c r="J15" s="5">
        <v>6.86</v>
      </c>
      <c r="K15" s="5">
        <v>5.98</v>
      </c>
      <c r="L15" s="5">
        <v>5.6699000000000002</v>
      </c>
      <c r="M15" s="5">
        <v>5.4280999999999997</v>
      </c>
      <c r="N15" s="5">
        <v>5.0999999999999996</v>
      </c>
      <c r="O15" s="5">
        <v>4.7967000000000004</v>
      </c>
      <c r="P15" s="5">
        <v>5.5860000000000003</v>
      </c>
      <c r="Q15" s="5">
        <v>5.4189999999999996</v>
      </c>
      <c r="R15" s="5">
        <v>5.2092999999999998</v>
      </c>
      <c r="S15" s="5">
        <v>4.9555999999999996</v>
      </c>
      <c r="T15" s="5">
        <v>5.5620000000000003</v>
      </c>
      <c r="U15" s="5">
        <v>5.2747000000000002</v>
      </c>
      <c r="V15" s="5">
        <v>4.9063999999999997</v>
      </c>
      <c r="W15" s="5">
        <v>4.6346999999999996</v>
      </c>
      <c r="X15">
        <v>8</v>
      </c>
      <c r="Y15" s="5">
        <f>IF(ISNUMBER(SEARCH("PowerHA Standby", G15)), VLOOKUP(VLOOKUP(A15, PowerHA!A:B, 2, FALSE), A:Y, 25, FALSE) * $O$42,CEILING(INDEX(K15:W15, MATCH(B15, {"P","G1","G2","G3","G4","O1","O2","O3","O4","B1","B2","B3","B4"}, 0)), 0.05))</f>
        <v>6</v>
      </c>
      <c r="Z15" s="5">
        <f t="shared" si="5"/>
        <v>-2</v>
      </c>
      <c r="AA15" s="1">
        <f t="shared" si="3"/>
        <v>-0.25</v>
      </c>
      <c r="AC15" t="s">
        <v>119</v>
      </c>
      <c r="AD15" t="b">
        <f t="shared" si="4"/>
        <v>1</v>
      </c>
    </row>
    <row r="16" spans="1:30" x14ac:dyDescent="0.2">
      <c r="A16" s="8" t="s">
        <v>94</v>
      </c>
      <c r="B16" s="15" t="s">
        <v>45</v>
      </c>
      <c r="C16" s="8" t="s">
        <v>42</v>
      </c>
      <c r="D16" s="8" t="s">
        <v>28</v>
      </c>
      <c r="E16" s="8" t="b">
        <v>0</v>
      </c>
      <c r="F16" s="8" t="s">
        <v>80</v>
      </c>
      <c r="G16" t="s">
        <v>36</v>
      </c>
      <c r="H16" t="s">
        <v>111</v>
      </c>
      <c r="I16">
        <v>10</v>
      </c>
      <c r="J16" s="5">
        <v>0.999</v>
      </c>
      <c r="K16" s="5">
        <v>0.67400000000000004</v>
      </c>
      <c r="L16" s="5">
        <v>0.6008</v>
      </c>
      <c r="M16" s="5">
        <v>0.57440000000000002</v>
      </c>
      <c r="N16" s="5">
        <v>0.54120000000000001</v>
      </c>
      <c r="O16" s="5">
        <v>0.51170000000000004</v>
      </c>
      <c r="P16" s="5">
        <v>0.63500000000000001</v>
      </c>
      <c r="Q16" s="5">
        <v>0.61009999999999998</v>
      </c>
      <c r="R16" s="5">
        <v>0.57879999999999998</v>
      </c>
      <c r="S16" s="5">
        <v>0.55149999999999999</v>
      </c>
      <c r="T16" s="5">
        <v>0.31809999999999999</v>
      </c>
      <c r="U16" s="5">
        <v>0.25190000000000001</v>
      </c>
      <c r="V16" s="5">
        <v>0.2281</v>
      </c>
      <c r="W16" s="5">
        <v>0.2099</v>
      </c>
      <c r="X16">
        <v>1</v>
      </c>
      <c r="Y16" s="5">
        <f>IF(ISNUMBER(SEARCH("PowerHA Standby", G16)), VLOOKUP(VLOOKUP(A16, PowerHA!A:B, 2, FALSE), A:Y, 25, FALSE) * $O$42,CEILING(INDEX(K16:W16, MATCH(B16, {"P","G1","G2","G3","G4","O1","O2","O3","O4","B1","B2","B3","B4"}, 0)), 0.05))</f>
        <v>0.70000000000000007</v>
      </c>
      <c r="Z16" s="5">
        <f>Y16-X16</f>
        <v>-0.29999999999999993</v>
      </c>
      <c r="AA16" s="1">
        <f t="shared" ref="AA16:AA22" si="6">(Y16-X16)/X16</f>
        <v>-0.29999999999999993</v>
      </c>
      <c r="AC16" t="s">
        <v>94</v>
      </c>
      <c r="AD16" t="b">
        <f t="shared" si="4"/>
        <v>1</v>
      </c>
    </row>
    <row r="17" spans="1:30" x14ac:dyDescent="0.2">
      <c r="A17" s="8" t="s">
        <v>96</v>
      </c>
      <c r="B17" s="15" t="s">
        <v>45</v>
      </c>
      <c r="C17" s="8" t="s">
        <v>42</v>
      </c>
      <c r="D17" s="8" t="s">
        <v>28</v>
      </c>
      <c r="E17" s="8" t="b">
        <v>0</v>
      </c>
      <c r="F17" s="8" t="s">
        <v>80</v>
      </c>
      <c r="G17" t="s">
        <v>36</v>
      </c>
      <c r="H17" t="s">
        <v>111</v>
      </c>
      <c r="I17">
        <v>10</v>
      </c>
      <c r="J17" s="5">
        <v>5.9</v>
      </c>
      <c r="K17" s="5">
        <v>9.09</v>
      </c>
      <c r="L17" s="5">
        <v>8.4779999999999998</v>
      </c>
      <c r="M17" s="5">
        <v>8.0389999999999997</v>
      </c>
      <c r="N17" s="5">
        <v>7.2808000000000002</v>
      </c>
      <c r="O17" s="5">
        <v>6.6558000000000002</v>
      </c>
      <c r="P17" s="5">
        <v>9.0739999999999998</v>
      </c>
      <c r="Q17" s="5">
        <v>8.6433999999999997</v>
      </c>
      <c r="R17" s="5">
        <v>8.1187000000000005</v>
      </c>
      <c r="S17" s="5">
        <v>7.5648999999999997</v>
      </c>
      <c r="T17" s="5">
        <v>4.5726000000000004</v>
      </c>
      <c r="U17" s="5">
        <v>4.3419999999999996</v>
      </c>
      <c r="V17" s="5">
        <v>4.0072999999999999</v>
      </c>
      <c r="W17" s="5">
        <v>3.5573000000000001</v>
      </c>
      <c r="X17">
        <v>9</v>
      </c>
      <c r="Y17" s="5">
        <f>IF(ISNUMBER(SEARCH("PowerHA Standby", G17)), VLOOKUP(VLOOKUP(A17, PowerHA!A:B, 2, FALSE), A:Y, 25, FALSE) * $O$42,CEILING(INDEX(K17:W17, MATCH(B17, {"P","G1","G2","G3","G4","O1","O2","O3","O4","B1","B2","B3","B4"}, 0)), 0.05))</f>
        <v>9.1</v>
      </c>
      <c r="Z17" s="5">
        <f t="shared" ref="Z17:Z22" si="7">Y17-X17</f>
        <v>9.9999999999999645E-2</v>
      </c>
      <c r="AA17" s="1">
        <f t="shared" si="6"/>
        <v>1.1111111111111072E-2</v>
      </c>
      <c r="AC17" t="s">
        <v>96</v>
      </c>
      <c r="AD17" t="b">
        <f t="shared" si="4"/>
        <v>1</v>
      </c>
    </row>
    <row r="18" spans="1:30" x14ac:dyDescent="0.2">
      <c r="A18" s="8" t="s">
        <v>98</v>
      </c>
      <c r="B18" s="15" t="s">
        <v>45</v>
      </c>
      <c r="C18" s="8" t="s">
        <v>33</v>
      </c>
      <c r="D18" s="8" t="s">
        <v>28</v>
      </c>
      <c r="E18" s="8" t="b">
        <v>0</v>
      </c>
      <c r="F18" s="8" t="s">
        <v>80</v>
      </c>
      <c r="G18" t="s">
        <v>36</v>
      </c>
      <c r="H18" t="s">
        <v>111</v>
      </c>
      <c r="I18">
        <v>10</v>
      </c>
      <c r="J18" s="5">
        <v>9.84</v>
      </c>
      <c r="K18" s="5">
        <v>8.91</v>
      </c>
      <c r="L18" s="5">
        <v>7.9672999999999998</v>
      </c>
      <c r="M18" s="5">
        <v>7.4240000000000004</v>
      </c>
      <c r="N18" s="5">
        <v>6.8367000000000004</v>
      </c>
      <c r="O18" s="5">
        <v>6.3666999999999998</v>
      </c>
      <c r="P18" s="5">
        <v>8.8899000000000008</v>
      </c>
      <c r="Q18" s="5">
        <v>8.2181999999999995</v>
      </c>
      <c r="R18" s="5">
        <v>7.4762000000000004</v>
      </c>
      <c r="S18" s="5">
        <v>7</v>
      </c>
      <c r="T18" s="5">
        <v>5.1020000000000003</v>
      </c>
      <c r="U18" s="5">
        <v>4.8479999999999999</v>
      </c>
      <c r="V18" s="5">
        <v>4.4953000000000003</v>
      </c>
      <c r="W18" s="5">
        <v>4.0952999999999999</v>
      </c>
      <c r="X18">
        <v>9</v>
      </c>
      <c r="Y18" s="5">
        <f>IF(ISNUMBER(SEARCH("PowerHA Standby", G18)), VLOOKUP(VLOOKUP(A18, PowerHA!A:B, 2, FALSE), A:Y, 25, FALSE) * $O$42,CEILING(INDEX(K18:W18, MATCH(B18, {"P","G1","G2","G3","G4","O1","O2","O3","O4","B1","B2","B3","B4"}, 0)), 0.05))</f>
        <v>8.9500000000000011</v>
      </c>
      <c r="Z18" s="5">
        <f t="shared" si="7"/>
        <v>-4.9999999999998934E-2</v>
      </c>
      <c r="AA18" s="1">
        <f t="shared" si="6"/>
        <v>-5.5555555555554369E-3</v>
      </c>
      <c r="AC18" t="s">
        <v>98</v>
      </c>
      <c r="AD18" t="b">
        <f t="shared" si="4"/>
        <v>1</v>
      </c>
    </row>
    <row r="19" spans="1:30" x14ac:dyDescent="0.2">
      <c r="A19" s="8" t="s">
        <v>100</v>
      </c>
      <c r="B19" s="15" t="s">
        <v>45</v>
      </c>
      <c r="C19" s="8" t="s">
        <v>33</v>
      </c>
      <c r="D19" s="8" t="s">
        <v>28</v>
      </c>
      <c r="E19" s="8" t="b">
        <v>0</v>
      </c>
      <c r="F19" s="8" t="s">
        <v>80</v>
      </c>
      <c r="G19" t="s">
        <v>36</v>
      </c>
      <c r="H19" t="s">
        <v>111</v>
      </c>
      <c r="I19">
        <v>10</v>
      </c>
      <c r="J19" s="5">
        <v>7.68</v>
      </c>
      <c r="K19" s="5">
        <v>9.07</v>
      </c>
      <c r="L19" s="5">
        <v>8.5990000000000002</v>
      </c>
      <c r="M19" s="5">
        <v>8.2249999999999996</v>
      </c>
      <c r="N19" s="5">
        <v>7.6106999999999996</v>
      </c>
      <c r="O19" s="5">
        <v>6.9747000000000003</v>
      </c>
      <c r="P19" s="5">
        <v>9.02</v>
      </c>
      <c r="Q19" s="5">
        <v>8.7279999999999998</v>
      </c>
      <c r="R19" s="5">
        <v>8.2742000000000004</v>
      </c>
      <c r="S19" s="5">
        <v>7.8392999999999997</v>
      </c>
      <c r="T19" s="5">
        <v>5.0651999999999999</v>
      </c>
      <c r="U19" s="5">
        <v>4.7727000000000004</v>
      </c>
      <c r="V19" s="5">
        <v>4.4119999999999999</v>
      </c>
      <c r="W19" s="5">
        <v>4.0293000000000001</v>
      </c>
      <c r="X19">
        <v>9</v>
      </c>
      <c r="Y19" s="5">
        <f>IF(ISNUMBER(SEARCH("PowerHA Standby", G19)), VLOOKUP(VLOOKUP(A19, PowerHA!A:B, 2, FALSE), A:Y, 25, FALSE) * $O$42,CEILING(INDEX(K19:W19, MATCH(B19, {"P","G1","G2","G3","G4","O1","O2","O3","O4","B1","B2","B3","B4"}, 0)), 0.05))</f>
        <v>9.1</v>
      </c>
      <c r="Z19" s="5">
        <f t="shared" si="7"/>
        <v>9.9999999999999645E-2</v>
      </c>
      <c r="AA19" s="1">
        <f t="shared" si="6"/>
        <v>1.1111111111111072E-2</v>
      </c>
      <c r="AC19" t="s">
        <v>100</v>
      </c>
      <c r="AD19" t="b">
        <f t="shared" si="4"/>
        <v>1</v>
      </c>
    </row>
    <row r="20" spans="1:30" x14ac:dyDescent="0.2">
      <c r="A20" s="8" t="s">
        <v>102</v>
      </c>
      <c r="B20" s="15" t="s">
        <v>45</v>
      </c>
      <c r="C20" s="8" t="s">
        <v>33</v>
      </c>
      <c r="D20" s="8" t="s">
        <v>28</v>
      </c>
      <c r="E20" s="8" t="b">
        <v>0</v>
      </c>
      <c r="F20" s="8" t="s">
        <v>80</v>
      </c>
      <c r="G20" t="s">
        <v>36</v>
      </c>
      <c r="H20" t="s">
        <v>111</v>
      </c>
      <c r="I20">
        <v>10</v>
      </c>
      <c r="J20" s="5">
        <v>9.76</v>
      </c>
      <c r="K20" s="5">
        <v>6.33</v>
      </c>
      <c r="L20" s="5">
        <v>5.3376000000000001</v>
      </c>
      <c r="M20" s="5">
        <v>4.9560000000000004</v>
      </c>
      <c r="N20" s="5">
        <v>4.6426999999999996</v>
      </c>
      <c r="O20" s="5">
        <v>4.3872999999999998</v>
      </c>
      <c r="P20" s="5">
        <v>6.2537000000000003</v>
      </c>
      <c r="Q20" s="5">
        <v>5.6069000000000004</v>
      </c>
      <c r="R20" s="5">
        <v>4.992</v>
      </c>
      <c r="S20" s="5">
        <v>4.7153</v>
      </c>
      <c r="T20" s="5">
        <v>3.254</v>
      </c>
      <c r="U20" s="5">
        <v>3.05</v>
      </c>
      <c r="V20" s="5">
        <v>2.8273000000000001</v>
      </c>
      <c r="W20" s="5">
        <v>2.6413000000000002</v>
      </c>
      <c r="X20">
        <v>6</v>
      </c>
      <c r="Y20" s="5">
        <f>IF(ISNUMBER(SEARCH("PowerHA Standby", G20)), VLOOKUP(VLOOKUP(A20, PowerHA!A:B, 2, FALSE), A:Y, 25, FALSE) * $O$42,CEILING(INDEX(K20:W20, MATCH(B20, {"P","G1","G2","G3","G4","O1","O2","O3","O4","B1","B2","B3","B4"}, 0)), 0.05))</f>
        <v>6.3500000000000005</v>
      </c>
      <c r="Z20" s="5">
        <f t="shared" si="7"/>
        <v>0.35000000000000053</v>
      </c>
      <c r="AA20" s="1">
        <f t="shared" si="6"/>
        <v>5.8333333333333424E-2</v>
      </c>
      <c r="AC20" t="s">
        <v>102</v>
      </c>
      <c r="AD20" t="b">
        <f t="shared" si="4"/>
        <v>1</v>
      </c>
    </row>
    <row r="21" spans="1:30" x14ac:dyDescent="0.2">
      <c r="A21" s="8" t="s">
        <v>120</v>
      </c>
      <c r="B21" s="15" t="s">
        <v>45</v>
      </c>
      <c r="C21" s="8" t="s">
        <v>45</v>
      </c>
      <c r="D21" s="8" t="s">
        <v>46</v>
      </c>
      <c r="E21" s="8" t="b">
        <v>0</v>
      </c>
      <c r="F21" s="8" t="s">
        <v>80</v>
      </c>
      <c r="G21" t="s">
        <v>46</v>
      </c>
      <c r="H21" t="s">
        <v>30</v>
      </c>
      <c r="I21">
        <v>0</v>
      </c>
      <c r="J21" s="5">
        <v>2.14</v>
      </c>
      <c r="K21" s="5">
        <v>1.23</v>
      </c>
      <c r="L21" s="5">
        <v>1.0805</v>
      </c>
      <c r="M21" s="5">
        <v>0.98050000000000004</v>
      </c>
      <c r="N21" s="5">
        <v>0.8931</v>
      </c>
      <c r="O21" s="5">
        <v>0.82740000000000002</v>
      </c>
      <c r="P21" s="5">
        <v>1.1506000000000001</v>
      </c>
      <c r="Q21" s="5">
        <v>1.0423</v>
      </c>
      <c r="R21" s="5">
        <v>0.95509999999999995</v>
      </c>
      <c r="S21" s="5">
        <v>0.90439999999999998</v>
      </c>
      <c r="T21" s="5">
        <v>0.85219999999999996</v>
      </c>
      <c r="U21" s="5">
        <v>0.7107</v>
      </c>
      <c r="V21" s="5">
        <v>0.58609999999999995</v>
      </c>
      <c r="W21" s="5">
        <v>0.52210000000000001</v>
      </c>
      <c r="X21">
        <v>8</v>
      </c>
      <c r="Y21" s="5">
        <f>IF(ISNUMBER(SEARCH("PowerHA Standby", G21)), VLOOKUP(VLOOKUP(A21, PowerHA!A:B, 2, FALSE), A:Y, 25, FALSE) * $O$42,CEILING(INDEX(K21:W21, MATCH(B21, {"P","G1","G2","G3","G4","O1","O2","O3","O4","B1","B2","B3","B4"}, 0)), 0.05))</f>
        <v>1.25</v>
      </c>
      <c r="Z21" s="5">
        <f t="shared" si="7"/>
        <v>-6.75</v>
      </c>
      <c r="AA21" s="1">
        <f t="shared" si="6"/>
        <v>-0.84375</v>
      </c>
      <c r="AC21" t="s">
        <v>120</v>
      </c>
      <c r="AD21" t="b">
        <f t="shared" si="4"/>
        <v>1</v>
      </c>
    </row>
    <row r="22" spans="1:30" x14ac:dyDescent="0.2">
      <c r="A22" s="8" t="s">
        <v>121</v>
      </c>
      <c r="B22" s="15" t="s">
        <v>45</v>
      </c>
      <c r="C22" s="8" t="s">
        <v>45</v>
      </c>
      <c r="D22" s="8" t="s">
        <v>46</v>
      </c>
      <c r="E22" s="8" t="b">
        <v>0</v>
      </c>
      <c r="F22" s="8" t="s">
        <v>80</v>
      </c>
      <c r="G22" t="s">
        <v>46</v>
      </c>
      <c r="H22" t="s">
        <v>30</v>
      </c>
      <c r="I22">
        <v>0</v>
      </c>
      <c r="J22" s="5">
        <v>2.88</v>
      </c>
      <c r="K22" s="5">
        <v>2.2200000000000002</v>
      </c>
      <c r="L22" s="5">
        <v>2.036</v>
      </c>
      <c r="M22" s="5">
        <v>1.9079999999999999</v>
      </c>
      <c r="N22" s="5">
        <v>1.7766999999999999</v>
      </c>
      <c r="O22" s="5">
        <v>1.6779999999999999</v>
      </c>
      <c r="P22" s="5">
        <v>2.1379999999999999</v>
      </c>
      <c r="Q22" s="5">
        <v>2.0419999999999998</v>
      </c>
      <c r="R22" s="5">
        <v>1.8993</v>
      </c>
      <c r="S22" s="5">
        <v>1.8027</v>
      </c>
      <c r="T22" s="5">
        <v>1.796</v>
      </c>
      <c r="U22" s="5">
        <v>1.5994999999999999</v>
      </c>
      <c r="V22" s="5">
        <v>1.4376</v>
      </c>
      <c r="W22" s="5">
        <v>1.3325</v>
      </c>
      <c r="X22">
        <v>8</v>
      </c>
      <c r="Y22" s="5">
        <f>IF(ISNUMBER(SEARCH("PowerHA Standby", G22)), VLOOKUP(VLOOKUP(A22, PowerHA!A:B, 2, FALSE), A:Y, 25, FALSE) * $O$42,CEILING(INDEX(K22:W22, MATCH(B22, {"P","G1","G2","G3","G4","O1","O2","O3","O4","B1","B2","B3","B4"}, 0)), 0.05))</f>
        <v>2.25</v>
      </c>
      <c r="Z22" s="5">
        <f t="shared" si="7"/>
        <v>-5.75</v>
      </c>
      <c r="AA22" s="1">
        <f t="shared" si="6"/>
        <v>-0.71875</v>
      </c>
      <c r="AC22" t="s">
        <v>121</v>
      </c>
      <c r="AD22" t="b">
        <f t="shared" si="4"/>
        <v>1</v>
      </c>
    </row>
    <row r="23" spans="1:30" x14ac:dyDescent="0.2">
      <c r="A23" s="9" t="s">
        <v>105</v>
      </c>
      <c r="B23" s="16" t="s">
        <v>49</v>
      </c>
      <c r="C23" s="9" t="s">
        <v>37</v>
      </c>
      <c r="D23" s="9" t="s">
        <v>38</v>
      </c>
      <c r="E23" s="9" t="b">
        <v>0</v>
      </c>
      <c r="F23" s="9" t="s">
        <v>81</v>
      </c>
      <c r="G23" t="s">
        <v>41</v>
      </c>
      <c r="H23" t="s">
        <v>30</v>
      </c>
      <c r="I23">
        <v>0</v>
      </c>
      <c r="J23" s="5">
        <v>1.79</v>
      </c>
      <c r="K23" s="5">
        <v>0.97060000000000002</v>
      </c>
      <c r="L23" s="5">
        <v>0.52249999999999996</v>
      </c>
      <c r="M23" s="5">
        <v>0.31840000000000002</v>
      </c>
      <c r="N23" s="5">
        <v>0.20799999999999999</v>
      </c>
      <c r="O23" s="5">
        <v>0.13589999999999999</v>
      </c>
      <c r="P23" s="5">
        <v>0.38040000000000002</v>
      </c>
      <c r="Q23" s="5">
        <v>0.2505</v>
      </c>
      <c r="R23" s="5">
        <v>0.17699999999999999</v>
      </c>
      <c r="S23" s="5">
        <v>0.1265</v>
      </c>
      <c r="T23" s="5">
        <v>0.57720000000000005</v>
      </c>
      <c r="U23" s="5">
        <v>0.38779999999999998</v>
      </c>
      <c r="V23" s="5">
        <v>0.26779999999999998</v>
      </c>
      <c r="W23" s="5">
        <v>0.1842</v>
      </c>
      <c r="X23">
        <v>6</v>
      </c>
      <c r="Y23" s="5">
        <f>IF(ISNUMBER(SEARCH("PowerHA Standby", G23)), VLOOKUP(VLOOKUP(A23, PowerHA!A:B, 2, FALSE), A:Y, 25, FALSE) * $O$42,CEILING(INDEX(K23:W23, MATCH(B23, {"P","G1","G2","G3","G4","O1","O2","O3","O4","B1","B2","B3","B4"}, 0)), 0.05))</f>
        <v>0.22500000000000003</v>
      </c>
      <c r="Z23" s="5">
        <f>Y23-X23</f>
        <v>-5.7750000000000004</v>
      </c>
      <c r="AA23" s="1">
        <f t="shared" ref="AA23:AA29" si="8">(Y23-X23)/X23</f>
        <v>-0.96250000000000002</v>
      </c>
      <c r="AC23" t="s">
        <v>105</v>
      </c>
      <c r="AD23" t="b">
        <f t="shared" ref="AD23:AD29" si="9">AC23=A23</f>
        <v>1</v>
      </c>
    </row>
    <row r="24" spans="1:30" x14ac:dyDescent="0.2">
      <c r="A24" s="9" t="s">
        <v>88</v>
      </c>
      <c r="B24" s="16" t="s">
        <v>44</v>
      </c>
      <c r="C24" s="9" t="s">
        <v>39</v>
      </c>
      <c r="D24" s="9" t="s">
        <v>40</v>
      </c>
      <c r="E24" s="9" t="b">
        <v>0</v>
      </c>
      <c r="F24" s="9" t="s">
        <v>81</v>
      </c>
      <c r="G24" t="s">
        <v>29</v>
      </c>
      <c r="H24" t="s">
        <v>30</v>
      </c>
      <c r="I24">
        <v>0</v>
      </c>
      <c r="J24" s="5">
        <v>1.71</v>
      </c>
      <c r="K24" s="5">
        <v>1.0900000000000001</v>
      </c>
      <c r="L24" s="5">
        <v>1.0640000000000001</v>
      </c>
      <c r="M24" s="5">
        <v>1.052</v>
      </c>
      <c r="N24" s="5">
        <v>0.36880000000000002</v>
      </c>
      <c r="O24" s="5">
        <v>0.1719</v>
      </c>
      <c r="P24" s="5">
        <v>1.0620000000000001</v>
      </c>
      <c r="Q24" s="5">
        <v>0.189</v>
      </c>
      <c r="R24" s="5">
        <v>0.16569999999999999</v>
      </c>
      <c r="S24" s="5">
        <v>0.1467</v>
      </c>
      <c r="T24" s="5">
        <v>1.0660000000000001</v>
      </c>
      <c r="U24" s="5">
        <v>1.0549999999999999</v>
      </c>
      <c r="V24" s="5">
        <v>0.6613</v>
      </c>
      <c r="W24" s="5">
        <v>0.2676</v>
      </c>
      <c r="X24">
        <v>3</v>
      </c>
      <c r="Y24" s="5">
        <f>IF(ISNUMBER(SEARCH("PowerHA Standby", G24)), VLOOKUP(VLOOKUP(A24, PowerHA!A:B, 2, FALSE), A:Y, 25, FALSE) * $O$42,CEILING(INDEX(K24:W24, MATCH(B24, {"P","G1","G2","G3","G4","O1","O2","O3","O4","B1","B2","B3","B4"}, 0)), 0.05))</f>
        <v>1.1000000000000001</v>
      </c>
      <c r="Z24" s="5">
        <f t="shared" ref="Z24:Z30" si="10">Y24-X24</f>
        <v>-1.9</v>
      </c>
      <c r="AA24" s="1">
        <f t="shared" si="8"/>
        <v>-0.6333333333333333</v>
      </c>
      <c r="AC24" t="s">
        <v>88</v>
      </c>
      <c r="AD24" t="b">
        <f t="shared" si="9"/>
        <v>1</v>
      </c>
    </row>
    <row r="25" spans="1:30" x14ac:dyDescent="0.2">
      <c r="A25" s="9" t="s">
        <v>107</v>
      </c>
      <c r="B25" s="16" t="s">
        <v>44</v>
      </c>
      <c r="C25" s="9" t="s">
        <v>37</v>
      </c>
      <c r="D25" s="9" t="s">
        <v>38</v>
      </c>
      <c r="E25" s="9" t="b">
        <v>0</v>
      </c>
      <c r="F25" s="9" t="s">
        <v>81</v>
      </c>
      <c r="G25" t="s">
        <v>41</v>
      </c>
      <c r="H25" t="s">
        <v>30</v>
      </c>
      <c r="I25">
        <v>0</v>
      </c>
      <c r="J25" s="5">
        <v>1.36</v>
      </c>
      <c r="K25" s="5">
        <v>0.59030000000000005</v>
      </c>
      <c r="L25" s="5">
        <v>0.38440000000000002</v>
      </c>
      <c r="M25" s="5">
        <v>0.24540000000000001</v>
      </c>
      <c r="N25" s="5">
        <v>0.14130000000000001</v>
      </c>
      <c r="O25" s="5">
        <v>9.2999999999999999E-2</v>
      </c>
      <c r="P25" s="5">
        <v>0.23150000000000001</v>
      </c>
      <c r="Q25" s="5">
        <v>0.14580000000000001</v>
      </c>
      <c r="R25" s="5">
        <v>0.10009999999999999</v>
      </c>
      <c r="S25" s="5">
        <v>8.2500000000000004E-2</v>
      </c>
      <c r="T25" s="5">
        <v>0.4592</v>
      </c>
      <c r="U25" s="5">
        <v>0.27839999999999998</v>
      </c>
      <c r="V25" s="5">
        <v>0.19989999999999999</v>
      </c>
      <c r="W25" s="5">
        <v>0.1171</v>
      </c>
      <c r="X25">
        <v>0.4</v>
      </c>
      <c r="Y25" s="5">
        <f>IF(ISNUMBER(SEARCH("PowerHA Standby", G25)), VLOOKUP(VLOOKUP(A25, PowerHA!A:B, 2, FALSE), A:Y, 25, FALSE) * $O$42,CEILING(INDEX(K25:W25, MATCH(B25, {"P","G1","G2","G3","G4","O1","O2","O3","O4","B1","B2","B3","B4"}, 0)), 0.05))</f>
        <v>0.1875</v>
      </c>
      <c r="Z25" s="5">
        <f t="shared" si="10"/>
        <v>-0.21250000000000002</v>
      </c>
      <c r="AA25" s="1">
        <f t="shared" si="8"/>
        <v>-0.53125</v>
      </c>
      <c r="AC25" t="s">
        <v>107</v>
      </c>
      <c r="AD25" t="b">
        <f t="shared" si="9"/>
        <v>1</v>
      </c>
    </row>
    <row r="26" spans="1:30" x14ac:dyDescent="0.2">
      <c r="A26" s="9" t="s">
        <v>87</v>
      </c>
      <c r="B26" s="16" t="s">
        <v>44</v>
      </c>
      <c r="C26" s="9" t="s">
        <v>34</v>
      </c>
      <c r="D26" s="9" t="s">
        <v>35</v>
      </c>
      <c r="E26" s="9" t="b">
        <v>0</v>
      </c>
      <c r="F26" s="9" t="s">
        <v>81</v>
      </c>
      <c r="G26" t="s">
        <v>41</v>
      </c>
      <c r="H26" t="s">
        <v>30</v>
      </c>
      <c r="I26">
        <v>0</v>
      </c>
      <c r="J26" s="5">
        <v>1.1200000000000001</v>
      </c>
      <c r="K26" s="5">
        <v>0.42699999999999999</v>
      </c>
      <c r="L26" s="5">
        <v>0.14180000000000001</v>
      </c>
      <c r="M26" s="5">
        <v>9.0800000000000006E-2</v>
      </c>
      <c r="N26" s="5">
        <v>6.3399999999999998E-2</v>
      </c>
      <c r="O26" s="5">
        <v>4.19E-2</v>
      </c>
      <c r="P26" s="5">
        <v>0.1174</v>
      </c>
      <c r="Q26" s="5">
        <v>7.7600000000000002E-2</v>
      </c>
      <c r="R26" s="5">
        <v>4.4400000000000002E-2</v>
      </c>
      <c r="S26" s="5">
        <v>4.0300000000000002E-2</v>
      </c>
      <c r="T26" s="5">
        <v>0.22220000000000001</v>
      </c>
      <c r="U26" s="5">
        <v>0.1273</v>
      </c>
      <c r="V26" s="5">
        <v>7.7399999999999997E-2</v>
      </c>
      <c r="W26" s="5">
        <v>4.9299999999999997E-2</v>
      </c>
      <c r="X26">
        <v>0.2</v>
      </c>
      <c r="Y26" s="5">
        <f>IF(ISNUMBER(SEARCH("PowerHA Standby", G26)), VLOOKUP(VLOOKUP(A26, PowerHA!A:B, 2, FALSE), A:Y, 25, FALSE) * $O$42,CEILING(INDEX(K26:W26, MATCH(B26, {"P","G1","G2","G3","G4","O1","O2","O3","O4","B1","B2","B3","B4"}, 0)), 0.05))</f>
        <v>7.5000000000000011E-2</v>
      </c>
      <c r="Z26" s="5">
        <f t="shared" si="10"/>
        <v>-0.125</v>
      </c>
      <c r="AA26" s="1">
        <f t="shared" si="8"/>
        <v>-0.625</v>
      </c>
      <c r="AC26" t="s">
        <v>87</v>
      </c>
      <c r="AD26" t="b">
        <f t="shared" si="9"/>
        <v>1</v>
      </c>
    </row>
    <row r="27" spans="1:30" x14ac:dyDescent="0.2">
      <c r="A27" s="9" t="s">
        <v>109</v>
      </c>
      <c r="B27" s="16" t="s">
        <v>44</v>
      </c>
      <c r="C27" s="9" t="s">
        <v>34</v>
      </c>
      <c r="D27" s="9" t="s">
        <v>35</v>
      </c>
      <c r="E27" s="9" t="b">
        <v>0</v>
      </c>
      <c r="F27" s="9" t="s">
        <v>81</v>
      </c>
      <c r="G27" t="s">
        <v>41</v>
      </c>
      <c r="H27" t="s">
        <v>113</v>
      </c>
      <c r="I27">
        <v>11</v>
      </c>
      <c r="J27" s="5">
        <v>1.27</v>
      </c>
      <c r="K27" s="5">
        <v>0.56200000000000006</v>
      </c>
      <c r="L27" s="5">
        <v>0.16439999999999999</v>
      </c>
      <c r="M27" s="5">
        <v>0.11559999999999999</v>
      </c>
      <c r="N27" s="5">
        <v>9.0300000000000005E-2</v>
      </c>
      <c r="O27" s="5">
        <v>6.3399999999999998E-2</v>
      </c>
      <c r="P27" s="5">
        <v>0.15840000000000001</v>
      </c>
      <c r="Q27" s="5">
        <v>0.11</v>
      </c>
      <c r="R27" s="5">
        <v>7.51E-2</v>
      </c>
      <c r="S27" s="5">
        <v>6.25E-2</v>
      </c>
      <c r="T27" s="5">
        <v>0.39119999999999999</v>
      </c>
      <c r="U27" s="5">
        <v>0.22919999999999999</v>
      </c>
      <c r="V27" s="5">
        <v>9.7900000000000001E-2</v>
      </c>
      <c r="W27" s="5">
        <v>6.7199999999999996E-2</v>
      </c>
      <c r="X27">
        <v>1</v>
      </c>
      <c r="Y27" s="5">
        <f>IF(ISNUMBER(SEARCH("PowerHA Standby", G27)), VLOOKUP(VLOOKUP(A27, PowerHA!A:B, 2, FALSE), A:Y, 25, FALSE) * $O$42,CEILING(INDEX(K27:W27, MATCH(B27, {"P","G1","G2","G3","G4","O1","O2","O3","O4","B1","B2","B3","B4"}, 0)), 0.05))</f>
        <v>0.63750000000000007</v>
      </c>
      <c r="Z27" s="5">
        <f t="shared" si="10"/>
        <v>-0.36249999999999993</v>
      </c>
      <c r="AA27" s="1">
        <f t="shared" si="8"/>
        <v>-0.36249999999999993</v>
      </c>
      <c r="AC27" t="s">
        <v>109</v>
      </c>
      <c r="AD27" t="b">
        <f t="shared" si="9"/>
        <v>1</v>
      </c>
    </row>
    <row r="28" spans="1:30" x14ac:dyDescent="0.2">
      <c r="A28" s="9" t="s">
        <v>122</v>
      </c>
      <c r="B28" s="16" t="s">
        <v>45</v>
      </c>
      <c r="C28" s="9" t="s">
        <v>45</v>
      </c>
      <c r="D28" s="9" t="s">
        <v>46</v>
      </c>
      <c r="E28" s="9" t="b">
        <v>0</v>
      </c>
      <c r="F28" s="9" t="s">
        <v>81</v>
      </c>
      <c r="G28" t="s">
        <v>46</v>
      </c>
      <c r="H28" t="s">
        <v>30</v>
      </c>
      <c r="I28">
        <v>0</v>
      </c>
      <c r="J28" s="5">
        <v>5.49</v>
      </c>
      <c r="K28" s="5">
        <v>3.4</v>
      </c>
      <c r="L28" s="5">
        <v>3.1560000000000001</v>
      </c>
      <c r="M28" s="5">
        <v>3.0659999999999998</v>
      </c>
      <c r="N28" s="5">
        <v>2.9232999999999998</v>
      </c>
      <c r="O28" s="5">
        <v>2.7867000000000002</v>
      </c>
      <c r="P28" s="5">
        <v>3.2440000000000002</v>
      </c>
      <c r="Q28" s="5">
        <v>3.1680000000000001</v>
      </c>
      <c r="R28" s="5">
        <v>3.0760000000000001</v>
      </c>
      <c r="S28" s="5">
        <v>2.9752999999999998</v>
      </c>
      <c r="T28" s="5">
        <v>2.548</v>
      </c>
      <c r="U28" s="5">
        <v>2.4009999999999998</v>
      </c>
      <c r="V28" s="5">
        <v>2.2393000000000001</v>
      </c>
      <c r="W28" s="5">
        <v>2.1177999999999999</v>
      </c>
      <c r="X28">
        <v>6</v>
      </c>
      <c r="Y28" s="5">
        <f>IF(ISNUMBER(SEARCH("PowerHA Standby", G28)), VLOOKUP(VLOOKUP(A28, PowerHA!A:B, 2, FALSE), A:Y, 25, FALSE) * $O$42,CEILING(INDEX(K28:W28, MATCH(B28, {"P","G1","G2","G3","G4","O1","O2","O3","O4","B1","B2","B3","B4"}, 0)), 0.05))</f>
        <v>3.4000000000000004</v>
      </c>
      <c r="Z28" s="5">
        <f t="shared" si="10"/>
        <v>-2.5999999999999996</v>
      </c>
      <c r="AA28" s="1">
        <f t="shared" si="8"/>
        <v>-0.43333333333333329</v>
      </c>
      <c r="AC28" t="s">
        <v>122</v>
      </c>
      <c r="AD28" t="b">
        <f t="shared" si="9"/>
        <v>1</v>
      </c>
    </row>
    <row r="29" spans="1:30" x14ac:dyDescent="0.2">
      <c r="A29" s="9" t="s">
        <v>123</v>
      </c>
      <c r="B29" s="16" t="s">
        <v>45</v>
      </c>
      <c r="C29" s="9" t="s">
        <v>45</v>
      </c>
      <c r="D29" s="9" t="s">
        <v>46</v>
      </c>
      <c r="E29" s="9" t="b">
        <v>0</v>
      </c>
      <c r="F29" s="9" t="s">
        <v>81</v>
      </c>
      <c r="G29" t="s">
        <v>46</v>
      </c>
      <c r="H29" t="s">
        <v>30</v>
      </c>
      <c r="I29">
        <v>0</v>
      </c>
      <c r="J29" s="5">
        <v>5.43</v>
      </c>
      <c r="K29" s="5">
        <v>4.82</v>
      </c>
      <c r="L29" s="5">
        <v>4.62</v>
      </c>
      <c r="M29" s="5">
        <v>4.5110000000000001</v>
      </c>
      <c r="N29" s="5">
        <v>4.3360000000000003</v>
      </c>
      <c r="O29" s="5">
        <v>3.9407000000000001</v>
      </c>
      <c r="P29" s="5">
        <v>4.508</v>
      </c>
      <c r="Q29" s="5">
        <v>4.4390000000000001</v>
      </c>
      <c r="R29" s="5">
        <v>3.6111</v>
      </c>
      <c r="S29" s="5">
        <v>2.8039999999999998</v>
      </c>
      <c r="T29" s="5">
        <v>4.6936</v>
      </c>
      <c r="U29" s="5">
        <v>4.5720000000000001</v>
      </c>
      <c r="V29" s="5">
        <v>4.4320000000000004</v>
      </c>
      <c r="W29" s="5">
        <v>4.2160000000000002</v>
      </c>
      <c r="X29">
        <v>6</v>
      </c>
      <c r="Y29" s="5">
        <f>IF(ISNUMBER(SEARCH("PowerHA Standby", G29)), VLOOKUP(VLOOKUP(A29, PowerHA!A:B, 2, FALSE), A:Y, 25, FALSE) * $O$42,CEILING(INDEX(K29:W29, MATCH(B29, {"P","G1","G2","G3","G4","O1","O2","O3","O4","B1","B2","B3","B4"}, 0)), 0.05))</f>
        <v>4.8500000000000005</v>
      </c>
      <c r="Z29" s="5">
        <f t="shared" si="10"/>
        <v>-1.1499999999999995</v>
      </c>
      <c r="AA29" s="1">
        <f t="shared" si="8"/>
        <v>-0.19166666666666657</v>
      </c>
      <c r="AC29" t="s">
        <v>123</v>
      </c>
      <c r="AD29" t="b">
        <f t="shared" si="9"/>
        <v>1</v>
      </c>
    </row>
    <row r="30" spans="1:30" x14ac:dyDescent="0.2">
      <c r="A30" s="10" t="s">
        <v>90</v>
      </c>
      <c r="B30" s="17" t="s">
        <v>44</v>
      </c>
      <c r="C30" s="10" t="s">
        <v>33</v>
      </c>
      <c r="D30" s="10" t="s">
        <v>28</v>
      </c>
      <c r="E30" s="10" t="b">
        <v>0</v>
      </c>
      <c r="F30" s="10" t="s">
        <v>82</v>
      </c>
      <c r="G30" t="s">
        <v>36</v>
      </c>
      <c r="H30" t="s">
        <v>112</v>
      </c>
      <c r="I30">
        <v>1</v>
      </c>
      <c r="J30" s="5">
        <v>2.92</v>
      </c>
      <c r="K30" s="5">
        <v>2.59</v>
      </c>
      <c r="L30" s="5">
        <v>2.286</v>
      </c>
      <c r="M30" s="5">
        <v>1.9713000000000001</v>
      </c>
      <c r="N30" s="5">
        <v>1.5452999999999999</v>
      </c>
      <c r="O30" s="5">
        <v>1.298</v>
      </c>
      <c r="P30" s="5">
        <v>2.3620000000000001</v>
      </c>
      <c r="Q30" s="5">
        <v>1.9124000000000001</v>
      </c>
      <c r="R30" s="5">
        <v>1.1767000000000001</v>
      </c>
      <c r="S30" s="5">
        <v>0.94820000000000004</v>
      </c>
      <c r="T30" s="5">
        <v>2.2360000000000002</v>
      </c>
      <c r="U30" s="5">
        <v>2.0169999999999999</v>
      </c>
      <c r="V30" s="5">
        <v>1.5965</v>
      </c>
      <c r="W30" s="5">
        <v>1.3567</v>
      </c>
      <c r="X30">
        <v>1.5</v>
      </c>
      <c r="Y30" s="5">
        <f>IF(ISNUMBER(SEARCH("PowerHA Standby", G30)), VLOOKUP(VLOOKUP(A30, PowerHA!A:B, 2, FALSE), A:Y, 25, FALSE) * $O$42,CEILING(INDEX(K30:W30, MATCH(B30, {"P","G1","G2","G3","G4","O1","O2","O3","O4","B1","B2","B3","B4"}, 0)), 0.05))</f>
        <v>2</v>
      </c>
      <c r="Z30" s="5">
        <f t="shared" si="10"/>
        <v>0.5</v>
      </c>
      <c r="AA30" s="1">
        <f t="shared" ref="AA30:AA36" si="11">(Y30-X30)/X30</f>
        <v>0.33333333333333331</v>
      </c>
      <c r="AC30" t="s">
        <v>90</v>
      </c>
      <c r="AD30" t="b">
        <f t="shared" ref="AD30:AD36" si="12">AC30=A30</f>
        <v>1</v>
      </c>
    </row>
    <row r="31" spans="1:30" x14ac:dyDescent="0.2">
      <c r="A31" s="10" t="s">
        <v>92</v>
      </c>
      <c r="B31" s="17" t="s">
        <v>44</v>
      </c>
      <c r="C31" s="10" t="s">
        <v>37</v>
      </c>
      <c r="D31" s="10" t="s">
        <v>38</v>
      </c>
      <c r="E31" s="10" t="b">
        <v>0</v>
      </c>
      <c r="F31" s="10" t="s">
        <v>82</v>
      </c>
      <c r="G31" t="s">
        <v>36</v>
      </c>
      <c r="H31" t="s">
        <v>30</v>
      </c>
      <c r="I31">
        <v>0</v>
      </c>
      <c r="J31" s="5">
        <v>0.997</v>
      </c>
      <c r="K31" s="5">
        <v>0.38240000000000002</v>
      </c>
      <c r="L31" s="5">
        <v>0.1736</v>
      </c>
      <c r="M31" s="5">
        <v>0.1482</v>
      </c>
      <c r="N31" s="5">
        <v>9.0800000000000006E-2</v>
      </c>
      <c r="O31" s="5">
        <v>5.5300000000000002E-2</v>
      </c>
      <c r="P31" s="5">
        <v>0.16450000000000001</v>
      </c>
      <c r="Q31" s="5">
        <v>0.14729999999999999</v>
      </c>
      <c r="R31" s="5">
        <v>9.1300000000000006E-2</v>
      </c>
      <c r="S31" s="5">
        <v>5.45E-2</v>
      </c>
      <c r="T31" s="5">
        <v>0.28689999999999999</v>
      </c>
      <c r="U31" s="5">
        <v>0.16289999999999999</v>
      </c>
      <c r="V31" s="5">
        <v>8.0100000000000005E-2</v>
      </c>
      <c r="W31" s="5">
        <v>5.7099999999999998E-2</v>
      </c>
      <c r="X31">
        <v>0.3</v>
      </c>
      <c r="Y31" s="5">
        <f>IF(ISNUMBER(SEARCH("PowerHA Standby", G31)), VLOOKUP(VLOOKUP(A31, PowerHA!A:B, 2, FALSE), A:Y, 25, FALSE) * $O$42,CEILING(INDEX(K31:W31, MATCH(B31, {"P","G1","G2","G3","G4","O1","O2","O3","O4","B1","B2","B3","B4"}, 0)), 0.05))</f>
        <v>0.15000000000000002</v>
      </c>
      <c r="Z31" s="5">
        <f>Y31-X31</f>
        <v>-0.14999999999999997</v>
      </c>
      <c r="AA31" s="1">
        <f t="shared" si="11"/>
        <v>-0.49999999999999989</v>
      </c>
      <c r="AC31" t="s">
        <v>92</v>
      </c>
      <c r="AD31" t="b">
        <f t="shared" si="12"/>
        <v>1</v>
      </c>
    </row>
    <row r="32" spans="1:30" x14ac:dyDescent="0.2">
      <c r="A32" s="10" t="s">
        <v>104</v>
      </c>
      <c r="B32" s="17" t="s">
        <v>44</v>
      </c>
      <c r="C32" s="10" t="s">
        <v>34</v>
      </c>
      <c r="D32" s="10" t="s">
        <v>35</v>
      </c>
      <c r="E32" s="10" t="b">
        <v>0</v>
      </c>
      <c r="F32" s="10" t="s">
        <v>82</v>
      </c>
      <c r="G32" t="s">
        <v>36</v>
      </c>
      <c r="H32" t="s">
        <v>30</v>
      </c>
      <c r="I32">
        <v>0</v>
      </c>
      <c r="J32" s="5">
        <v>1.08</v>
      </c>
      <c r="K32" s="5">
        <v>0.997</v>
      </c>
      <c r="L32" s="5">
        <v>0.48380000000000001</v>
      </c>
      <c r="M32" s="5">
        <v>0.26669999999999999</v>
      </c>
      <c r="N32" s="5">
        <v>0.1018</v>
      </c>
      <c r="O32" s="5">
        <v>8.4000000000000005E-2</v>
      </c>
      <c r="P32" s="5">
        <v>0.30830000000000002</v>
      </c>
      <c r="Q32" s="5">
        <v>0.16980000000000001</v>
      </c>
      <c r="R32" s="5">
        <v>0.10489999999999999</v>
      </c>
      <c r="S32" s="5">
        <v>9.2499999999999999E-2</v>
      </c>
      <c r="T32" s="5">
        <v>0.85899999999999999</v>
      </c>
      <c r="U32" s="5">
        <v>0.4471</v>
      </c>
      <c r="V32" s="5">
        <v>0.1188</v>
      </c>
      <c r="W32" s="5">
        <v>6.9099999999999995E-2</v>
      </c>
      <c r="X32">
        <v>0.4</v>
      </c>
      <c r="Y32" s="5">
        <f>IF(ISNUMBER(SEARCH("PowerHA Standby", G32)), VLOOKUP(VLOOKUP(A32, PowerHA!A:B, 2, FALSE), A:Y, 25, FALSE) * $O$42,CEILING(INDEX(K32:W32, MATCH(B32, {"P","G1","G2","G3","G4","O1","O2","O3","O4","B1","B2","B3","B4"}, 0)), 0.05))</f>
        <v>0.30000000000000004</v>
      </c>
      <c r="Z32" s="5">
        <f t="shared" ref="Z32:Z36" si="13">Y32-X32</f>
        <v>-9.9999999999999978E-2</v>
      </c>
      <c r="AA32" s="1">
        <f t="shared" si="11"/>
        <v>-0.24999999999999994</v>
      </c>
      <c r="AC32" t="s">
        <v>104</v>
      </c>
      <c r="AD32" t="b">
        <f t="shared" si="12"/>
        <v>1</v>
      </c>
    </row>
    <row r="33" spans="1:30" x14ac:dyDescent="0.2">
      <c r="A33" s="10" t="s">
        <v>108</v>
      </c>
      <c r="B33" s="17" t="s">
        <v>44</v>
      </c>
      <c r="C33" s="10" t="s">
        <v>33</v>
      </c>
      <c r="D33" s="10" t="s">
        <v>28</v>
      </c>
      <c r="E33" s="10" t="b">
        <v>0</v>
      </c>
      <c r="F33" s="10" t="s">
        <v>82</v>
      </c>
      <c r="G33" t="s">
        <v>36</v>
      </c>
      <c r="H33" t="s">
        <v>30</v>
      </c>
      <c r="I33">
        <v>0</v>
      </c>
      <c r="J33" s="5">
        <v>2.9</v>
      </c>
      <c r="K33" s="5">
        <v>1.1599999999999999</v>
      </c>
      <c r="L33" s="5">
        <v>0.88200000000000001</v>
      </c>
      <c r="M33" s="5">
        <v>0.80549999999999999</v>
      </c>
      <c r="N33" s="5">
        <v>0.7157</v>
      </c>
      <c r="O33" s="5">
        <v>0.63780000000000003</v>
      </c>
      <c r="P33" s="5">
        <v>0.94379999999999997</v>
      </c>
      <c r="Q33" s="5">
        <v>0.88280000000000003</v>
      </c>
      <c r="R33" s="5">
        <v>0.80489999999999995</v>
      </c>
      <c r="S33" s="5">
        <v>0.7429</v>
      </c>
      <c r="T33" s="5">
        <v>0.70540000000000003</v>
      </c>
      <c r="U33" s="5">
        <v>0.5161</v>
      </c>
      <c r="V33" s="5">
        <v>0.40600000000000003</v>
      </c>
      <c r="W33" s="5">
        <v>0.33610000000000001</v>
      </c>
      <c r="X33">
        <v>1.9</v>
      </c>
      <c r="Y33" s="5">
        <f>IF(ISNUMBER(SEARCH("PowerHA Standby", G33)), VLOOKUP(VLOOKUP(A33, PowerHA!A:B, 2, FALSE), A:Y, 25, FALSE) * $O$42,CEILING(INDEX(K33:W33, MATCH(B33, {"P","G1","G2","G3","G4","O1","O2","O3","O4","B1","B2","B3","B4"}, 0)), 0.05))</f>
        <v>0.85000000000000009</v>
      </c>
      <c r="Z33" s="5">
        <f t="shared" si="13"/>
        <v>-1.0499999999999998</v>
      </c>
      <c r="AA33" s="1">
        <f t="shared" si="11"/>
        <v>-0.55263157894736836</v>
      </c>
      <c r="AC33" t="s">
        <v>108</v>
      </c>
      <c r="AD33" t="b">
        <f t="shared" si="12"/>
        <v>1</v>
      </c>
    </row>
    <row r="34" spans="1:30" x14ac:dyDescent="0.2">
      <c r="A34" s="10" t="s">
        <v>106</v>
      </c>
      <c r="B34" s="17" t="s">
        <v>27</v>
      </c>
      <c r="C34" s="10" t="s">
        <v>34</v>
      </c>
      <c r="D34" s="10" t="s">
        <v>35</v>
      </c>
      <c r="E34" s="10" t="b">
        <v>0</v>
      </c>
      <c r="F34" s="10" t="s">
        <v>82</v>
      </c>
      <c r="G34" t="s">
        <v>36</v>
      </c>
      <c r="H34" t="s">
        <v>30</v>
      </c>
      <c r="I34">
        <v>0</v>
      </c>
      <c r="J34" s="5">
        <v>1.79</v>
      </c>
      <c r="K34" s="5">
        <v>1.2229000000000001</v>
      </c>
      <c r="L34" s="5">
        <v>0.5413</v>
      </c>
      <c r="M34" s="5">
        <v>0.36759999999999998</v>
      </c>
      <c r="N34" s="5">
        <v>0.2266</v>
      </c>
      <c r="O34" s="5">
        <v>0.1545</v>
      </c>
      <c r="P34" s="5">
        <v>0.29820000000000002</v>
      </c>
      <c r="Q34" s="5">
        <v>0.20219999999999999</v>
      </c>
      <c r="R34" s="5">
        <v>0.15079999999999999</v>
      </c>
      <c r="S34" s="5">
        <v>0.1115</v>
      </c>
      <c r="T34" s="5">
        <v>0.81230000000000002</v>
      </c>
      <c r="U34" s="5">
        <v>0.44390000000000002</v>
      </c>
      <c r="V34" s="5">
        <v>0.28289999999999998</v>
      </c>
      <c r="W34" s="5">
        <v>0.2135</v>
      </c>
      <c r="X34">
        <v>0.4</v>
      </c>
      <c r="Y34" s="5">
        <f>IF(ISNUMBER(SEARCH("PowerHA Standby", G34)), VLOOKUP(VLOOKUP(A34, PowerHA!A:B, 2, FALSE), A:Y, 25, FALSE) * $O$42,CEILING(INDEX(K34:W34, MATCH(B34, {"P","G1","G2","G3","G4","O1","O2","O3","O4","B1","B2","B3","B4"}, 0)), 0.05))</f>
        <v>0.25</v>
      </c>
      <c r="Z34" s="5">
        <f t="shared" si="13"/>
        <v>-0.15000000000000002</v>
      </c>
      <c r="AA34" s="1">
        <f t="shared" si="11"/>
        <v>-0.37500000000000006</v>
      </c>
      <c r="AC34" t="s">
        <v>106</v>
      </c>
      <c r="AD34" t="b">
        <f t="shared" si="12"/>
        <v>1</v>
      </c>
    </row>
    <row r="35" spans="1:30" x14ac:dyDescent="0.2">
      <c r="A35" s="10" t="s">
        <v>124</v>
      </c>
      <c r="B35" s="17" t="s">
        <v>45</v>
      </c>
      <c r="C35" s="10" t="s">
        <v>45</v>
      </c>
      <c r="D35" s="10" t="s">
        <v>46</v>
      </c>
      <c r="E35" s="10" t="b">
        <v>0</v>
      </c>
      <c r="F35" s="10" t="s">
        <v>82</v>
      </c>
      <c r="G35" t="s">
        <v>46</v>
      </c>
      <c r="H35" t="s">
        <v>30</v>
      </c>
      <c r="I35">
        <v>0</v>
      </c>
      <c r="J35" s="5">
        <v>4.97</v>
      </c>
      <c r="K35" s="5">
        <v>4.6900000000000004</v>
      </c>
      <c r="L35" s="5">
        <v>4.2873999999999999</v>
      </c>
      <c r="M35" s="5">
        <v>4.0119999999999996</v>
      </c>
      <c r="N35" s="5">
        <v>3.7206999999999999</v>
      </c>
      <c r="O35" s="5">
        <v>3.5072999999999999</v>
      </c>
      <c r="P35" s="5">
        <v>4.4737</v>
      </c>
      <c r="Q35" s="5">
        <v>4.2115</v>
      </c>
      <c r="R35" s="5">
        <v>3.9407000000000001</v>
      </c>
      <c r="S35" s="5">
        <v>3.746</v>
      </c>
      <c r="T35" s="5">
        <v>4.0419999999999998</v>
      </c>
      <c r="U35" s="5">
        <v>3.7082000000000002</v>
      </c>
      <c r="V35" s="5">
        <v>3.3546999999999998</v>
      </c>
      <c r="W35" s="5">
        <v>3.0777000000000001</v>
      </c>
      <c r="X35">
        <v>6</v>
      </c>
      <c r="Y35" s="5">
        <f>IF(ISNUMBER(SEARCH("PowerHA Standby", G35)), VLOOKUP(VLOOKUP(A35, PowerHA!A:B, 2, FALSE), A:Y, 25, FALSE) * $O$42,CEILING(INDEX(K35:W35, MATCH(B35, {"P","G1","G2","G3","G4","O1","O2","O3","O4","B1","B2","B3","B4"}, 0)), 0.05))</f>
        <v>4.7</v>
      </c>
      <c r="Z35" s="5">
        <f t="shared" si="13"/>
        <v>-1.2999999999999998</v>
      </c>
      <c r="AA35" s="1">
        <f t="shared" si="11"/>
        <v>-0.21666666666666665</v>
      </c>
      <c r="AC35" t="s">
        <v>124</v>
      </c>
      <c r="AD35" t="b">
        <f t="shared" si="12"/>
        <v>1</v>
      </c>
    </row>
    <row r="36" spans="1:30" x14ac:dyDescent="0.2">
      <c r="A36" s="10" t="s">
        <v>125</v>
      </c>
      <c r="B36" s="17" t="s">
        <v>45</v>
      </c>
      <c r="C36" s="10" t="s">
        <v>45</v>
      </c>
      <c r="D36" s="10" t="s">
        <v>46</v>
      </c>
      <c r="E36" s="10" t="b">
        <v>0</v>
      </c>
      <c r="F36" s="10" t="s">
        <v>82</v>
      </c>
      <c r="G36" t="s">
        <v>46</v>
      </c>
      <c r="H36" t="s">
        <v>30</v>
      </c>
      <c r="I36">
        <v>0</v>
      </c>
      <c r="J36" s="5">
        <v>5.15</v>
      </c>
      <c r="K36" s="5">
        <v>4.5</v>
      </c>
      <c r="L36" s="5">
        <v>4.1980000000000004</v>
      </c>
      <c r="M36" s="5">
        <v>3.9689999999999999</v>
      </c>
      <c r="N36" s="5">
        <v>3.6633</v>
      </c>
      <c r="O36" s="5">
        <v>3.3813</v>
      </c>
      <c r="P36" s="5">
        <v>4.0060000000000002</v>
      </c>
      <c r="Q36" s="5">
        <v>3.8</v>
      </c>
      <c r="R36" s="5">
        <v>3.5087000000000002</v>
      </c>
      <c r="S36" s="5">
        <v>3.3092999999999999</v>
      </c>
      <c r="T36" s="5">
        <v>4.1988000000000003</v>
      </c>
      <c r="U36" s="5">
        <v>3.9510000000000001</v>
      </c>
      <c r="V36" s="5">
        <v>3.5693000000000001</v>
      </c>
      <c r="W36" s="5">
        <v>3.254</v>
      </c>
      <c r="X36">
        <v>6</v>
      </c>
      <c r="Y36" s="5">
        <f>IF(ISNUMBER(SEARCH("PowerHA Standby", G36)), VLOOKUP(VLOOKUP(A36, PowerHA!A:B, 2, FALSE), A:Y, 25, FALSE) * $O$42,CEILING(INDEX(K36:W36, MATCH(B36, {"P","G1","G2","G3","G4","O1","O2","O3","O4","B1","B2","B3","B4"}, 0)), 0.05))</f>
        <v>4.5</v>
      </c>
      <c r="Z36" s="5">
        <f t="shared" si="13"/>
        <v>-1.5</v>
      </c>
      <c r="AA36" s="1">
        <f t="shared" si="11"/>
        <v>-0.25</v>
      </c>
      <c r="AC36" t="s">
        <v>125</v>
      </c>
      <c r="AD36" t="b">
        <f t="shared" si="12"/>
        <v>1</v>
      </c>
    </row>
    <row r="38" spans="1:30" x14ac:dyDescent="0.2">
      <c r="A38" s="3" t="s">
        <v>73</v>
      </c>
      <c r="W38" s="4" t="s">
        <v>52</v>
      </c>
      <c r="X38">
        <f>SUM(X2:X36)</f>
        <v>126.70000000000002</v>
      </c>
      <c r="Y38" s="5">
        <f>SUM(Y2:Y36)</f>
        <v>91.837499999999991</v>
      </c>
      <c r="Z38" s="5">
        <f>Y38-X38</f>
        <v>-34.862500000000026</v>
      </c>
      <c r="AA38" s="1">
        <f>IF(X38=0, "", Z38/X38)</f>
        <v>-0.27515785319652741</v>
      </c>
    </row>
    <row r="39" spans="1:30" x14ac:dyDescent="0.2">
      <c r="A39" s="11" t="s">
        <v>114</v>
      </c>
      <c r="W39" s="3" t="s">
        <v>51</v>
      </c>
      <c r="X39">
        <f>SUMIFS(X2:X36, G2:G36, "&lt;&gt;*PowerHA Standby*")</f>
        <v>116.80000000000001</v>
      </c>
      <c r="Y39">
        <f>SUMIFS(Y2:Y36, G2:G36, "&lt;&gt;*PowerHA Standby*")</f>
        <v>87.45</v>
      </c>
      <c r="Z39" s="5">
        <f>Y39-X39</f>
        <v>-29.350000000000009</v>
      </c>
      <c r="AA39" s="1">
        <f>IF(X39=0, "", Z39/X39)</f>
        <v>-0.25128424657534254</v>
      </c>
    </row>
    <row r="41" spans="1:30" x14ac:dyDescent="0.2">
      <c r="R41" s="5" t="s">
        <v>74</v>
      </c>
      <c r="S41" s="5" t="s">
        <v>75</v>
      </c>
      <c r="U41" s="5" t="s">
        <v>74</v>
      </c>
      <c r="V41" s="5" t="s">
        <v>75</v>
      </c>
    </row>
    <row r="42" spans="1:30" ht="103" thickBot="1" x14ac:dyDescent="0.25">
      <c r="A42" s="3" t="s">
        <v>115</v>
      </c>
      <c r="B42" s="13" t="s">
        <v>56</v>
      </c>
      <c r="C42" s="3" t="s">
        <v>71</v>
      </c>
      <c r="D42" s="3" t="s">
        <v>57</v>
      </c>
      <c r="E42" s="3" t="s">
        <v>58</v>
      </c>
      <c r="F42" s="20" t="s">
        <v>59</v>
      </c>
      <c r="G42" s="20" t="s">
        <v>67</v>
      </c>
      <c r="H42" s="20" t="s">
        <v>68</v>
      </c>
      <c r="I42" s="20" t="s">
        <v>69</v>
      </c>
      <c r="J42" s="20" t="s">
        <v>70</v>
      </c>
      <c r="N42" s="21" t="s">
        <v>61</v>
      </c>
      <c r="O42" s="22">
        <v>0.75</v>
      </c>
      <c r="P42" s="29"/>
      <c r="Q42" s="23" t="s">
        <v>62</v>
      </c>
      <c r="R42" s="26" t="str" cm="1">
        <f t="array" ref="R42">_xlfn.LET(
  _xlpm.sys, $F$2:$F$34,
  _xlpm.type, $G$2:$G$34,
  _xlpm.ent, $X$2:$X$34,
  _xlpm.rows, _xlfn._xlws.FILTER(_xlfn.HSTACK(_xlpm.sys, _xlpm.ent), NOT(_xlpm.type="VIO Server")),
  _xlpm.uniqSys, _xlfn.UNIQUE(INDEX(_xlpm.rows,,1)),
  _xlpm.sums, _xlfn.BYROW(_xlpm.uniqSys, _xlfn.LAMBDA(_xlpm.s, SUM(_xlfn._xlws.FILTER(INDEX(_xlpm.rows,,2), INDEX(_xlpm.rows,,1)=_xlpm.s)))),
  _xlfn.XLOOKUP(MAX(_xlpm.sums), _xlpm.sums, _xlpm.uniqSys)
)</f>
        <v>IBM,02788AA22</v>
      </c>
      <c r="S42" s="26" t="str" cm="1">
        <f t="array" ref="S42">_xlfn.LET(
  _xlpm.sys, $F$2:$F$34,
  _xlpm.type, $G$2:$G$34,
  _xlpm.ent, $Y$2:$Y$34,
  _xlpm.rows, _xlfn._xlws.FILTER(_xlfn.HSTACK(_xlpm.sys, _xlpm.ent), NOT(_xlpm.type="VIO Server")),
  _xlpm.uniqSys, _xlfn.UNIQUE(INDEX(_xlpm.rows,,1)),
  _xlpm.sums, _xlfn.BYROW(_xlpm.uniqSys, _xlfn.LAMBDA(_xlpm.s, SUM(_xlfn._xlws.FILTER(INDEX(_xlpm.rows,,2), INDEX(_xlpm.rows,,1)=_xlpm.s)))),
  _xlfn.XLOOKUP(MAX(_xlpm.sums), _xlpm.sums, _xlpm.uniqSys)
)</f>
        <v>IBM,02788AA22</v>
      </c>
      <c r="T42" s="23" t="s">
        <v>60</v>
      </c>
      <c r="U42" s="26" t="str" cm="1">
        <f t="array" ref="U42">_xlfn.LET(
  _xlpm.sys, $F$2:$F$34,
  _xlpm.type, $G$2:$G$34,
  _xlpm.ent, $X$2:$X$34,
  _xlpm.pharows, _xlfn._xlws.FILTER(_xlfn.HSTACK(_xlpm.sys, _xlpm.ent), ISNUMBER(SEARCH("PowerHA Primary", _xlpm.type))),
  _xlpm.uniqSys, _xlfn.UNIQUE(INDEX(_xlpm.pharows,,1)),
  _xlpm.sums, _xlfn.BYROW(_xlpm.uniqSys, _xlfn.LAMBDA(_xlpm.s, SUM(_xlfn._xlws.FILTER(INDEX(_xlpm.pharows,,2), INDEX(_xlpm.pharows,,1)=_xlpm.s)))),
  _xlpm.maxSum, MAX(_xlpm.sums),
  _xlfn.XLOOKUP(_xlpm.maxSum, _xlpm.sums, _xlpm.uniqSys)
)</f>
        <v>IBM,02788AA22</v>
      </c>
      <c r="V42" s="26" t="str" cm="1">
        <f t="array" ref="V42">_xlfn.LET(
  _xlpm.sys, $F$2:$F$34,
  _xlpm.type, $G$2:$G$34,
  _xlpm.ent, $X$2:$X$34,
  _xlpm.pharows, _xlfn._xlws.FILTER(_xlfn.HSTACK(_xlpm.sys, _xlpm.ent), ISNUMBER(SEARCH("PowerHA Primary", _xlpm.type))),
  _xlpm.uniqSys, _xlfn.UNIQUE(INDEX(_xlpm.pharows,,1)),
  _xlpm.sums, _xlfn.BYROW(_xlpm.uniqSys, _xlfn.LAMBDA(_xlpm.s, SUM(_xlfn._xlws.FILTER(INDEX(_xlpm.pharows,,2), INDEX(_xlpm.pharows,,1)=_xlpm.s)))),
  _xlpm.maxSum, MAX(_xlpm.sums),
  _xlfn.XLOOKUP(_xlpm.maxSum, _xlpm.sums, _xlpm.uniqSys)
)</f>
        <v>IBM,02788AA22</v>
      </c>
    </row>
    <row r="43" spans="1:30" ht="69" thickTop="1" x14ac:dyDescent="0.2">
      <c r="A43" t="str" cm="1">
        <f t="array" ref="A43:A47">_xlfn.UNIQUE(F2:F34)</f>
        <v>IBM,02788AA20</v>
      </c>
      <c r="B43" s="18">
        <f>SUMIFS($X$2:$X$36, $F$2:$F$36, A43)</f>
        <v>19.3</v>
      </c>
      <c r="C43">
        <f>SUMIFS($X$2:$X$36, $F$2:$F$36,$A43, $G$2:$G$36, "&lt;&gt;VIO Server")</f>
        <v>3.3</v>
      </c>
      <c r="D43">
        <f>SUMIFS($X$2:$X$36, $F$2:$F$36, A43, $G$2:$G$36, "*PowerHA Primary*")</f>
        <v>2.6</v>
      </c>
      <c r="E43" s="27">
        <f>SUMIFS($Y$2:$Y$36, $F$2:$F$36, A43)</f>
        <v>15.100000000000001</v>
      </c>
      <c r="F43" s="5">
        <f>SUMIFS($Y$2:$Y$36, $F$2:$F$36, A43, $G$2:$G$36, "&lt;&gt;VIO Server")</f>
        <v>2.4000000000000004</v>
      </c>
      <c r="G43">
        <f>SUMIFS($Y$2:$Y$36, $F$2:$F$36, A43, $G$2:$G$36, "&lt;&gt;*PowerHA Standby*")</f>
        <v>15.100000000000001</v>
      </c>
      <c r="H43">
        <f>SUMIFS(
  $Y$2:$Y$36,
  $F$2:$F$36, A43,
  $G$2:$G$36, "&lt;&gt;*PowerHA Standby*",
  $G$2:$G$36, "&lt;&gt;VIO Server"
)</f>
        <v>2.4000000000000004</v>
      </c>
      <c r="I43" cm="1">
        <f t="array" ref="I43">SUMPRODUCT(
  ($F$2:$F$36 = A43) *
  IF(ISNUMBER(SEARCH("PowerHA Standby", $G$2:$G$36)), $X$2:$X$36, $Y$2:$Y$36)
)</f>
        <v>15.100000000000001</v>
      </c>
      <c r="J43" cm="1">
        <f t="array" ref="J43">SUMPRODUCT(
  ($F$2:$F$36 = A43) *
  ($G$2:$G$36 &lt;&gt; "VIO Server") *
  IF(ISNUMBER(SEARCH("PowerHA Standby", $G$2:$G$36)), $X$2:$X$36, $Y$2:$Y$36)
)</f>
        <v>2.4000000000000004</v>
      </c>
      <c r="Q43" s="23" t="s">
        <v>65</v>
      </c>
      <c r="R43" s="24">
        <f>SUMIFS($X$2:$X$34, $F$2:$F$34, $R$42, $G$2:$G$34, "&lt;&gt;VIO Server")</f>
        <v>34</v>
      </c>
      <c r="S43" s="25">
        <f>SUMIFS($Y$2:$Y$34, $F$2:$F$34, $S$42, $G$2:$G$34, "&lt;&gt;VIO Server")</f>
        <v>34.200000000000003</v>
      </c>
      <c r="T43" s="23" t="s">
        <v>63</v>
      </c>
      <c r="U43" s="24">
        <f>SUMIFS($X$2:$X$34, $F$2:$F$34, $U$42, $G$2:$G$34, "*PowerHA Primary*")</f>
        <v>34</v>
      </c>
      <c r="V43" s="24">
        <f>SUMIFS($X$2:$X$34, $F$2:$F$34, $U$42, $G$2:$G$34, "*PowerHA Primary*")</f>
        <v>34</v>
      </c>
    </row>
    <row r="44" spans="1:30" ht="68" x14ac:dyDescent="0.2">
      <c r="A44" t="str">
        <v>IBM,02788AA21</v>
      </c>
      <c r="B44" s="18">
        <f>SUMIFS($X$2:$X$36, $F$2:$F$36, A44)</f>
        <v>18.3</v>
      </c>
      <c r="C44">
        <f t="shared" ref="C44:C47" si="14">SUMIFS($X$2:$X$36, $F$2:$F$36,$A44, $G$2:$G$36, "&lt;&gt;VIO Server")</f>
        <v>2.2999999999999998</v>
      </c>
      <c r="D44">
        <f t="shared" ref="D44:D47" si="15">SUMIFS($X$2:$X$36, $F$2:$F$36, A44, $G$2:$G$36, "*PowerHA Primary*")</f>
        <v>0</v>
      </c>
      <c r="E44" s="27">
        <f t="shared" ref="E44:E47" si="16">SUMIFS($Y$2:$Y$36, $F$2:$F$36, A44)</f>
        <v>15.8125</v>
      </c>
      <c r="F44" s="5">
        <f t="shared" ref="F44:F47" si="17">SUMIFS($Y$2:$Y$36, $F$2:$F$36, A44, $G$2:$G$36, "&lt;&gt;VIO Server")</f>
        <v>3.2624999999999997</v>
      </c>
      <c r="G44">
        <f t="shared" ref="G44:G47" si="18">SUMIFS($Y$2:$Y$36, $F$2:$F$36, A44, $G$2:$G$36, "&lt;&gt;*PowerHA Standby*")</f>
        <v>12.55</v>
      </c>
      <c r="H44">
        <f t="shared" ref="H44:H47" si="19">SUMIFS(
  $Y$2:$Y$36,
  $F$2:$F$36, A44,
  $G$2:$G$36, "&lt;&gt;*PowerHA Standby*",
  $G$2:$G$36, "&lt;&gt;VIO Server"
)</f>
        <v>0</v>
      </c>
      <c r="I44" cm="1">
        <f t="array" ref="I44">SUMPRODUCT(
  ($F$2:$F$36 = A44) *
  IF(ISNUMBER(SEARCH("PowerHA Standby", $G$2:$G$36)), $X$2:$X$36, $Y$2:$Y$36)
)</f>
        <v>14.850000000000001</v>
      </c>
      <c r="J44" cm="1">
        <f t="array" ref="J44">SUMPRODUCT(
  ($F$2:$F$36 = A44) *
  ($G$2:$G$36 &lt;&gt; "VIO Server") *
  IF(ISNUMBER(SEARCH("PowerHA Standby", $G$2:$G$36)), $X$2:$X$36, $Y$2:$Y$36)
)</f>
        <v>2.2999999999999998</v>
      </c>
      <c r="Q44" s="23" t="s">
        <v>64</v>
      </c>
      <c r="R44" s="25">
        <f>MAX(R43,U43)</f>
        <v>34</v>
      </c>
      <c r="S44" s="25"/>
      <c r="T44" s="25"/>
      <c r="U44" s="25"/>
      <c r="V44" s="25">
        <f>MAX(S43,V43)</f>
        <v>34.200000000000003</v>
      </c>
    </row>
    <row r="45" spans="1:30" ht="68" x14ac:dyDescent="0.2">
      <c r="A45" t="str">
        <v>IBM,02788AA22</v>
      </c>
      <c r="B45" s="18">
        <f>SUMIFS($X$2:$X$36, $F$2:$F$36, A45)</f>
        <v>50</v>
      </c>
      <c r="C45">
        <f t="shared" si="14"/>
        <v>34</v>
      </c>
      <c r="D45">
        <f t="shared" si="15"/>
        <v>34</v>
      </c>
      <c r="E45" s="27">
        <f t="shared" si="16"/>
        <v>37.700000000000003</v>
      </c>
      <c r="F45" s="5">
        <f t="shared" si="17"/>
        <v>34.200000000000003</v>
      </c>
      <c r="G45">
        <f t="shared" si="18"/>
        <v>37.700000000000003</v>
      </c>
      <c r="H45">
        <f t="shared" si="19"/>
        <v>34.200000000000003</v>
      </c>
      <c r="I45" cm="1">
        <f t="array" ref="I45">SUMPRODUCT(
  ($F$2:$F$36 = A45) *
  IF(ISNUMBER(SEARCH("PowerHA Standby", $G$2:$G$36)), $X$2:$X$36, $Y$2:$Y$36)
)</f>
        <v>37.700000000000003</v>
      </c>
      <c r="J45" cm="1">
        <f t="array" ref="J45">SUMPRODUCT(
  ($F$2:$F$36 = A45) *
  ($G$2:$G$36 &lt;&gt; "VIO Server") *
  IF(ISNUMBER(SEARCH("PowerHA Standby", $G$2:$G$36)), $X$2:$X$36, $Y$2:$Y$36)
)</f>
        <v>34.200000000000003</v>
      </c>
      <c r="Q45" s="23" t="s">
        <v>72</v>
      </c>
      <c r="R45" s="25">
        <f>R44/COUNTA(_xlfn.UNIQUE($F$2:$F$34))</f>
        <v>6.8</v>
      </c>
      <c r="S45" s="25"/>
      <c r="T45" s="25"/>
      <c r="U45" s="25"/>
      <c r="V45" s="25">
        <f>V44/COUNTA(_xlfn.UNIQUE($F$2:$F$34))</f>
        <v>6.8400000000000007</v>
      </c>
    </row>
    <row r="46" spans="1:30" x14ac:dyDescent="0.2">
      <c r="A46" t="str">
        <v>IBM,02788AA23</v>
      </c>
      <c r="B46" s="18">
        <f>SUMIFS($X$2:$X$36, $F$2:$F$36, A46)</f>
        <v>22.6</v>
      </c>
      <c r="C46">
        <f t="shared" si="14"/>
        <v>10.6</v>
      </c>
      <c r="D46">
        <f t="shared" si="15"/>
        <v>0</v>
      </c>
      <c r="E46" s="27">
        <f t="shared" si="16"/>
        <v>10.475000000000001</v>
      </c>
      <c r="F46" s="5">
        <f t="shared" si="17"/>
        <v>2.2250000000000001</v>
      </c>
      <c r="G46">
        <f t="shared" si="18"/>
        <v>9.3500000000000014</v>
      </c>
      <c r="H46">
        <f t="shared" si="19"/>
        <v>1.1000000000000001</v>
      </c>
      <c r="I46" cm="1">
        <f t="array" ref="I46">SUMPRODUCT(
  ($F$2:$F$36 = A46) *
  IF(ISNUMBER(SEARCH("PowerHA Standby", $G$2:$G$36)), $X$2:$X$36, $Y$2:$Y$36)
)</f>
        <v>16.95</v>
      </c>
      <c r="J46" cm="1">
        <f t="array" ref="J46">SUMPRODUCT(
  ($F$2:$F$36 = A46) *
  ($G$2:$G$36 &lt;&gt; "VIO Server") *
  IF(ISNUMBER(SEARCH("PowerHA Standby", $G$2:$G$36)), $X$2:$X$36, $Y$2:$Y$36)
)</f>
        <v>8.6999999999999993</v>
      </c>
    </row>
    <row r="47" spans="1:30" x14ac:dyDescent="0.2">
      <c r="A47" t="str">
        <v>IBM,02788AA24</v>
      </c>
      <c r="B47" s="18">
        <f>SUMIFS($X$2:$X$36, $F$2:$F$36, A47)</f>
        <v>16.5</v>
      </c>
      <c r="C47">
        <f t="shared" si="14"/>
        <v>4.5</v>
      </c>
      <c r="D47">
        <f t="shared" si="15"/>
        <v>4.5</v>
      </c>
      <c r="E47" s="27">
        <f t="shared" si="16"/>
        <v>12.75</v>
      </c>
      <c r="F47" s="5">
        <f t="shared" si="17"/>
        <v>3.5500000000000003</v>
      </c>
      <c r="G47">
        <f t="shared" si="18"/>
        <v>12.75</v>
      </c>
      <c r="H47">
        <f t="shared" si="19"/>
        <v>3.5500000000000003</v>
      </c>
      <c r="I47" cm="1">
        <f t="array" ref="I47">SUMPRODUCT(
  ($F$2:$F$36 = A47) *
  IF(ISNUMBER(SEARCH("PowerHA Standby", $G$2:$G$36)), $X$2:$X$36, $Y$2:$Y$36)
)</f>
        <v>12.75</v>
      </c>
      <c r="J47" cm="1">
        <f t="array" ref="J47">SUMPRODUCT(
  ($F$2:$F$36 = A47) *
  ($G$2:$G$36 &lt;&gt; "VIO Server") *
  IF(ISNUMBER(SEARCH("PowerHA Standby", $G$2:$G$36)), $X$2:$X$36, $Y$2:$Y$36)
)</f>
        <v>3.5500000000000003</v>
      </c>
    </row>
    <row r="48" spans="1:30" x14ac:dyDescent="0.2">
      <c r="A48" s="3" t="s">
        <v>66</v>
      </c>
      <c r="B48" s="28">
        <f>SUM(B43:B47)</f>
        <v>126.69999999999999</v>
      </c>
      <c r="C48" s="28">
        <f>SUM(C43:C47)</f>
        <v>54.7</v>
      </c>
      <c r="D48" s="28">
        <f>SUM(D43:D47)</f>
        <v>41.1</v>
      </c>
      <c r="E48" s="28">
        <f>SUM(E43:E47)</f>
        <v>91.837500000000006</v>
      </c>
      <c r="F48" s="28">
        <f>SUM(F43:F47)</f>
        <v>45.637500000000003</v>
      </c>
      <c r="G48" s="28">
        <f t="shared" ref="G48:J48" si="20">SUM(G43:G47)</f>
        <v>87.450000000000017</v>
      </c>
      <c r="H48" s="28">
        <f t="shared" si="20"/>
        <v>41.25</v>
      </c>
      <c r="I48" s="28">
        <f t="shared" si="20"/>
        <v>97.350000000000009</v>
      </c>
      <c r="J48" s="28">
        <f t="shared" si="20"/>
        <v>51.150000000000006</v>
      </c>
    </row>
  </sheetData>
  <autoFilter ref="A1:AC34" xr:uid="{187E7C2B-17B8-D843-9BA0-FA1CD1CA92A0}"/>
  <phoneticPr fontId="7" type="noConversion"/>
  <conditionalFormatting sqref="AA43:AA1048576 AA38:AA41 AA1:AA36">
    <cfRule type="colorScale" priority="40">
      <colorScale>
        <cfvo type="num" val="0"/>
        <cfvo type="num" val="1"/>
        <color theme="0"/>
        <color rgb="FFFF0000"/>
      </colorScale>
    </cfRule>
    <cfRule type="colorScale" priority="41">
      <colorScale>
        <cfvo type="num" val="0"/>
        <cfvo type="num" val="1"/>
        <color theme="0"/>
        <color rgb="FFC00000"/>
      </colorScale>
    </cfRule>
  </conditionalFormatting>
  <conditionalFormatting sqref="E50:E1048576 F42 E1:E41">
    <cfRule type="cellIs" dxfId="2" priority="12" operator="equal">
      <formula>TRUE</formula>
    </cfRule>
  </conditionalFormatting>
  <conditionalFormatting sqref="AA38:AA39 AA2:AA36">
    <cfRule type="colorScale" priority="9">
      <colorScale>
        <cfvo type="num" val="-1"/>
        <cfvo type="num" val="0"/>
        <cfvo type="num" val="1"/>
        <color rgb="FF00B050"/>
        <color theme="0"/>
        <color rgb="FFFF0000"/>
      </colorScale>
    </cfRule>
    <cfRule type="colorScale" priority="10">
      <colorScale>
        <cfvo type="formula" val="0"/>
        <cfvo type="formula" val="-100"/>
        <color theme="0"/>
        <color rgb="FF00B050"/>
      </colorScale>
    </cfRule>
    <cfRule type="colorScale" priority="11">
      <colorScale>
        <cfvo type="percentile" val="0"/>
        <cfvo type="percentile" val="100"/>
        <color theme="0"/>
        <color rgb="FF00B050"/>
      </colorScale>
    </cfRule>
  </conditionalFormatting>
  <conditionalFormatting sqref="AD1:AD1048576">
    <cfRule type="containsText" dxfId="1" priority="2" operator="containsText" text="FALSE">
      <formula>NOT(ISERROR(SEARCH("FALSE",AD1)))</formula>
    </cfRule>
  </conditionalFormatting>
  <conditionalFormatting sqref="G42:H42">
    <cfRule type="cellIs" dxfId="0" priority="1" operator="equal">
      <formula>TRUE</formula>
    </cfRule>
  </conditionalFormatting>
  <conditionalFormatting sqref="B2:B8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B8">
    <cfRule type="colorScale" priority="46">
      <colorScale>
        <cfvo type="min"/>
        <cfvo type="percentile" val="50"/>
        <cfvo type="max"/>
        <color rgb="FFFF0000"/>
        <color theme="0"/>
        <color rgb="FF00B050"/>
      </colorScale>
    </cfRule>
    <cfRule type="colorScale" priority="47">
      <colorScale>
        <cfvo type="min"/>
        <cfvo type="percentile" val="50"/>
        <cfvo type="max"/>
        <color rgb="FFFF0000"/>
        <color theme="0"/>
        <color theme="6"/>
      </colorScale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9324-183A-C84D-9E1C-95E22C7E5DBE}">
  <dimension ref="A1:B29"/>
  <sheetViews>
    <sheetView workbookViewId="0"/>
  </sheetViews>
  <sheetFormatPr baseColWidth="10" defaultRowHeight="16" x14ac:dyDescent="0.2"/>
  <cols>
    <col min="1" max="2" width="10.83203125" style="2"/>
  </cols>
  <sheetData>
    <row r="1" spans="1:2" s="3" customFormat="1" x14ac:dyDescent="0.2">
      <c r="A1" s="31" t="s">
        <v>157</v>
      </c>
      <c r="B1" s="31" t="s">
        <v>158</v>
      </c>
    </row>
    <row r="2" spans="1:2" x14ac:dyDescent="0.2">
      <c r="A2" s="2" t="s">
        <v>76</v>
      </c>
      <c r="B2" s="2" t="s">
        <v>77</v>
      </c>
    </row>
    <row r="3" spans="1:2" x14ac:dyDescent="0.2">
      <c r="A3" s="2" t="s">
        <v>77</v>
      </c>
      <c r="B3" s="2" t="s">
        <v>76</v>
      </c>
    </row>
    <row r="4" spans="1:2" x14ac:dyDescent="0.2">
      <c r="A4" s="2" t="s">
        <v>83</v>
      </c>
      <c r="B4" s="2" t="s">
        <v>84</v>
      </c>
    </row>
    <row r="5" spans="1:2" x14ac:dyDescent="0.2">
      <c r="A5" s="2" t="s">
        <v>84</v>
      </c>
      <c r="B5" s="2" t="s">
        <v>83</v>
      </c>
    </row>
    <row r="6" spans="1:2" x14ac:dyDescent="0.2">
      <c r="A6" s="2" t="s">
        <v>104</v>
      </c>
      <c r="B6" s="2" t="s">
        <v>105</v>
      </c>
    </row>
    <row r="7" spans="1:2" x14ac:dyDescent="0.2">
      <c r="A7" s="2" t="s">
        <v>105</v>
      </c>
      <c r="B7" s="2" t="s">
        <v>104</v>
      </c>
    </row>
    <row r="8" spans="1:2" x14ac:dyDescent="0.2">
      <c r="A8" s="2" t="s">
        <v>88</v>
      </c>
      <c r="B8" s="2" t="s">
        <v>89</v>
      </c>
    </row>
    <row r="9" spans="1:2" x14ac:dyDescent="0.2">
      <c r="A9" s="2" t="s">
        <v>89</v>
      </c>
      <c r="B9" s="2" t="s">
        <v>88</v>
      </c>
    </row>
    <row r="10" spans="1:2" x14ac:dyDescent="0.2">
      <c r="A10" s="2" t="s">
        <v>90</v>
      </c>
      <c r="B10" s="2" t="s">
        <v>91</v>
      </c>
    </row>
    <row r="11" spans="1:2" x14ac:dyDescent="0.2">
      <c r="A11" s="2" t="s">
        <v>91</v>
      </c>
      <c r="B11" s="2" t="s">
        <v>90</v>
      </c>
    </row>
    <row r="12" spans="1:2" x14ac:dyDescent="0.2">
      <c r="A12" s="2" t="s">
        <v>92</v>
      </c>
      <c r="B12" s="2" t="s">
        <v>93</v>
      </c>
    </row>
    <row r="13" spans="1:2" x14ac:dyDescent="0.2">
      <c r="A13" s="2" t="s">
        <v>93</v>
      </c>
      <c r="B13" s="2" t="s">
        <v>92</v>
      </c>
    </row>
    <row r="14" spans="1:2" x14ac:dyDescent="0.2">
      <c r="A14" s="2" t="s">
        <v>106</v>
      </c>
      <c r="B14" s="2" t="s">
        <v>107</v>
      </c>
    </row>
    <row r="15" spans="1:2" x14ac:dyDescent="0.2">
      <c r="A15" s="2" t="s">
        <v>107</v>
      </c>
      <c r="B15" s="2" t="s">
        <v>106</v>
      </c>
    </row>
    <row r="16" spans="1:2" x14ac:dyDescent="0.2">
      <c r="A16" s="2" t="s">
        <v>86</v>
      </c>
      <c r="B16" s="2" t="s">
        <v>87</v>
      </c>
    </row>
    <row r="17" spans="1:2" x14ac:dyDescent="0.2">
      <c r="A17" s="2" t="s">
        <v>87</v>
      </c>
      <c r="B17" s="2" t="s">
        <v>86</v>
      </c>
    </row>
    <row r="18" spans="1:2" x14ac:dyDescent="0.2">
      <c r="A18" s="2" t="s">
        <v>108</v>
      </c>
      <c r="B18" s="2" t="s">
        <v>109</v>
      </c>
    </row>
    <row r="19" spans="1:2" x14ac:dyDescent="0.2">
      <c r="A19" s="2" t="s">
        <v>109</v>
      </c>
      <c r="B19" s="2" t="s">
        <v>108</v>
      </c>
    </row>
    <row r="20" spans="1:2" x14ac:dyDescent="0.2">
      <c r="A20" s="2" t="s">
        <v>94</v>
      </c>
      <c r="B20" s="2" t="s">
        <v>95</v>
      </c>
    </row>
    <row r="21" spans="1:2" x14ac:dyDescent="0.2">
      <c r="A21" s="2" t="s">
        <v>95</v>
      </c>
      <c r="B21" s="2" t="s">
        <v>94</v>
      </c>
    </row>
    <row r="22" spans="1:2" x14ac:dyDescent="0.2">
      <c r="A22" s="2" t="s">
        <v>96</v>
      </c>
      <c r="B22" s="2" t="s">
        <v>97</v>
      </c>
    </row>
    <row r="23" spans="1:2" x14ac:dyDescent="0.2">
      <c r="A23" s="2" t="s">
        <v>97</v>
      </c>
      <c r="B23" s="2" t="s">
        <v>96</v>
      </c>
    </row>
    <row r="24" spans="1:2" x14ac:dyDescent="0.2">
      <c r="A24" s="2" t="s">
        <v>98</v>
      </c>
      <c r="B24" s="2" t="s">
        <v>99</v>
      </c>
    </row>
    <row r="25" spans="1:2" x14ac:dyDescent="0.2">
      <c r="A25" s="2" t="s">
        <v>99</v>
      </c>
      <c r="B25" s="2" t="s">
        <v>98</v>
      </c>
    </row>
    <row r="26" spans="1:2" x14ac:dyDescent="0.2">
      <c r="A26" s="2" t="s">
        <v>100</v>
      </c>
      <c r="B26" s="2" t="s">
        <v>101</v>
      </c>
    </row>
    <row r="27" spans="1:2" x14ac:dyDescent="0.2">
      <c r="A27" s="2" t="s">
        <v>101</v>
      </c>
      <c r="B27" s="2" t="s">
        <v>100</v>
      </c>
    </row>
    <row r="28" spans="1:2" x14ac:dyDescent="0.2">
      <c r="A28" s="2" t="s">
        <v>102</v>
      </c>
      <c r="B28" s="2" t="s">
        <v>103</v>
      </c>
    </row>
    <row r="29" spans="1:2" x14ac:dyDescent="0.2">
      <c r="A29" s="2" t="s">
        <v>103</v>
      </c>
      <c r="B29" s="2" t="s">
        <v>102</v>
      </c>
    </row>
  </sheetData>
  <sortState xmlns:xlrd2="http://schemas.microsoft.com/office/spreadsheetml/2017/richdata2" ref="A2:B29">
    <sortCondition ref="A2:A29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E9F9-CE49-6447-8296-299032B48FD4}">
  <dimension ref="A1:S14"/>
  <sheetViews>
    <sheetView workbookViewId="0">
      <selection activeCell="A3" sqref="A3"/>
    </sheetView>
  </sheetViews>
  <sheetFormatPr baseColWidth="10" defaultRowHeight="16" x14ac:dyDescent="0.2"/>
  <cols>
    <col min="1" max="1" width="12.1640625" bestFit="1" customWidth="1"/>
  </cols>
  <sheetData>
    <row r="1" spans="1:19" x14ac:dyDescent="0.2">
      <c r="A1" t="s">
        <v>47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149</v>
      </c>
      <c r="B2" t="s">
        <v>149</v>
      </c>
      <c r="C2" t="s">
        <v>144</v>
      </c>
      <c r="D2" t="s">
        <v>145</v>
      </c>
      <c r="E2" t="s">
        <v>150</v>
      </c>
      <c r="F2">
        <v>0</v>
      </c>
      <c r="G2" t="s">
        <v>30</v>
      </c>
      <c r="H2">
        <v>0</v>
      </c>
      <c r="I2" t="s">
        <v>30</v>
      </c>
      <c r="J2" t="s">
        <v>151</v>
      </c>
      <c r="K2" t="s">
        <v>29</v>
      </c>
      <c r="L2" t="s">
        <v>146</v>
      </c>
      <c r="M2" t="s">
        <v>152</v>
      </c>
      <c r="N2">
        <v>0.5</v>
      </c>
      <c r="O2">
        <v>1</v>
      </c>
      <c r="P2">
        <v>32768</v>
      </c>
      <c r="Q2" t="s">
        <v>147</v>
      </c>
      <c r="R2" t="s">
        <v>148</v>
      </c>
      <c r="S2">
        <v>5</v>
      </c>
    </row>
    <row r="6" spans="1:19" x14ac:dyDescent="0.2">
      <c r="A6" s="3" t="s">
        <v>156</v>
      </c>
    </row>
    <row r="7" spans="1:19" x14ac:dyDescent="0.2">
      <c r="A7" s="30" t="s">
        <v>29</v>
      </c>
      <c r="B7" s="30"/>
      <c r="C7" s="30"/>
    </row>
    <row r="8" spans="1:19" x14ac:dyDescent="0.2">
      <c r="A8" s="30" t="s">
        <v>36</v>
      </c>
      <c r="B8" s="30"/>
      <c r="C8" s="30"/>
    </row>
    <row r="9" spans="1:19" x14ac:dyDescent="0.2">
      <c r="A9" t="s">
        <v>41</v>
      </c>
    </row>
    <row r="10" spans="1:19" x14ac:dyDescent="0.2">
      <c r="A10" t="s">
        <v>43</v>
      </c>
    </row>
    <row r="11" spans="1:19" x14ac:dyDescent="0.2">
      <c r="A11" s="30" t="s">
        <v>153</v>
      </c>
      <c r="B11" s="30"/>
      <c r="C11" s="30"/>
    </row>
    <row r="12" spans="1:19" x14ac:dyDescent="0.2">
      <c r="A12" s="30" t="s">
        <v>154</v>
      </c>
      <c r="B12" s="30"/>
      <c r="C12" s="30"/>
    </row>
    <row r="13" spans="1:19" x14ac:dyDescent="0.2">
      <c r="A13" s="30" t="s">
        <v>155</v>
      </c>
      <c r="B13" s="30"/>
      <c r="C13" s="30"/>
    </row>
    <row r="14" spans="1:19" x14ac:dyDescent="0.2">
      <c r="A14" s="30" t="s">
        <v>46</v>
      </c>
      <c r="B14" s="30"/>
      <c r="C14" s="30"/>
    </row>
  </sheetData>
  <mergeCells count="6">
    <mergeCell ref="A13:C13"/>
    <mergeCell ref="A14:C14"/>
    <mergeCell ref="A7:C7"/>
    <mergeCell ref="A8:C8"/>
    <mergeCell ref="A11:C11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nFIT</vt:lpstr>
      <vt:lpstr>PowerHA</vt:lpstr>
      <vt:lpstr>Example - VM Config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Lambrechts, N. (Niel)</cp:lastModifiedBy>
  <dcterms:created xsi:type="dcterms:W3CDTF">2025-04-17T19:30:06Z</dcterms:created>
  <dcterms:modified xsi:type="dcterms:W3CDTF">2025-05-25T13:51:48Z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etDate">
    <vt:lpwstr>2025-04-17T19:35:18Z</vt:lpwstr>
  </property>
  <property fmtid="{D5CDD505-2E9C-101B-9397-08002B2CF9AE}" pid="4" name="MSIP_Label_fb3ff2d6-7c2c-441b-97b8-52c111077da7_Method">
    <vt:lpwstr>Standard</vt:lpwstr>
  </property>
  <property fmtid="{D5CDD505-2E9C-101B-9397-08002B2CF9AE}" pid="5" name="MSIP_Label_fb3ff2d6-7c2c-441b-97b8-52c111077da7_Name">
    <vt:lpwstr>fb3ff2d6-7c2c-441b-97b8-52c111077da7</vt:lpwstr>
  </property>
  <property fmtid="{D5CDD505-2E9C-101B-9397-08002B2CF9AE}" pid="6" name="MSIP_Label_fb3ff2d6-7c2c-441b-97b8-52c111077da7_SiteId">
    <vt:lpwstr>0b1d23d8-10d1-4093-8cb7-fd0bb32f81e1</vt:lpwstr>
  </property>
  <property fmtid="{D5CDD505-2E9C-101B-9397-08002B2CF9AE}" pid="7" name="MSIP_Label_fb3ff2d6-7c2c-441b-97b8-52c111077da7_ActionId">
    <vt:lpwstr>2b748f66-6f95-44ad-a5ff-35509c1bbc61</vt:lpwstr>
  </property>
  <property fmtid="{D5CDD505-2E9C-101B-9397-08002B2CF9AE}" pid="8" name="MSIP_Label_fb3ff2d6-7c2c-441b-97b8-52c111077da7_ContentBits">
    <vt:lpwstr>0</vt:lpwstr>
  </property>
</Properties>
</file>