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els/Projects/_3D Printing/klipper-configuration/doc/annex-k3/driver_tuning/"/>
    </mc:Choice>
  </mc:AlternateContent>
  <xr:revisionPtr revIDLastSave="0" documentId="13_ncr:1_{060E4CCB-A19C-7547-A606-3AA6F1DF3D77}" xr6:coauthVersionLast="47" xr6:coauthVersionMax="47" xr10:uidLastSave="{00000000-0000-0000-0000-000000000000}"/>
  <bookViews>
    <workbookView xWindow="2980" yWindow="980" windowWidth="25180" windowHeight="17040" activeTab="1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Datagram CRC calculation" sheetId="8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C7" i="6" s="1"/>
  <c r="B8" i="6"/>
  <c r="C8" i="6" s="1"/>
  <c r="B9" i="6"/>
  <c r="C9" i="6" s="1"/>
  <c r="B10" i="6"/>
  <c r="B11" i="6"/>
  <c r="C11" i="6" s="1"/>
  <c r="B12" i="6"/>
  <c r="B13" i="6"/>
  <c r="C13" i="6" s="1"/>
  <c r="B14" i="6"/>
  <c r="B15" i="6"/>
  <c r="C15" i="6" s="1"/>
  <c r="B16" i="6"/>
  <c r="B17" i="6"/>
  <c r="C17" i="6" s="1"/>
  <c r="B18" i="6"/>
  <c r="B6" i="6"/>
  <c r="C6" i="6" s="1"/>
  <c r="C10" i="6"/>
  <c r="C12" i="6"/>
  <c r="C14" i="6"/>
  <c r="C16" i="6"/>
  <c r="C18" i="6"/>
  <c r="B5" i="6"/>
  <c r="C5" i="6"/>
  <c r="C42" i="5"/>
  <c r="D22" i="8"/>
  <c r="F25" i="8" s="1"/>
  <c r="F26" i="8" s="1"/>
  <c r="F27" i="8" s="1"/>
  <c r="F28" i="8" s="1"/>
  <c r="F29" i="8" s="1"/>
  <c r="F30" i="8" s="1"/>
  <c r="F31" i="8" s="1"/>
  <c r="F32" i="8" s="1"/>
  <c r="F33" i="8" s="1"/>
  <c r="C22" i="8"/>
  <c r="D25" i="8" s="1"/>
  <c r="D26" i="8" s="1"/>
  <c r="D27" i="8" s="1"/>
  <c r="D28" i="8" s="1"/>
  <c r="D29" i="8" s="1"/>
  <c r="D30" i="8" s="1"/>
  <c r="D31" i="8" s="1"/>
  <c r="D32" i="8" s="1"/>
  <c r="D33" i="8" s="1"/>
  <c r="B22" i="8"/>
  <c r="B25" i="8" s="1"/>
  <c r="B26" i="8" s="1"/>
  <c r="H6" i="8"/>
  <c r="N9" i="8" s="1"/>
  <c r="N10" i="8" s="1"/>
  <c r="N11" i="8" s="1"/>
  <c r="N12" i="8" s="1"/>
  <c r="N13" i="8" s="1"/>
  <c r="N14" i="8" s="1"/>
  <c r="N15" i="8" s="1"/>
  <c r="N16" i="8" s="1"/>
  <c r="N17" i="8" s="1"/>
  <c r="G6" i="8"/>
  <c r="L9" i="8" s="1"/>
  <c r="L10" i="8" s="1"/>
  <c r="L11" i="8" s="1"/>
  <c r="L12" i="8" s="1"/>
  <c r="L13" i="8" s="1"/>
  <c r="L14" i="8" s="1"/>
  <c r="L15" i="8" s="1"/>
  <c r="L16" i="8" s="1"/>
  <c r="L17" i="8" s="1"/>
  <c r="F6" i="8"/>
  <c r="J9" i="8" s="1"/>
  <c r="J10" i="8" s="1"/>
  <c r="J11" i="8" s="1"/>
  <c r="J12" i="8" s="1"/>
  <c r="J13" i="8" s="1"/>
  <c r="J14" i="8" s="1"/>
  <c r="J15" i="8" s="1"/>
  <c r="J16" i="8" s="1"/>
  <c r="J17" i="8" s="1"/>
  <c r="E6" i="8"/>
  <c r="H9" i="8" s="1"/>
  <c r="H10" i="8" s="1"/>
  <c r="H11" i="8" s="1"/>
  <c r="H12" i="8" s="1"/>
  <c r="H13" i="8" s="1"/>
  <c r="H14" i="8" s="1"/>
  <c r="H15" i="8" s="1"/>
  <c r="H16" i="8" s="1"/>
  <c r="H17" i="8" s="1"/>
  <c r="D6" i="8"/>
  <c r="F9" i="8" s="1"/>
  <c r="F10" i="8" s="1"/>
  <c r="F11" i="8" s="1"/>
  <c r="F12" i="8" s="1"/>
  <c r="F13" i="8" s="1"/>
  <c r="F14" i="8" s="1"/>
  <c r="F15" i="8" s="1"/>
  <c r="F16" i="8" s="1"/>
  <c r="F17" i="8" s="1"/>
  <c r="C6" i="8"/>
  <c r="D9" i="8" s="1"/>
  <c r="D10" i="8" s="1"/>
  <c r="D11" i="8" s="1"/>
  <c r="D12" i="8" s="1"/>
  <c r="D13" i="8" s="1"/>
  <c r="D14" i="8" s="1"/>
  <c r="D15" i="8" s="1"/>
  <c r="D16" i="8" s="1"/>
  <c r="D17" i="8" s="1"/>
  <c r="B6" i="8"/>
  <c r="B9" i="8" s="1"/>
  <c r="B10" i="8" s="1"/>
  <c r="B27" i="8" l="1"/>
  <c r="B28" i="8" s="1"/>
  <c r="B29" i="8" s="1"/>
  <c r="B30" i="8" s="1"/>
  <c r="B31" i="8" s="1"/>
  <c r="B32" i="8" s="1"/>
  <c r="B33" i="8" s="1"/>
  <c r="C26" i="8"/>
  <c r="C27" i="8" s="1"/>
  <c r="C28" i="8" s="1"/>
  <c r="C29" i="8" s="1"/>
  <c r="C30" i="8" s="1"/>
  <c r="C31" i="8" s="1"/>
  <c r="C32" i="8" s="1"/>
  <c r="C33" i="8" s="1"/>
  <c r="E25" i="8" s="1"/>
  <c r="E26" i="8" s="1"/>
  <c r="E27" i="8" s="1"/>
  <c r="E28" i="8" s="1"/>
  <c r="E29" i="8" s="1"/>
  <c r="E30" i="8" s="1"/>
  <c r="E31" i="8" s="1"/>
  <c r="E32" i="8" s="1"/>
  <c r="E33" i="8" s="1"/>
  <c r="G25" i="8" s="1"/>
  <c r="G26" i="8" s="1"/>
  <c r="G27" i="8" s="1"/>
  <c r="G28" i="8" s="1"/>
  <c r="G29" i="8" s="1"/>
  <c r="G30" i="8" s="1"/>
  <c r="G31" i="8" s="1"/>
  <c r="G32" i="8" s="1"/>
  <c r="G33" i="8" s="1"/>
  <c r="E21" i="8" s="1"/>
  <c r="C10" i="8"/>
  <c r="B11" i="8"/>
  <c r="B12" i="8" s="1"/>
  <c r="B13" i="8" s="1"/>
  <c r="B14" i="8" s="1"/>
  <c r="B15" i="8" s="1"/>
  <c r="B16" i="8" s="1"/>
  <c r="B17" i="8" s="1"/>
  <c r="C11" i="8" l="1"/>
  <c r="C12" i="8" s="1"/>
  <c r="C13" i="8" s="1"/>
  <c r="C14" i="8" s="1"/>
  <c r="C15" i="8" s="1"/>
  <c r="C16" i="8" s="1"/>
  <c r="C17" i="8" s="1"/>
  <c r="E9" i="8" s="1"/>
  <c r="E10" i="8" s="1"/>
  <c r="E11" i="8" s="1"/>
  <c r="E12" i="8" s="1"/>
  <c r="E13" i="8" s="1"/>
  <c r="E14" i="8" s="1"/>
  <c r="E15" i="8" s="1"/>
  <c r="E16" i="8" s="1"/>
  <c r="E17" i="8" s="1"/>
  <c r="G9" i="8" s="1"/>
  <c r="G10" i="8" s="1"/>
  <c r="G11" i="8" s="1"/>
  <c r="G12" i="8" s="1"/>
  <c r="G13" i="8" s="1"/>
  <c r="G14" i="8" s="1"/>
  <c r="G15" i="8" s="1"/>
  <c r="G16" i="8" s="1"/>
  <c r="G17" i="8" s="1"/>
  <c r="I9" i="8" s="1"/>
  <c r="I10" i="8" s="1"/>
  <c r="I11" i="8" s="1"/>
  <c r="I12" i="8" s="1"/>
  <c r="I13" i="8" s="1"/>
  <c r="I14" i="8" s="1"/>
  <c r="I15" i="8" s="1"/>
  <c r="I16" i="8" s="1"/>
  <c r="I17" i="8" s="1"/>
  <c r="K9" i="8" s="1"/>
  <c r="K10" i="8" s="1"/>
  <c r="K11" i="8" s="1"/>
  <c r="K12" i="8" s="1"/>
  <c r="K13" i="8" s="1"/>
  <c r="K14" i="8" s="1"/>
  <c r="K15" i="8" s="1"/>
  <c r="K16" i="8" s="1"/>
  <c r="K17" i="8" s="1"/>
  <c r="M9" i="8" s="1"/>
  <c r="M10" i="8" s="1"/>
  <c r="M11" i="8" s="1"/>
  <c r="M12" i="8" s="1"/>
  <c r="M13" i="8" s="1"/>
  <c r="M14" i="8" s="1"/>
  <c r="M15" i="8" s="1"/>
  <c r="M16" i="8" s="1"/>
  <c r="M17" i="8" s="1"/>
  <c r="O9" i="8" s="1"/>
  <c r="O10" i="8" s="1"/>
  <c r="O11" i="8" s="1"/>
  <c r="O12" i="8" s="1"/>
  <c r="O13" i="8" s="1"/>
  <c r="O14" i="8" s="1"/>
  <c r="O15" i="8" s="1"/>
  <c r="O16" i="8" s="1"/>
  <c r="O17" i="8" s="1"/>
  <c r="I5" i="8" s="1"/>
  <c r="B15" i="7"/>
  <c r="C31" i="5"/>
  <c r="C32" i="5"/>
  <c r="B39" i="7" l="1"/>
  <c r="C39" i="7" s="1"/>
  <c r="D39" i="7" s="1"/>
  <c r="B38" i="7"/>
  <c r="C38" i="7" s="1"/>
  <c r="D38" i="7" s="1"/>
  <c r="B18" i="7"/>
  <c r="C18" i="7" s="1"/>
  <c r="D18" i="7" s="1"/>
  <c r="C23" i="2" l="1"/>
  <c r="C23" i="5" l="1"/>
  <c r="C48" i="5"/>
  <c r="B23" i="1" l="1"/>
  <c r="C54" i="5" l="1"/>
  <c r="C55" i="5"/>
  <c r="C14" i="5"/>
  <c r="B37" i="7" l="1"/>
  <c r="C37" i="7"/>
  <c r="D37" i="7" s="1"/>
  <c r="B36" i="7"/>
  <c r="C36" i="7"/>
  <c r="D36" i="7" s="1"/>
  <c r="B35" i="7"/>
  <c r="C35" i="7" s="1"/>
  <c r="D35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34" i="7"/>
  <c r="C34" i="7" s="1"/>
  <c r="D34" i="7" s="1"/>
  <c r="B23" i="7"/>
  <c r="C23" i="7" s="1"/>
  <c r="D23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C15" i="7"/>
  <c r="D15" i="7" s="1"/>
  <c r="B16" i="7"/>
  <c r="C16" i="7" s="1"/>
  <c r="D16" i="7" s="1"/>
  <c r="B17" i="7"/>
  <c r="C17" i="7" s="1"/>
  <c r="D17" i="7" s="1"/>
  <c r="B6" i="7"/>
  <c r="C6" i="7" s="1"/>
  <c r="D6" i="7" s="1"/>
  <c r="E17" i="6" l="1"/>
  <c r="F17" i="6" s="1"/>
  <c r="D17" i="6"/>
  <c r="E6" i="6"/>
  <c r="F6" i="6" s="1"/>
  <c r="D6" i="6"/>
  <c r="E8" i="6"/>
  <c r="F8" i="6" s="1"/>
  <c r="D8" i="6"/>
  <c r="E12" i="6"/>
  <c r="F12" i="6" s="1"/>
  <c r="D12" i="6"/>
  <c r="E14" i="6"/>
  <c r="F14" i="6" s="1"/>
  <c r="D14" i="6"/>
  <c r="E7" i="6"/>
  <c r="F7" i="6" s="1"/>
  <c r="D7" i="6"/>
  <c r="E10" i="6"/>
  <c r="F10" i="6" s="1"/>
  <c r="D10" i="6"/>
  <c r="E15" i="6"/>
  <c r="F15" i="6" s="1"/>
  <c r="D15" i="6"/>
  <c r="E18" i="6"/>
  <c r="F18" i="6" s="1"/>
  <c r="D18" i="6"/>
  <c r="E9" i="6"/>
  <c r="F9" i="6" s="1"/>
  <c r="D9" i="6"/>
  <c r="E11" i="6"/>
  <c r="F11" i="6" s="1"/>
  <c r="D11" i="6"/>
  <c r="E13" i="6"/>
  <c r="F13" i="6" s="1"/>
  <c r="D13" i="6"/>
  <c r="E16" i="6"/>
  <c r="F16" i="6" s="1"/>
  <c r="D16" i="6"/>
  <c r="E5" i="6"/>
  <c r="F5" i="6" s="1"/>
  <c r="D5" i="6"/>
  <c r="C48" i="2"/>
  <c r="C47" i="2"/>
  <c r="C9" i="5" l="1"/>
  <c r="C41" i="2"/>
  <c r="C44" i="2" s="1"/>
  <c r="C28" i="2"/>
  <c r="C18" i="2"/>
  <c r="C10" i="2"/>
  <c r="C21" i="2" s="1"/>
  <c r="C19" i="5" l="1"/>
  <c r="C21" i="5"/>
  <c r="C13" i="2"/>
  <c r="C24" i="2" s="1"/>
  <c r="C22" i="5"/>
  <c r="C39" i="5"/>
  <c r="C43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40" i="5" l="1"/>
  <c r="C41" i="5" s="1"/>
  <c r="C43" i="5"/>
  <c r="C44" i="5" s="1"/>
  <c r="C46" i="5" l="1"/>
  <c r="C47" i="5" s="1"/>
  <c r="C50" i="5" s="1"/>
</calcChain>
</file>

<file path=xl/sharedStrings.xml><?xml version="1.0" encoding="utf-8"?>
<sst xmlns="http://schemas.openxmlformats.org/spreadsheetml/2006/main" count="314" uniqueCount="245">
  <si>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</si>
  <si>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</si>
  <si>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</si>
  <si>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</si>
  <si>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</si>
  <si>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</si>
  <si>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</si>
  <si>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</si>
  <si>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</si>
  <si>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</si>
  <si>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[µS/t]</t>
  </si>
  <si>
    <t>deg/sec</t>
  </si>
  <si>
    <t>:1</t>
  </si>
  <si>
    <t>gear ratio</t>
  </si>
  <si>
    <t>gear box out</t>
  </si>
  <si>
    <t>motor shaft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</si>
  <si>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</si>
  <si>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</si>
  <si>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</si>
  <si>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</si>
  <si>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</si>
  <si>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</si>
  <si>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</si>
  <si>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</si>
  <si>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</si>
  <si>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</si>
  <si>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</si>
  <si>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</si>
  <si>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</si>
  <si>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</si>
  <si>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</si>
  <si>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</si>
  <si>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</si>
  <si>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</si>
  <si>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</si>
  <si>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</si>
  <si>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</si>
  <si>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</si>
  <si>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</si>
  <si>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</si>
  <si>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</si>
  <si>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</si>
  <si>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</si>
  <si>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</si>
  <si>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</si>
  <si>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</si>
  <si>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</si>
  <si>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</si>
  <si>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</si>
  <si>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</si>
  <si>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</si>
  <si>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</si>
  <si>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</si>
  <si>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</si>
  <si>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</si>
  <si>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</si>
  <si>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</si>
  <si>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</si>
  <si>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</si>
  <si>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</si>
  <si>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</si>
  <si>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</si>
  <si>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</si>
  <si>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</si>
  <si>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</si>
  <si>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</si>
  <si>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</si>
  <si>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</si>
  <si>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</si>
  <si>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</si>
  <si>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</si>
  <si>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</si>
  <si>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</si>
  <si>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</si>
  <si>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</si>
  <si>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</si>
  <si>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</si>
  <si>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</si>
  <si>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</si>
  <si>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</si>
  <si>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</si>
  <si>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</si>
  <si>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</si>
  <si>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</si>
  <si>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</si>
  <si>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</si>
  <si>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</si>
  <si>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</si>
  <si>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</si>
  <si>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</si>
  <si>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</si>
  <si>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</si>
  <si>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</si>
  <si>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</si>
  <si>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</si>
  <si>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</si>
  <si>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</si>
  <si>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</si>
  <si>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</si>
  <si>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</si>
  <si>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</si>
  <si>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</si>
  <si>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</si>
  <si>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</si>
  <si>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</si>
  <si>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</si>
  <si>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</si>
  <si>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</si>
  <si>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</si>
  <si>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</si>
  <si>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</si>
  <si>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</si>
  <si>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</si>
  <si>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</si>
  <si>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</si>
  <si>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</si>
  <si>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</si>
  <si>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</si>
  <si>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</si>
  <si>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</si>
  <si>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</si>
  <si>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</si>
  <si>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</si>
  <si>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</si>
  <si>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</si>
  <si>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</si>
  <si>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</si>
  <si>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</si>
  <si>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</si>
  <si>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</si>
  <si>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</si>
  <si>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</si>
  <si>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</si>
  <si>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</si>
  <si>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</si>
  <si>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</si>
  <si>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</si>
  <si>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</si>
  <si>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</si>
  <si>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</si>
  <si>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</si>
  <si>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</si>
  <si>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</si>
  <si>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</si>
  <si>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</si>
  <si>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</si>
  <si>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</si>
  <si>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</si>
  <si>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</si>
  <si>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</si>
  <si>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</si>
  <si>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</si>
  <si>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</si>
  <si>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</si>
  <si>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</si>
  <si>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</si>
  <si>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</si>
  <si>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</si>
  <si>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</si>
  <si>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</si>
  <si>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</si>
  <si>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</si>
  <si>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</si>
  <si>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</si>
  <si>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</si>
  <si>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</si>
  <si>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Dutycycle Highside=</t>
  </si>
  <si>
    <t>Slow decay time</t>
  </si>
  <si>
    <t>The calculation sheet assumes operation with spread cycle chopper at medium motor velocity, which is a typical worst case scenario.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</si>
  <si>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</si>
  <si>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</si>
  <si>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</si>
  <si>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</si>
  <si>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</si>
  <si>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</si>
  <si>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</si>
  <si>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</si>
  <si>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</si>
  <si>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</si>
  <si>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</si>
  <si>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</si>
  <si>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</si>
  <si>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</si>
  <si>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</si>
  <si>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</si>
  <si>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2019-Feb-08</t>
  </si>
  <si>
    <t>Initial version based on TMC220x_TMC222x_Calculations.xls, Adapted</t>
  </si>
  <si>
    <t>(not recommended due to high influence of wiring resistance)</t>
  </si>
  <si>
    <t>RMS current [A] *)</t>
  </si>
  <si>
    <t>*) In a practical setup, RMS current will be slightly lower by roughly 5-15% due to current ripple in the motor</t>
  </si>
  <si>
    <t>TMC2209_Calculations.xlsx</t>
  </si>
  <si>
    <t>VACTUAL</t>
  </si>
  <si>
    <t>2. real world units to VACTUAL</t>
  </si>
  <si>
    <t>1. VACTUAL to real world units</t>
  </si>
  <si>
    <t>3. real world units (gearbox) to VACTUAL</t>
  </si>
  <si>
    <t>4. VACTUAL to TSTEP</t>
  </si>
  <si>
    <t>Calculation of the CRC Byte</t>
  </si>
  <si>
    <t>Write Access</t>
  </si>
  <si>
    <t>Sync byte (fix)</t>
  </si>
  <si>
    <t>Address (0-3)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</si>
  <si>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</si>
  <si>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</si>
  <si>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</si>
  <si>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</si>
  <si>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</si>
  <si>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</si>
  <si>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</si>
  <si>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</si>
  <si>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</si>
  <si>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</si>
  <si>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</si>
  <si>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</si>
  <si>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</si>
  <si>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</si>
  <si>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</si>
  <si>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</si>
  <si>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</si>
  <si>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</si>
  <si>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</si>
  <si>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</si>
  <si>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</si>
  <si>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</si>
  <si>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2019-Sep-23</t>
  </si>
  <si>
    <t>Added CRC calculation</t>
  </si>
  <si>
    <t>data 3</t>
  </si>
  <si>
    <t>data 2</t>
  </si>
  <si>
    <t>data 1</t>
  </si>
  <si>
    <t>data 0</t>
  </si>
  <si>
    <t>CRC</t>
  </si>
  <si>
    <t>Register for Write</t>
  </si>
  <si>
    <t>Hint: Fill in your data into the yellow fields</t>
  </si>
  <si>
    <t>tBLANK =</t>
  </si>
  <si>
    <t>as set by TBL (=0, 1, 2, 3) &lt;=&gt; 16, 24, 32, 40 tCLK</t>
  </si>
  <si>
    <t>The actual die temperature will depend on the layout, environment temperature and motor current. Assume maximum die temperature in your application within the device limits</t>
  </si>
  <si>
    <t>Enter the motor coil resistance here for a calculation of the high side duty cycle</t>
  </si>
  <si>
    <t>(Typ. 12MHz for internal clock)</t>
  </si>
  <si>
    <t>2021-OCT-21</t>
  </si>
  <si>
    <t>Corrected Power dissipation calculation (old calculation gave too high results)</t>
  </si>
  <si>
    <t>I-Amplification</t>
  </si>
  <si>
    <t>(might vary depending on PCB routing of RSA/RSB to GND)</t>
  </si>
  <si>
    <t>2022-AUG-31</t>
  </si>
  <si>
    <t>Optimized calculation for RDSon Sense to give a better fit to realistic values</t>
  </si>
  <si>
    <t>Using StealthChop</t>
  </si>
  <si>
    <t>2023-FEB-28</t>
  </si>
  <si>
    <t>Minor correction on RDSon slide to match measurement. Measurement fits in case of StealthChop usage.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</si>
</sst>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1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49" fontId="0" fillId="0" borderId="0" xfId="0" applyNumberFormat="1" applyAlignment="1">
      <alignment wrapText="1"/>
    </xf>
    <xf numFmtId="0" fontId="10" fillId="0" borderId="0" xfId="0" applyFont="1"/>
    <xf numFmtId="2" fontId="7" fillId="0" borderId="0" xfId="0" applyNumberFormat="1" applyFont="1"/>
    <xf numFmtId="167" fontId="1" fillId="0" borderId="0" xfId="0" applyNumberFormat="1" applyFont="1"/>
    <xf numFmtId="0" fontId="4" fillId="0" borderId="0" xfId="0" applyFont="1" applyAlignment="1">
      <alignment horizontal="right"/>
    </xf>
    <xf numFmtId="2" fontId="1" fillId="3" borderId="0" xfId="0" applyNumberFormat="1" applyFont="1" applyFill="1"/>
    <xf numFmtId="1" fontId="13" fillId="0" borderId="0" xfId="0" applyNumberFormat="1" applyFont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4" fillId="0" borderId="0" xfId="0" applyNumberFormat="1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Border="1"/>
    <xf numFmtId="166" fontId="14" fillId="0" borderId="14" xfId="0" applyNumberFormat="1" applyFont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ill="1" applyBorder="1"/>
    <xf numFmtId="2" fontId="0" fillId="5" borderId="7" xfId="0" applyNumberFormat="1" applyFill="1" applyBorder="1"/>
    <xf numFmtId="1" fontId="0" fillId="5" borderId="7" xfId="0" applyNumberForma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  <xf numFmtId="0" fontId="18" fillId="0" borderId="0" xfId="0" applyFont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  <xf numFmtId="0" fontId="19" fillId="0" borderId="0" xfId="0" applyFont="1"/>
    <xf numFmtId="2" fontId="4" fillId="0" borderId="4" xfId="0" applyNumberFormat="1" applyFont="1" applyBorder="1"/>
    <xf numFmtId="2" fontId="10" fillId="0" borderId="4" xfId="0" applyNumberFormat="1" applyFon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D38" sqref="D38"/>
    </sheetView>
  </sheetViews>
  <sheetFormatPr baseColWidth="10" defaultRowHeight="15" x14ac:dyDescent="0.2"/>
  <cols>
    <col min="1" max="1" width="34.6640625" bestFit="1" customWidth="1"/>
    <col min="2" max="2" width="9.83203125" customWidth="1"/>
    <col min="3" max="3" width="8.5" bestFit="1" customWidth="1"/>
    <col min="4" max="4" width="22.5" bestFit="1" customWidth="1"/>
    <col min="5" max="5" width="6.83203125" customWidth="1"/>
    <col min="6" max="6" width="11.6640625" customWidth="1"/>
    <col min="7" max="7" width="2" bestFit="1" customWidth="1"/>
    <col min="8" max="8" width="14.33203125" bestFit="1" customWidth="1"/>
    <col min="9" max="9" width="2" bestFit="1" customWidth="1"/>
    <col min="10" max="10" width="8.5" bestFit="1" customWidth="1"/>
  </cols>
  <sheetData>
    <row r="1" spans="1:11" ht="19" x14ac:dyDescent="0.25">
      <c r="A1" s="5" t="s">
        <v>177</v>
      </c>
      <c r="B1" s="6"/>
      <c r="C1" s="6"/>
      <c r="D1" s="6"/>
      <c r="E1" s="6"/>
      <c r="F1" s="6"/>
      <c r="G1" s="6"/>
      <c r="H1" s="6"/>
    </row>
    <row r="2" spans="1:11" ht="19" x14ac:dyDescent="0.25">
      <c r="A2" s="5"/>
      <c r="B2" s="6"/>
      <c r="C2" s="6"/>
      <c r="D2" s="6"/>
      <c r="E2" s="6"/>
      <c r="F2" s="6"/>
      <c r="G2" s="6"/>
      <c r="H2" s="6"/>
    </row>
    <row r="3" spans="1:11" ht="19" x14ac:dyDescent="0.25">
      <c r="A3" s="10" t="s">
        <v>23</v>
      </c>
      <c r="B3" s="45" t="s">
        <v>109</v>
      </c>
      <c r="C3" s="46"/>
      <c r="D3" s="46"/>
      <c r="E3" s="46"/>
      <c r="F3" s="46"/>
      <c r="G3" s="46"/>
      <c r="H3" s="46"/>
      <c r="I3" s="18"/>
      <c r="J3" s="18"/>
      <c r="K3" s="18"/>
    </row>
    <row r="4" spans="1:11" ht="19" x14ac:dyDescent="0.25">
      <c r="A4" s="10"/>
      <c r="B4" s="47" t="s">
        <v>93</v>
      </c>
      <c r="C4" s="48"/>
      <c r="D4" s="48"/>
      <c r="E4" s="48"/>
      <c r="F4" s="48"/>
      <c r="G4" s="48"/>
      <c r="H4" s="48"/>
      <c r="I4" s="49"/>
      <c r="J4" s="49"/>
      <c r="K4" s="49"/>
    </row>
    <row r="6" spans="1:11" x14ac:dyDescent="0.2">
      <c r="A6" s="4" t="s">
        <v>20</v>
      </c>
    </row>
    <row r="7" spans="1:11" x14ac:dyDescent="0.2">
      <c r="B7" s="51">
        <v>60</v>
      </c>
      <c r="C7" t="s">
        <v>173</v>
      </c>
      <c r="D7" t="s">
        <v>172</v>
      </c>
      <c r="F7" t="s">
        <v>8</v>
      </c>
      <c r="G7" s="2" t="s">
        <v>9</v>
      </c>
      <c r="H7" t="s">
        <v>21</v>
      </c>
      <c r="I7" s="2" t="s">
        <v>9</v>
      </c>
      <c r="J7" s="1">
        <f>2^24/H9</f>
        <v>1.3981013333333334</v>
      </c>
      <c r="K7" t="s">
        <v>16</v>
      </c>
    </row>
    <row r="8" spans="1:11" x14ac:dyDescent="0.2">
      <c r="B8" s="9">
        <v>256</v>
      </c>
      <c r="C8" t="s">
        <v>2</v>
      </c>
      <c r="D8" t="s">
        <v>22</v>
      </c>
      <c r="F8" t="s">
        <v>191</v>
      </c>
      <c r="G8" s="2" t="s">
        <v>9</v>
      </c>
      <c r="H8" t="s">
        <v>17</v>
      </c>
      <c r="J8" t="s">
        <v>10</v>
      </c>
    </row>
    <row r="9" spans="1:11" x14ac:dyDescent="0.2">
      <c r="B9" s="74">
        <v>1.8</v>
      </c>
      <c r="C9" t="s">
        <v>1</v>
      </c>
      <c r="D9" t="s">
        <v>4</v>
      </c>
      <c r="F9" t="s">
        <v>19</v>
      </c>
      <c r="G9" s="2" t="s">
        <v>9</v>
      </c>
      <c r="H9" s="74">
        <v>12000000</v>
      </c>
      <c r="J9" t="s">
        <v>18</v>
      </c>
    </row>
    <row r="10" spans="1:11" x14ac:dyDescent="0.2">
      <c r="B10">
        <f>360/B9</f>
        <v>200</v>
      </c>
      <c r="C10" t="s">
        <v>3</v>
      </c>
      <c r="D10" t="s">
        <v>7</v>
      </c>
    </row>
    <row r="11" spans="1:11" x14ac:dyDescent="0.2">
      <c r="B11">
        <f>B10*B8</f>
        <v>51200</v>
      </c>
      <c r="C11" t="s">
        <v>5</v>
      </c>
      <c r="D11" t="s">
        <v>6</v>
      </c>
    </row>
    <row r="12" spans="1:11" x14ac:dyDescent="0.2">
      <c r="B12" s="74">
        <v>1</v>
      </c>
      <c r="C12" s="2" t="s">
        <v>12</v>
      </c>
      <c r="D12" t="s">
        <v>13</v>
      </c>
    </row>
    <row r="14" spans="1:11" x14ac:dyDescent="0.2">
      <c r="A14" s="4" t="s">
        <v>193</v>
      </c>
      <c r="C14" s="4"/>
      <c r="D14" s="4"/>
    </row>
    <row r="15" spans="1:11" x14ac:dyDescent="0.2">
      <c r="B15" s="73">
        <f>B25</f>
        <v>71582.78826666667</v>
      </c>
      <c r="C15" t="s">
        <v>191</v>
      </c>
      <c r="D15" t="s">
        <v>10</v>
      </c>
      <c r="F15" t="s">
        <v>174</v>
      </c>
    </row>
    <row r="16" spans="1:11" x14ac:dyDescent="0.2">
      <c r="B16" s="3">
        <f>B15/$J$7/$B$11</f>
        <v>1</v>
      </c>
      <c r="C16" t="s">
        <v>0</v>
      </c>
      <c r="D16" t="s">
        <v>15</v>
      </c>
    </row>
    <row r="17" spans="1:6" x14ac:dyDescent="0.2">
      <c r="B17" s="3">
        <f>B16*360</f>
        <v>360</v>
      </c>
      <c r="C17" t="s">
        <v>11</v>
      </c>
      <c r="D17" t="s">
        <v>15</v>
      </c>
    </row>
    <row r="18" spans="1:6" x14ac:dyDescent="0.2">
      <c r="B18" s="3">
        <f>B17/$B$12</f>
        <v>360</v>
      </c>
      <c r="C18" t="s">
        <v>11</v>
      </c>
      <c r="D18" t="s">
        <v>14</v>
      </c>
    </row>
    <row r="19" spans="1:6" x14ac:dyDescent="0.2">
      <c r="B19" s="3">
        <f>B15*H9/2^24</f>
        <v>51200</v>
      </c>
      <c r="C19" t="s">
        <v>18</v>
      </c>
      <c r="D19" t="s">
        <v>175</v>
      </c>
    </row>
    <row r="20" spans="1:6" x14ac:dyDescent="0.2">
      <c r="B20" s="8">
        <f>B18/360</f>
        <v>1</v>
      </c>
      <c r="C20" s="4" t="s">
        <v>0</v>
      </c>
      <c r="D20" s="4" t="s">
        <v>14</v>
      </c>
    </row>
    <row r="21" spans="1:6" x14ac:dyDescent="0.2">
      <c r="B21" s="8"/>
      <c r="C21" s="4"/>
      <c r="D21" s="4"/>
    </row>
    <row r="22" spans="1:6" x14ac:dyDescent="0.2">
      <c r="A22" s="4" t="s">
        <v>192</v>
      </c>
      <c r="C22" s="4"/>
      <c r="D22" s="4"/>
    </row>
    <row r="23" spans="1:6" x14ac:dyDescent="0.2">
      <c r="B23" s="72">
        <f>B7/60</f>
        <v>1</v>
      </c>
      <c r="C23" t="s">
        <v>0</v>
      </c>
      <c r="D23" t="s">
        <v>15</v>
      </c>
      <c r="F23" t="s">
        <v>171</v>
      </c>
    </row>
    <row r="24" spans="1:6" x14ac:dyDescent="0.2">
      <c r="B24" s="3">
        <f>B23*360</f>
        <v>360</v>
      </c>
      <c r="C24" t="s">
        <v>11</v>
      </c>
      <c r="D24" t="s">
        <v>15</v>
      </c>
    </row>
    <row r="25" spans="1:6" x14ac:dyDescent="0.2">
      <c r="B25" s="7">
        <f>B23*$B$11*$J$7</f>
        <v>71582.78826666667</v>
      </c>
      <c r="C25" s="4" t="s">
        <v>191</v>
      </c>
      <c r="D25" t="s">
        <v>10</v>
      </c>
    </row>
    <row r="26" spans="1:6" x14ac:dyDescent="0.2">
      <c r="B26" s="7"/>
      <c r="C26" s="4"/>
    </row>
    <row r="27" spans="1:6" x14ac:dyDescent="0.2">
      <c r="A27" s="4" t="s">
        <v>194</v>
      </c>
      <c r="C27" s="4"/>
      <c r="D27" s="4"/>
    </row>
    <row r="28" spans="1:6" x14ac:dyDescent="0.2">
      <c r="A28" s="4"/>
      <c r="B28" s="72">
        <f>B23</f>
        <v>1</v>
      </c>
      <c r="C28" t="s">
        <v>0</v>
      </c>
      <c r="D28" t="s">
        <v>14</v>
      </c>
    </row>
    <row r="29" spans="1:6" x14ac:dyDescent="0.2">
      <c r="B29" s="3">
        <f>B28*360</f>
        <v>360</v>
      </c>
      <c r="C29" t="s">
        <v>11</v>
      </c>
      <c r="D29" t="s">
        <v>14</v>
      </c>
    </row>
    <row r="30" spans="1:6" x14ac:dyDescent="0.2">
      <c r="B30" s="3">
        <f>B28*B12</f>
        <v>1</v>
      </c>
      <c r="C30" t="s">
        <v>0</v>
      </c>
      <c r="D30" t="s">
        <v>15</v>
      </c>
    </row>
    <row r="31" spans="1:6" x14ac:dyDescent="0.2">
      <c r="B31" s="3">
        <f>B30*360</f>
        <v>360</v>
      </c>
      <c r="C31" t="s">
        <v>11</v>
      </c>
      <c r="D31" t="s">
        <v>15</v>
      </c>
    </row>
    <row r="32" spans="1:6" x14ac:dyDescent="0.2">
      <c r="B32" s="7">
        <f>B30*$B$11*$J$7</f>
        <v>71582.78826666667</v>
      </c>
      <c r="C32" s="4" t="s">
        <v>191</v>
      </c>
      <c r="D32" s="4" t="s">
        <v>10</v>
      </c>
    </row>
    <row r="34" spans="1:4" x14ac:dyDescent="0.2">
      <c r="A34" s="4" t="s">
        <v>195</v>
      </c>
      <c r="C34" s="4"/>
      <c r="D34" s="4"/>
    </row>
    <row r="35" spans="1:4" x14ac:dyDescent="0.2">
      <c r="B35" s="73">
        <f>B15</f>
        <v>71582.78826666667</v>
      </c>
      <c r="C35" t="s">
        <v>191</v>
      </c>
      <c r="D35" t="s">
        <v>10</v>
      </c>
    </row>
    <row r="36" spans="1:4" x14ac:dyDescent="0.2">
      <c r="B36" s="7">
        <f>MIN((2^20-1),2^24/B35*B8/256)</f>
        <v>234.375</v>
      </c>
      <c r="C36" s="4" t="s">
        <v>169</v>
      </c>
      <c r="D36" t="s">
        <v>170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abSelected="1" topLeftCell="A11" workbookViewId="0">
      <selection activeCell="E27" sqref="E27"/>
    </sheetView>
  </sheetViews>
  <sheetFormatPr baseColWidth="10" defaultRowHeight="15" x14ac:dyDescent="0.2"/>
  <cols>
    <col min="1" max="1" width="17" customWidth="1"/>
    <col min="2" max="2" width="22.83203125" style="14" customWidth="1"/>
    <col min="4" max="4" width="5.5" customWidth="1"/>
    <col min="5" max="5" width="14.5" customWidth="1"/>
    <col min="8" max="8" width="12.83203125" customWidth="1"/>
    <col min="258" max="258" width="22.83203125" customWidth="1"/>
    <col min="260" max="260" width="5.5" customWidth="1"/>
    <col min="261" max="261" width="14.5" customWidth="1"/>
    <col min="514" max="514" width="22.83203125" customWidth="1"/>
    <col min="516" max="516" width="5.5" customWidth="1"/>
    <col min="517" max="517" width="14.5" customWidth="1"/>
    <col min="770" max="770" width="22.83203125" customWidth="1"/>
    <col min="772" max="772" width="5.5" customWidth="1"/>
    <col min="773" max="773" width="14.5" customWidth="1"/>
    <col min="1026" max="1026" width="22.83203125" customWidth="1"/>
    <col min="1028" max="1028" width="5.5" customWidth="1"/>
    <col min="1029" max="1029" width="14.5" customWidth="1"/>
    <col min="1282" max="1282" width="22.83203125" customWidth="1"/>
    <col min="1284" max="1284" width="5.5" customWidth="1"/>
    <col min="1285" max="1285" width="14.5" customWidth="1"/>
    <col min="1538" max="1538" width="22.83203125" customWidth="1"/>
    <col min="1540" max="1540" width="5.5" customWidth="1"/>
    <col min="1541" max="1541" width="14.5" customWidth="1"/>
    <col min="1794" max="1794" width="22.83203125" customWidth="1"/>
    <col min="1796" max="1796" width="5.5" customWidth="1"/>
    <col min="1797" max="1797" width="14.5" customWidth="1"/>
    <col min="2050" max="2050" width="22.83203125" customWidth="1"/>
    <col min="2052" max="2052" width="5.5" customWidth="1"/>
    <col min="2053" max="2053" width="14.5" customWidth="1"/>
    <col min="2306" max="2306" width="22.83203125" customWidth="1"/>
    <col min="2308" max="2308" width="5.5" customWidth="1"/>
    <col min="2309" max="2309" width="14.5" customWidth="1"/>
    <col min="2562" max="2562" width="22.83203125" customWidth="1"/>
    <col min="2564" max="2564" width="5.5" customWidth="1"/>
    <col min="2565" max="2565" width="14.5" customWidth="1"/>
    <col min="2818" max="2818" width="22.83203125" customWidth="1"/>
    <col min="2820" max="2820" width="5.5" customWidth="1"/>
    <col min="2821" max="2821" width="14.5" customWidth="1"/>
    <col min="3074" max="3074" width="22.83203125" customWidth="1"/>
    <col min="3076" max="3076" width="5.5" customWidth="1"/>
    <col min="3077" max="3077" width="14.5" customWidth="1"/>
    <col min="3330" max="3330" width="22.83203125" customWidth="1"/>
    <col min="3332" max="3332" width="5.5" customWidth="1"/>
    <col min="3333" max="3333" width="14.5" customWidth="1"/>
    <col min="3586" max="3586" width="22.83203125" customWidth="1"/>
    <col min="3588" max="3588" width="5.5" customWidth="1"/>
    <col min="3589" max="3589" width="14.5" customWidth="1"/>
    <col min="3842" max="3842" width="22.83203125" customWidth="1"/>
    <col min="3844" max="3844" width="5.5" customWidth="1"/>
    <col min="3845" max="3845" width="14.5" customWidth="1"/>
    <col min="4098" max="4098" width="22.83203125" customWidth="1"/>
    <col min="4100" max="4100" width="5.5" customWidth="1"/>
    <col min="4101" max="4101" width="14.5" customWidth="1"/>
    <col min="4354" max="4354" width="22.83203125" customWidth="1"/>
    <col min="4356" max="4356" width="5.5" customWidth="1"/>
    <col min="4357" max="4357" width="14.5" customWidth="1"/>
    <col min="4610" max="4610" width="22.83203125" customWidth="1"/>
    <col min="4612" max="4612" width="5.5" customWidth="1"/>
    <col min="4613" max="4613" width="14.5" customWidth="1"/>
    <col min="4866" max="4866" width="22.83203125" customWidth="1"/>
    <col min="4868" max="4868" width="5.5" customWidth="1"/>
    <col min="4869" max="4869" width="14.5" customWidth="1"/>
    <col min="5122" max="5122" width="22.83203125" customWidth="1"/>
    <col min="5124" max="5124" width="5.5" customWidth="1"/>
    <col min="5125" max="5125" width="14.5" customWidth="1"/>
    <col min="5378" max="5378" width="22.83203125" customWidth="1"/>
    <col min="5380" max="5380" width="5.5" customWidth="1"/>
    <col min="5381" max="5381" width="14.5" customWidth="1"/>
    <col min="5634" max="5634" width="22.83203125" customWidth="1"/>
    <col min="5636" max="5636" width="5.5" customWidth="1"/>
    <col min="5637" max="5637" width="14.5" customWidth="1"/>
    <col min="5890" max="5890" width="22.83203125" customWidth="1"/>
    <col min="5892" max="5892" width="5.5" customWidth="1"/>
    <col min="5893" max="5893" width="14.5" customWidth="1"/>
    <col min="6146" max="6146" width="22.83203125" customWidth="1"/>
    <col min="6148" max="6148" width="5.5" customWidth="1"/>
    <col min="6149" max="6149" width="14.5" customWidth="1"/>
    <col min="6402" max="6402" width="22.83203125" customWidth="1"/>
    <col min="6404" max="6404" width="5.5" customWidth="1"/>
    <col min="6405" max="6405" width="14.5" customWidth="1"/>
    <col min="6658" max="6658" width="22.83203125" customWidth="1"/>
    <col min="6660" max="6660" width="5.5" customWidth="1"/>
    <col min="6661" max="6661" width="14.5" customWidth="1"/>
    <col min="6914" max="6914" width="22.83203125" customWidth="1"/>
    <col min="6916" max="6916" width="5.5" customWidth="1"/>
    <col min="6917" max="6917" width="14.5" customWidth="1"/>
    <col min="7170" max="7170" width="22.83203125" customWidth="1"/>
    <col min="7172" max="7172" width="5.5" customWidth="1"/>
    <col min="7173" max="7173" width="14.5" customWidth="1"/>
    <col min="7426" max="7426" width="22.83203125" customWidth="1"/>
    <col min="7428" max="7428" width="5.5" customWidth="1"/>
    <col min="7429" max="7429" width="14.5" customWidth="1"/>
    <col min="7682" max="7682" width="22.83203125" customWidth="1"/>
    <col min="7684" max="7684" width="5.5" customWidth="1"/>
    <col min="7685" max="7685" width="14.5" customWidth="1"/>
    <col min="7938" max="7938" width="22.83203125" customWidth="1"/>
    <col min="7940" max="7940" width="5.5" customWidth="1"/>
    <col min="7941" max="7941" width="14.5" customWidth="1"/>
    <col min="8194" max="8194" width="22.83203125" customWidth="1"/>
    <col min="8196" max="8196" width="5.5" customWidth="1"/>
    <col min="8197" max="8197" width="14.5" customWidth="1"/>
    <col min="8450" max="8450" width="22.83203125" customWidth="1"/>
    <col min="8452" max="8452" width="5.5" customWidth="1"/>
    <col min="8453" max="8453" width="14.5" customWidth="1"/>
    <col min="8706" max="8706" width="22.83203125" customWidth="1"/>
    <col min="8708" max="8708" width="5.5" customWidth="1"/>
    <col min="8709" max="8709" width="14.5" customWidth="1"/>
    <col min="8962" max="8962" width="22.83203125" customWidth="1"/>
    <col min="8964" max="8964" width="5.5" customWidth="1"/>
    <col min="8965" max="8965" width="14.5" customWidth="1"/>
    <col min="9218" max="9218" width="22.83203125" customWidth="1"/>
    <col min="9220" max="9220" width="5.5" customWidth="1"/>
    <col min="9221" max="9221" width="14.5" customWidth="1"/>
    <col min="9474" max="9474" width="22.83203125" customWidth="1"/>
    <col min="9476" max="9476" width="5.5" customWidth="1"/>
    <col min="9477" max="9477" width="14.5" customWidth="1"/>
    <col min="9730" max="9730" width="22.83203125" customWidth="1"/>
    <col min="9732" max="9732" width="5.5" customWidth="1"/>
    <col min="9733" max="9733" width="14.5" customWidth="1"/>
    <col min="9986" max="9986" width="22.83203125" customWidth="1"/>
    <col min="9988" max="9988" width="5.5" customWidth="1"/>
    <col min="9989" max="9989" width="14.5" customWidth="1"/>
    <col min="10242" max="10242" width="22.83203125" customWidth="1"/>
    <col min="10244" max="10244" width="5.5" customWidth="1"/>
    <col min="10245" max="10245" width="14.5" customWidth="1"/>
    <col min="10498" max="10498" width="22.83203125" customWidth="1"/>
    <col min="10500" max="10500" width="5.5" customWidth="1"/>
    <col min="10501" max="10501" width="14.5" customWidth="1"/>
    <col min="10754" max="10754" width="22.83203125" customWidth="1"/>
    <col min="10756" max="10756" width="5.5" customWidth="1"/>
    <col min="10757" max="10757" width="14.5" customWidth="1"/>
    <col min="11010" max="11010" width="22.83203125" customWidth="1"/>
    <col min="11012" max="11012" width="5.5" customWidth="1"/>
    <col min="11013" max="11013" width="14.5" customWidth="1"/>
    <col min="11266" max="11266" width="22.83203125" customWidth="1"/>
    <col min="11268" max="11268" width="5.5" customWidth="1"/>
    <col min="11269" max="11269" width="14.5" customWidth="1"/>
    <col min="11522" max="11522" width="22.83203125" customWidth="1"/>
    <col min="11524" max="11524" width="5.5" customWidth="1"/>
    <col min="11525" max="11525" width="14.5" customWidth="1"/>
    <col min="11778" max="11778" width="22.83203125" customWidth="1"/>
    <col min="11780" max="11780" width="5.5" customWidth="1"/>
    <col min="11781" max="11781" width="14.5" customWidth="1"/>
    <col min="12034" max="12034" width="22.83203125" customWidth="1"/>
    <col min="12036" max="12036" width="5.5" customWidth="1"/>
    <col min="12037" max="12037" width="14.5" customWidth="1"/>
    <col min="12290" max="12290" width="22.83203125" customWidth="1"/>
    <col min="12292" max="12292" width="5.5" customWidth="1"/>
    <col min="12293" max="12293" width="14.5" customWidth="1"/>
    <col min="12546" max="12546" width="22.83203125" customWidth="1"/>
    <col min="12548" max="12548" width="5.5" customWidth="1"/>
    <col min="12549" max="12549" width="14.5" customWidth="1"/>
    <col min="12802" max="12802" width="22.83203125" customWidth="1"/>
    <col min="12804" max="12804" width="5.5" customWidth="1"/>
    <col min="12805" max="12805" width="14.5" customWidth="1"/>
    <col min="13058" max="13058" width="22.83203125" customWidth="1"/>
    <col min="13060" max="13060" width="5.5" customWidth="1"/>
    <col min="13061" max="13061" width="14.5" customWidth="1"/>
    <col min="13314" max="13314" width="22.83203125" customWidth="1"/>
    <col min="13316" max="13316" width="5.5" customWidth="1"/>
    <col min="13317" max="13317" width="14.5" customWidth="1"/>
    <col min="13570" max="13570" width="22.83203125" customWidth="1"/>
    <col min="13572" max="13572" width="5.5" customWidth="1"/>
    <col min="13573" max="13573" width="14.5" customWidth="1"/>
    <col min="13826" max="13826" width="22.83203125" customWidth="1"/>
    <col min="13828" max="13828" width="5.5" customWidth="1"/>
    <col min="13829" max="13829" width="14.5" customWidth="1"/>
    <col min="14082" max="14082" width="22.83203125" customWidth="1"/>
    <col min="14084" max="14084" width="5.5" customWidth="1"/>
    <col min="14085" max="14085" width="14.5" customWidth="1"/>
    <col min="14338" max="14338" width="22.83203125" customWidth="1"/>
    <col min="14340" max="14340" width="5.5" customWidth="1"/>
    <col min="14341" max="14341" width="14.5" customWidth="1"/>
    <col min="14594" max="14594" width="22.83203125" customWidth="1"/>
    <col min="14596" max="14596" width="5.5" customWidth="1"/>
    <col min="14597" max="14597" width="14.5" customWidth="1"/>
    <col min="14850" max="14850" width="22.83203125" customWidth="1"/>
    <col min="14852" max="14852" width="5.5" customWidth="1"/>
    <col min="14853" max="14853" width="14.5" customWidth="1"/>
    <col min="15106" max="15106" width="22.83203125" customWidth="1"/>
    <col min="15108" max="15108" width="5.5" customWidth="1"/>
    <col min="15109" max="15109" width="14.5" customWidth="1"/>
    <col min="15362" max="15362" width="22.83203125" customWidth="1"/>
    <col min="15364" max="15364" width="5.5" customWidth="1"/>
    <col min="15365" max="15365" width="14.5" customWidth="1"/>
    <col min="15618" max="15618" width="22.83203125" customWidth="1"/>
    <col min="15620" max="15620" width="5.5" customWidth="1"/>
    <col min="15621" max="15621" width="14.5" customWidth="1"/>
    <col min="15874" max="15874" width="22.83203125" customWidth="1"/>
    <col min="15876" max="15876" width="5.5" customWidth="1"/>
    <col min="15877" max="15877" width="14.5" customWidth="1"/>
    <col min="16130" max="16130" width="22.83203125" customWidth="1"/>
    <col min="16132" max="16132" width="5.5" customWidth="1"/>
    <col min="16133" max="16133" width="14.5" customWidth="1"/>
  </cols>
  <sheetData>
    <row r="1" spans="1:11" ht="19" x14ac:dyDescent="0.25">
      <c r="A1" s="5" t="s">
        <v>104</v>
      </c>
    </row>
    <row r="3" spans="1:11" x14ac:dyDescent="0.2">
      <c r="A3" s="4" t="s">
        <v>23</v>
      </c>
      <c r="B3" s="18" t="s">
        <v>113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">
      <c r="A4" s="4"/>
      <c r="B4" s="49" t="s">
        <v>149</v>
      </c>
      <c r="C4" s="49"/>
      <c r="D4" s="49"/>
      <c r="E4" s="49"/>
      <c r="F4" s="49"/>
      <c r="G4" s="49"/>
      <c r="H4" s="49"/>
      <c r="I4" s="49"/>
      <c r="J4" s="49"/>
      <c r="K4" s="49"/>
    </row>
    <row r="5" spans="1:11" x14ac:dyDescent="0.2">
      <c r="A5" s="4"/>
      <c r="B5" s="49" t="s">
        <v>152</v>
      </c>
      <c r="C5" s="49"/>
      <c r="D5" s="49"/>
      <c r="E5" s="49"/>
      <c r="F5" s="49"/>
      <c r="G5" s="49"/>
      <c r="H5" s="49"/>
      <c r="I5" s="49"/>
      <c r="J5" s="49"/>
      <c r="K5" s="49"/>
    </row>
    <row r="6" spans="1:11" x14ac:dyDescent="0.2">
      <c r="A6" s="4"/>
      <c r="B6" s="50" t="s">
        <v>150</v>
      </c>
      <c r="C6" s="50"/>
      <c r="D6" s="50"/>
      <c r="E6" s="50"/>
      <c r="F6" s="50"/>
      <c r="G6" s="50"/>
      <c r="H6" s="50"/>
      <c r="I6" s="50"/>
      <c r="J6" s="50"/>
      <c r="K6" s="50"/>
    </row>
    <row r="8" spans="1:11" x14ac:dyDescent="0.2">
      <c r="A8" s="4" t="s">
        <v>20</v>
      </c>
    </row>
    <row r="9" spans="1:11" x14ac:dyDescent="0.2">
      <c r="A9" s="4"/>
      <c r="B9" s="14" t="s">
        <v>28</v>
      </c>
      <c r="C9" s="51">
        <v>12</v>
      </c>
      <c r="E9" t="s">
        <v>95</v>
      </c>
    </row>
    <row r="10" spans="1:11" x14ac:dyDescent="0.2">
      <c r="B10" s="14" t="s">
        <v>29</v>
      </c>
      <c r="C10">
        <f>1/(1000000*C9)</f>
        <v>8.3333333333333338E-8</v>
      </c>
    </row>
    <row r="11" spans="1:11" x14ac:dyDescent="0.2">
      <c r="B11" s="14" t="s">
        <v>30</v>
      </c>
      <c r="C11" s="52">
        <v>24</v>
      </c>
      <c r="E11" t="s">
        <v>94</v>
      </c>
    </row>
    <row r="12" spans="1:11" x14ac:dyDescent="0.2">
      <c r="B12" s="14" t="s">
        <v>31</v>
      </c>
      <c r="C12" s="53">
        <v>1</v>
      </c>
      <c r="E12" t="s">
        <v>103</v>
      </c>
    </row>
    <row r="13" spans="1:11" x14ac:dyDescent="0.2">
      <c r="B13" s="14" t="s">
        <v>114</v>
      </c>
      <c r="C13" s="64">
        <f>C10*(16+8*C12)</f>
        <v>2.0000000000000003E-6</v>
      </c>
      <c r="E13" t="s">
        <v>178</v>
      </c>
    </row>
    <row r="14" spans="1:11" x14ac:dyDescent="0.2">
      <c r="A14" s="4" t="s">
        <v>112</v>
      </c>
      <c r="C14" s="19"/>
    </row>
    <row r="15" spans="1:11" x14ac:dyDescent="0.2">
      <c r="B15" s="14" t="s">
        <v>32</v>
      </c>
      <c r="C15" s="54">
        <v>1.5E-3</v>
      </c>
      <c r="D15" s="19"/>
      <c r="E15" t="s">
        <v>180</v>
      </c>
    </row>
    <row r="16" spans="1:11" x14ac:dyDescent="0.2">
      <c r="B16" s="14" t="s">
        <v>33</v>
      </c>
      <c r="C16" s="55">
        <v>1.2</v>
      </c>
    </row>
    <row r="17" spans="1:10" x14ac:dyDescent="0.2">
      <c r="B17" s="14" t="s">
        <v>34</v>
      </c>
      <c r="C17" s="53">
        <v>1.38</v>
      </c>
      <c r="E17" t="s">
        <v>35</v>
      </c>
    </row>
    <row r="18" spans="1:10" x14ac:dyDescent="0.2">
      <c r="B18" s="14" t="s">
        <v>36</v>
      </c>
      <c r="C18" s="20">
        <f>C17/SQRT(2)</f>
        <v>0.97580735803743546</v>
      </c>
    </row>
    <row r="19" spans="1:10" x14ac:dyDescent="0.2">
      <c r="A19" s="4" t="s">
        <v>115</v>
      </c>
      <c r="C19" s="20"/>
    </row>
    <row r="20" spans="1:10" x14ac:dyDescent="0.2">
      <c r="B20" s="14" t="s">
        <v>37</v>
      </c>
      <c r="C20" s="71">
        <v>3</v>
      </c>
      <c r="E20" t="s">
        <v>151</v>
      </c>
    </row>
    <row r="21" spans="1:10" x14ac:dyDescent="0.2">
      <c r="B21" s="14" t="s">
        <v>38</v>
      </c>
      <c r="C21" s="64">
        <f>(24+32*C20)*C10</f>
        <v>1.0000000000000001E-5</v>
      </c>
      <c r="E21" t="s">
        <v>121</v>
      </c>
    </row>
    <row r="23" spans="1:10" x14ac:dyDescent="0.2">
      <c r="B23" s="14" t="s">
        <v>179</v>
      </c>
      <c r="C23" s="20">
        <f>C11*0.0000002/C15</f>
        <v>3.1999999999999997E-3</v>
      </c>
      <c r="E23" t="s">
        <v>181</v>
      </c>
    </row>
    <row r="24" spans="1:10" x14ac:dyDescent="0.2">
      <c r="B24" s="14" t="s">
        <v>39</v>
      </c>
      <c r="C24" s="20">
        <f>C11*C13/C15</f>
        <v>3.2000000000000008E-2</v>
      </c>
      <c r="E24" t="s">
        <v>96</v>
      </c>
    </row>
    <row r="25" spans="1:10" x14ac:dyDescent="0.2">
      <c r="B25" s="14" t="s">
        <v>40</v>
      </c>
      <c r="C25" s="20">
        <f>C16*C17*2*C21/C15</f>
        <v>2.2079999999999999E-2</v>
      </c>
      <c r="E25" t="s">
        <v>97</v>
      </c>
    </row>
    <row r="27" spans="1:10" x14ac:dyDescent="0.2">
      <c r="B27" s="14" t="s">
        <v>41</v>
      </c>
      <c r="C27" s="71">
        <v>31</v>
      </c>
      <c r="E27" t="s">
        <v>120</v>
      </c>
    </row>
    <row r="28" spans="1:10" x14ac:dyDescent="0.2">
      <c r="B28" s="14" t="s">
        <v>49</v>
      </c>
      <c r="C28" s="21" t="str">
        <f>IF(C27&lt;16,"Current scaler is quite small - values above 16 are best for good microstepping","OK")</f>
        <v>OK</v>
      </c>
    </row>
    <row r="29" spans="1:10" x14ac:dyDescent="0.2">
      <c r="A29" s="33" t="s">
        <v>116</v>
      </c>
      <c r="B29" s="34"/>
      <c r="C29" s="35"/>
      <c r="D29" s="36"/>
      <c r="E29" s="36"/>
      <c r="F29" s="36"/>
      <c r="G29" s="36"/>
      <c r="H29" s="36"/>
    </row>
    <row r="30" spans="1:10" x14ac:dyDescent="0.2">
      <c r="B30" s="13" t="s">
        <v>42</v>
      </c>
      <c r="C30" s="32">
        <f>MAX(0.5+(C23+C24+C25)*2*248*(C27+1)/C17/32-8,-2)</f>
        <v>13.087594202898558</v>
      </c>
      <c r="E30" t="s">
        <v>130</v>
      </c>
      <c r="J30" t="s">
        <v>43</v>
      </c>
    </row>
    <row r="31" spans="1:10" ht="16" thickBot="1" x14ac:dyDescent="0.25">
      <c r="J31" t="s">
        <v>44</v>
      </c>
    </row>
    <row r="32" spans="1:10" x14ac:dyDescent="0.2">
      <c r="A32" s="17" t="s">
        <v>98</v>
      </c>
      <c r="C32" s="22" t="s">
        <v>45</v>
      </c>
      <c r="F32" s="56" t="s">
        <v>46</v>
      </c>
      <c r="G32" s="57"/>
      <c r="H32" s="58"/>
    </row>
    <row r="33" spans="1:9" x14ac:dyDescent="0.2">
      <c r="B33" s="30" t="s">
        <v>101</v>
      </c>
      <c r="C33" s="23">
        <f>MAX(MIN(C30,8),1)</f>
        <v>8</v>
      </c>
      <c r="E33" t="s">
        <v>47</v>
      </c>
      <c r="F33" s="59">
        <f>C33-1</f>
        <v>7</v>
      </c>
      <c r="G33" s="15" t="s">
        <v>99</v>
      </c>
      <c r="H33" s="60"/>
      <c r="I33" t="s">
        <v>131</v>
      </c>
    </row>
    <row r="34" spans="1:9" ht="16" thickBot="1" x14ac:dyDescent="0.25">
      <c r="B34" s="30" t="s">
        <v>102</v>
      </c>
      <c r="C34" s="23">
        <f>MIN(C30-C33,12)</f>
        <v>5.0875942028985577</v>
      </c>
      <c r="E34" t="s">
        <v>48</v>
      </c>
      <c r="F34" s="61">
        <f>C34+3</f>
        <v>8.0875942028985577</v>
      </c>
      <c r="G34" s="62" t="s">
        <v>100</v>
      </c>
      <c r="H34" s="63"/>
      <c r="I34" t="s">
        <v>132</v>
      </c>
    </row>
    <row r="36" spans="1:9" x14ac:dyDescent="0.2">
      <c r="B36" s="14" t="s">
        <v>49</v>
      </c>
      <c r="C36" s="21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2">
      <c r="C37" s="21"/>
    </row>
    <row r="38" spans="1:9" x14ac:dyDescent="0.2">
      <c r="B38" s="14" t="s">
        <v>125</v>
      </c>
      <c r="C38" s="29">
        <f>1/(2*C21+2*C13)/1000</f>
        <v>41.666666666666664</v>
      </c>
      <c r="E38" t="s">
        <v>126</v>
      </c>
    </row>
    <row r="39" spans="1:9" x14ac:dyDescent="0.2">
      <c r="B39" s="14" t="s">
        <v>49</v>
      </c>
      <c r="C39" s="21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5"/>
    </row>
    <row r="41" spans="1:9" x14ac:dyDescent="0.2">
      <c r="B41" s="14" t="s">
        <v>50</v>
      </c>
      <c r="C41" s="3">
        <f>C16*C17/SQRT(2)</f>
        <v>1.1709688296449225</v>
      </c>
      <c r="E41" t="s">
        <v>51</v>
      </c>
    </row>
    <row r="42" spans="1:9" x14ac:dyDescent="0.2">
      <c r="A42" s="4" t="s">
        <v>117</v>
      </c>
      <c r="C42" s="3"/>
    </row>
    <row r="43" spans="1:9" x14ac:dyDescent="0.2">
      <c r="B43" s="14" t="s">
        <v>52</v>
      </c>
      <c r="C43" s="7">
        <f>20*C41</f>
        <v>23.419376592898452</v>
      </c>
      <c r="E43" s="24" t="s">
        <v>53</v>
      </c>
    </row>
    <row r="44" spans="1:9" x14ac:dyDescent="0.2">
      <c r="B44" s="14" t="s">
        <v>54</v>
      </c>
      <c r="C44" s="7">
        <f>C41*2</f>
        <v>2.3419376592898451</v>
      </c>
      <c r="E44" t="s">
        <v>55</v>
      </c>
    </row>
    <row r="45" spans="1:9" x14ac:dyDescent="0.2">
      <c r="B45"/>
    </row>
    <row r="46" spans="1:9" ht="16" thickBot="1" x14ac:dyDescent="0.25">
      <c r="A46" s="4" t="s">
        <v>118</v>
      </c>
    </row>
    <row r="47" spans="1:9" x14ac:dyDescent="0.2">
      <c r="B47" s="67" t="s">
        <v>153</v>
      </c>
      <c r="C47" s="65">
        <f>(C27+1)/32/C17*0.32-0.02</f>
        <v>0.21188405797101453</v>
      </c>
      <c r="D47" s="68" t="s">
        <v>56</v>
      </c>
      <c r="E47" t="s">
        <v>119</v>
      </c>
    </row>
    <row r="48" spans="1:9" ht="16" thickBot="1" x14ac:dyDescent="0.25">
      <c r="B48" s="69" t="s">
        <v>154</v>
      </c>
      <c r="C48" s="66">
        <f>(C27+1)/32/C17*0.18-0.02</f>
        <v>0.11043478260869567</v>
      </c>
      <c r="D48" s="70" t="s">
        <v>56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"/>
  <sheetViews>
    <sheetView workbookViewId="0">
      <selection activeCell="C19" sqref="C19"/>
    </sheetView>
  </sheetViews>
  <sheetFormatPr baseColWidth="10" defaultRowHeight="15" x14ac:dyDescent="0.2"/>
  <cols>
    <col min="1" max="1" width="39.83203125" customWidth="1"/>
    <col min="2" max="2" width="23.1640625" customWidth="1"/>
    <col min="3" max="3" width="16.83203125" customWidth="1"/>
    <col min="4" max="4" width="17.5" customWidth="1"/>
    <col min="5" max="5" width="17.1640625" customWidth="1"/>
    <col min="257" max="257" width="39.83203125" customWidth="1"/>
    <col min="258" max="258" width="23.1640625" customWidth="1"/>
    <col min="259" max="259" width="16.83203125" customWidth="1"/>
    <col min="260" max="260" width="17.5" customWidth="1"/>
    <col min="261" max="261" width="17.1640625" customWidth="1"/>
    <col min="513" max="513" width="39.83203125" customWidth="1"/>
    <col min="514" max="514" width="23.1640625" customWidth="1"/>
    <col min="515" max="515" width="16.83203125" customWidth="1"/>
    <col min="516" max="516" width="17.5" customWidth="1"/>
    <col min="517" max="517" width="17.1640625" customWidth="1"/>
    <col min="769" max="769" width="39.83203125" customWidth="1"/>
    <col min="770" max="770" width="23.1640625" customWidth="1"/>
    <col min="771" max="771" width="16.83203125" customWidth="1"/>
    <col min="772" max="772" width="17.5" customWidth="1"/>
    <col min="773" max="773" width="17.1640625" customWidth="1"/>
    <col min="1025" max="1025" width="39.83203125" customWidth="1"/>
    <col min="1026" max="1026" width="23.1640625" customWidth="1"/>
    <col min="1027" max="1027" width="16.83203125" customWidth="1"/>
    <col min="1028" max="1028" width="17.5" customWidth="1"/>
    <col min="1029" max="1029" width="17.1640625" customWidth="1"/>
    <col min="1281" max="1281" width="39.83203125" customWidth="1"/>
    <col min="1282" max="1282" width="23.1640625" customWidth="1"/>
    <col min="1283" max="1283" width="16.83203125" customWidth="1"/>
    <col min="1284" max="1284" width="17.5" customWidth="1"/>
    <col min="1285" max="1285" width="17.1640625" customWidth="1"/>
    <col min="1537" max="1537" width="39.83203125" customWidth="1"/>
    <col min="1538" max="1538" width="23.1640625" customWidth="1"/>
    <col min="1539" max="1539" width="16.83203125" customWidth="1"/>
    <col min="1540" max="1540" width="17.5" customWidth="1"/>
    <col min="1541" max="1541" width="17.1640625" customWidth="1"/>
    <col min="1793" max="1793" width="39.83203125" customWidth="1"/>
    <col min="1794" max="1794" width="23.1640625" customWidth="1"/>
    <col min="1795" max="1795" width="16.83203125" customWidth="1"/>
    <col min="1796" max="1796" width="17.5" customWidth="1"/>
    <col min="1797" max="1797" width="17.1640625" customWidth="1"/>
    <col min="2049" max="2049" width="39.83203125" customWidth="1"/>
    <col min="2050" max="2050" width="23.1640625" customWidth="1"/>
    <col min="2051" max="2051" width="16.83203125" customWidth="1"/>
    <col min="2052" max="2052" width="17.5" customWidth="1"/>
    <col min="2053" max="2053" width="17.1640625" customWidth="1"/>
    <col min="2305" max="2305" width="39.83203125" customWidth="1"/>
    <col min="2306" max="2306" width="23.1640625" customWidth="1"/>
    <col min="2307" max="2307" width="16.83203125" customWidth="1"/>
    <col min="2308" max="2308" width="17.5" customWidth="1"/>
    <col min="2309" max="2309" width="17.1640625" customWidth="1"/>
    <col min="2561" max="2561" width="39.83203125" customWidth="1"/>
    <col min="2562" max="2562" width="23.1640625" customWidth="1"/>
    <col min="2563" max="2563" width="16.83203125" customWidth="1"/>
    <col min="2564" max="2564" width="17.5" customWidth="1"/>
    <col min="2565" max="2565" width="17.1640625" customWidth="1"/>
    <col min="2817" max="2817" width="39.83203125" customWidth="1"/>
    <col min="2818" max="2818" width="23.1640625" customWidth="1"/>
    <col min="2819" max="2819" width="16.83203125" customWidth="1"/>
    <col min="2820" max="2820" width="17.5" customWidth="1"/>
    <col min="2821" max="2821" width="17.1640625" customWidth="1"/>
    <col min="3073" max="3073" width="39.83203125" customWidth="1"/>
    <col min="3074" max="3074" width="23.1640625" customWidth="1"/>
    <col min="3075" max="3075" width="16.83203125" customWidth="1"/>
    <col min="3076" max="3076" width="17.5" customWidth="1"/>
    <col min="3077" max="3077" width="17.1640625" customWidth="1"/>
    <col min="3329" max="3329" width="39.83203125" customWidth="1"/>
    <col min="3330" max="3330" width="23.1640625" customWidth="1"/>
    <col min="3331" max="3331" width="16.83203125" customWidth="1"/>
    <col min="3332" max="3332" width="17.5" customWidth="1"/>
    <col min="3333" max="3333" width="17.1640625" customWidth="1"/>
    <col min="3585" max="3585" width="39.83203125" customWidth="1"/>
    <col min="3586" max="3586" width="23.1640625" customWidth="1"/>
    <col min="3587" max="3587" width="16.83203125" customWidth="1"/>
    <col min="3588" max="3588" width="17.5" customWidth="1"/>
    <col min="3589" max="3589" width="17.1640625" customWidth="1"/>
    <col min="3841" max="3841" width="39.83203125" customWidth="1"/>
    <col min="3842" max="3842" width="23.1640625" customWidth="1"/>
    <col min="3843" max="3843" width="16.83203125" customWidth="1"/>
    <col min="3844" max="3844" width="17.5" customWidth="1"/>
    <col min="3845" max="3845" width="17.1640625" customWidth="1"/>
    <col min="4097" max="4097" width="39.83203125" customWidth="1"/>
    <col min="4098" max="4098" width="23.1640625" customWidth="1"/>
    <col min="4099" max="4099" width="16.83203125" customWidth="1"/>
    <col min="4100" max="4100" width="17.5" customWidth="1"/>
    <col min="4101" max="4101" width="17.1640625" customWidth="1"/>
    <col min="4353" max="4353" width="39.83203125" customWidth="1"/>
    <col min="4354" max="4354" width="23.1640625" customWidth="1"/>
    <col min="4355" max="4355" width="16.83203125" customWidth="1"/>
    <col min="4356" max="4356" width="17.5" customWidth="1"/>
    <col min="4357" max="4357" width="17.1640625" customWidth="1"/>
    <col min="4609" max="4609" width="39.83203125" customWidth="1"/>
    <col min="4610" max="4610" width="23.1640625" customWidth="1"/>
    <col min="4611" max="4611" width="16.83203125" customWidth="1"/>
    <col min="4612" max="4612" width="17.5" customWidth="1"/>
    <col min="4613" max="4613" width="17.1640625" customWidth="1"/>
    <col min="4865" max="4865" width="39.83203125" customWidth="1"/>
    <col min="4866" max="4866" width="23.1640625" customWidth="1"/>
    <col min="4867" max="4867" width="16.83203125" customWidth="1"/>
    <col min="4868" max="4868" width="17.5" customWidth="1"/>
    <col min="4869" max="4869" width="17.1640625" customWidth="1"/>
    <col min="5121" max="5121" width="39.83203125" customWidth="1"/>
    <col min="5122" max="5122" width="23.1640625" customWidth="1"/>
    <col min="5123" max="5123" width="16.83203125" customWidth="1"/>
    <col min="5124" max="5124" width="17.5" customWidth="1"/>
    <col min="5125" max="5125" width="17.1640625" customWidth="1"/>
    <col min="5377" max="5377" width="39.83203125" customWidth="1"/>
    <col min="5378" max="5378" width="23.1640625" customWidth="1"/>
    <col min="5379" max="5379" width="16.83203125" customWidth="1"/>
    <col min="5380" max="5380" width="17.5" customWidth="1"/>
    <col min="5381" max="5381" width="17.1640625" customWidth="1"/>
    <col min="5633" max="5633" width="39.83203125" customWidth="1"/>
    <col min="5634" max="5634" width="23.1640625" customWidth="1"/>
    <col min="5635" max="5635" width="16.83203125" customWidth="1"/>
    <col min="5636" max="5636" width="17.5" customWidth="1"/>
    <col min="5637" max="5637" width="17.1640625" customWidth="1"/>
    <col min="5889" max="5889" width="39.83203125" customWidth="1"/>
    <col min="5890" max="5890" width="23.1640625" customWidth="1"/>
    <col min="5891" max="5891" width="16.83203125" customWidth="1"/>
    <col min="5892" max="5892" width="17.5" customWidth="1"/>
    <col min="5893" max="5893" width="17.1640625" customWidth="1"/>
    <col min="6145" max="6145" width="39.83203125" customWidth="1"/>
    <col min="6146" max="6146" width="23.1640625" customWidth="1"/>
    <col min="6147" max="6147" width="16.83203125" customWidth="1"/>
    <col min="6148" max="6148" width="17.5" customWidth="1"/>
    <col min="6149" max="6149" width="17.1640625" customWidth="1"/>
    <col min="6401" max="6401" width="39.83203125" customWidth="1"/>
    <col min="6402" max="6402" width="23.1640625" customWidth="1"/>
    <col min="6403" max="6403" width="16.83203125" customWidth="1"/>
    <col min="6404" max="6404" width="17.5" customWidth="1"/>
    <col min="6405" max="6405" width="17.1640625" customWidth="1"/>
    <col min="6657" max="6657" width="39.83203125" customWidth="1"/>
    <col min="6658" max="6658" width="23.1640625" customWidth="1"/>
    <col min="6659" max="6659" width="16.83203125" customWidth="1"/>
    <col min="6660" max="6660" width="17.5" customWidth="1"/>
    <col min="6661" max="6661" width="17.1640625" customWidth="1"/>
    <col min="6913" max="6913" width="39.83203125" customWidth="1"/>
    <col min="6914" max="6914" width="23.1640625" customWidth="1"/>
    <col min="6915" max="6915" width="16.83203125" customWidth="1"/>
    <col min="6916" max="6916" width="17.5" customWidth="1"/>
    <col min="6917" max="6917" width="17.1640625" customWidth="1"/>
    <col min="7169" max="7169" width="39.83203125" customWidth="1"/>
    <col min="7170" max="7170" width="23.1640625" customWidth="1"/>
    <col min="7171" max="7171" width="16.83203125" customWidth="1"/>
    <col min="7172" max="7172" width="17.5" customWidth="1"/>
    <col min="7173" max="7173" width="17.1640625" customWidth="1"/>
    <col min="7425" max="7425" width="39.83203125" customWidth="1"/>
    <col min="7426" max="7426" width="23.1640625" customWidth="1"/>
    <col min="7427" max="7427" width="16.83203125" customWidth="1"/>
    <col min="7428" max="7428" width="17.5" customWidth="1"/>
    <col min="7429" max="7429" width="17.1640625" customWidth="1"/>
    <col min="7681" max="7681" width="39.83203125" customWidth="1"/>
    <col min="7682" max="7682" width="23.1640625" customWidth="1"/>
    <col min="7683" max="7683" width="16.83203125" customWidth="1"/>
    <col min="7684" max="7684" width="17.5" customWidth="1"/>
    <col min="7685" max="7685" width="17.1640625" customWidth="1"/>
    <col min="7937" max="7937" width="39.83203125" customWidth="1"/>
    <col min="7938" max="7938" width="23.1640625" customWidth="1"/>
    <col min="7939" max="7939" width="16.83203125" customWidth="1"/>
    <col min="7940" max="7940" width="17.5" customWidth="1"/>
    <col min="7941" max="7941" width="17.1640625" customWidth="1"/>
    <col min="8193" max="8193" width="39.83203125" customWidth="1"/>
    <col min="8194" max="8194" width="23.1640625" customWidth="1"/>
    <col min="8195" max="8195" width="16.83203125" customWidth="1"/>
    <col min="8196" max="8196" width="17.5" customWidth="1"/>
    <col min="8197" max="8197" width="17.1640625" customWidth="1"/>
    <col min="8449" max="8449" width="39.83203125" customWidth="1"/>
    <col min="8450" max="8450" width="23.1640625" customWidth="1"/>
    <col min="8451" max="8451" width="16.83203125" customWidth="1"/>
    <col min="8452" max="8452" width="17.5" customWidth="1"/>
    <col min="8453" max="8453" width="17.1640625" customWidth="1"/>
    <col min="8705" max="8705" width="39.83203125" customWidth="1"/>
    <col min="8706" max="8706" width="23.1640625" customWidth="1"/>
    <col min="8707" max="8707" width="16.83203125" customWidth="1"/>
    <col min="8708" max="8708" width="17.5" customWidth="1"/>
    <col min="8709" max="8709" width="17.1640625" customWidth="1"/>
    <col min="8961" max="8961" width="39.83203125" customWidth="1"/>
    <col min="8962" max="8962" width="23.1640625" customWidth="1"/>
    <col min="8963" max="8963" width="16.83203125" customWidth="1"/>
    <col min="8964" max="8964" width="17.5" customWidth="1"/>
    <col min="8965" max="8965" width="17.1640625" customWidth="1"/>
    <col min="9217" max="9217" width="39.83203125" customWidth="1"/>
    <col min="9218" max="9218" width="23.1640625" customWidth="1"/>
    <col min="9219" max="9219" width="16.83203125" customWidth="1"/>
    <col min="9220" max="9220" width="17.5" customWidth="1"/>
    <col min="9221" max="9221" width="17.1640625" customWidth="1"/>
    <col min="9473" max="9473" width="39.83203125" customWidth="1"/>
    <col min="9474" max="9474" width="23.1640625" customWidth="1"/>
    <col min="9475" max="9475" width="16.83203125" customWidth="1"/>
    <col min="9476" max="9476" width="17.5" customWidth="1"/>
    <col min="9477" max="9477" width="17.1640625" customWidth="1"/>
    <col min="9729" max="9729" width="39.83203125" customWidth="1"/>
    <col min="9730" max="9730" width="23.1640625" customWidth="1"/>
    <col min="9731" max="9731" width="16.83203125" customWidth="1"/>
    <col min="9732" max="9732" width="17.5" customWidth="1"/>
    <col min="9733" max="9733" width="17.1640625" customWidth="1"/>
    <col min="9985" max="9985" width="39.83203125" customWidth="1"/>
    <col min="9986" max="9986" width="23.1640625" customWidth="1"/>
    <col min="9987" max="9987" width="16.83203125" customWidth="1"/>
    <col min="9988" max="9988" width="17.5" customWidth="1"/>
    <col min="9989" max="9989" width="17.1640625" customWidth="1"/>
    <col min="10241" max="10241" width="39.83203125" customWidth="1"/>
    <col min="10242" max="10242" width="23.1640625" customWidth="1"/>
    <col min="10243" max="10243" width="16.83203125" customWidth="1"/>
    <col min="10244" max="10244" width="17.5" customWidth="1"/>
    <col min="10245" max="10245" width="17.1640625" customWidth="1"/>
    <col min="10497" max="10497" width="39.83203125" customWidth="1"/>
    <col min="10498" max="10498" width="23.1640625" customWidth="1"/>
    <col min="10499" max="10499" width="16.83203125" customWidth="1"/>
    <col min="10500" max="10500" width="17.5" customWidth="1"/>
    <col min="10501" max="10501" width="17.1640625" customWidth="1"/>
    <col min="10753" max="10753" width="39.83203125" customWidth="1"/>
    <col min="10754" max="10754" width="23.1640625" customWidth="1"/>
    <col min="10755" max="10755" width="16.83203125" customWidth="1"/>
    <col min="10756" max="10756" width="17.5" customWidth="1"/>
    <col min="10757" max="10757" width="17.1640625" customWidth="1"/>
    <col min="11009" max="11009" width="39.83203125" customWidth="1"/>
    <col min="11010" max="11010" width="23.1640625" customWidth="1"/>
    <col min="11011" max="11011" width="16.83203125" customWidth="1"/>
    <col min="11012" max="11012" width="17.5" customWidth="1"/>
    <col min="11013" max="11013" width="17.1640625" customWidth="1"/>
    <col min="11265" max="11265" width="39.83203125" customWidth="1"/>
    <col min="11266" max="11266" width="23.1640625" customWidth="1"/>
    <col min="11267" max="11267" width="16.83203125" customWidth="1"/>
    <col min="11268" max="11268" width="17.5" customWidth="1"/>
    <col min="11269" max="11269" width="17.1640625" customWidth="1"/>
    <col min="11521" max="11521" width="39.83203125" customWidth="1"/>
    <col min="11522" max="11522" width="23.1640625" customWidth="1"/>
    <col min="11523" max="11523" width="16.83203125" customWidth="1"/>
    <col min="11524" max="11524" width="17.5" customWidth="1"/>
    <col min="11525" max="11525" width="17.1640625" customWidth="1"/>
    <col min="11777" max="11777" width="39.83203125" customWidth="1"/>
    <col min="11778" max="11778" width="23.1640625" customWidth="1"/>
    <col min="11779" max="11779" width="16.83203125" customWidth="1"/>
    <col min="11780" max="11780" width="17.5" customWidth="1"/>
    <col min="11781" max="11781" width="17.1640625" customWidth="1"/>
    <col min="12033" max="12033" width="39.83203125" customWidth="1"/>
    <col min="12034" max="12034" width="23.1640625" customWidth="1"/>
    <col min="12035" max="12035" width="16.83203125" customWidth="1"/>
    <col min="12036" max="12036" width="17.5" customWidth="1"/>
    <col min="12037" max="12037" width="17.1640625" customWidth="1"/>
    <col min="12289" max="12289" width="39.83203125" customWidth="1"/>
    <col min="12290" max="12290" width="23.1640625" customWidth="1"/>
    <col min="12291" max="12291" width="16.83203125" customWidth="1"/>
    <col min="12292" max="12292" width="17.5" customWidth="1"/>
    <col min="12293" max="12293" width="17.1640625" customWidth="1"/>
    <col min="12545" max="12545" width="39.83203125" customWidth="1"/>
    <col min="12546" max="12546" width="23.1640625" customWidth="1"/>
    <col min="12547" max="12547" width="16.83203125" customWidth="1"/>
    <col min="12548" max="12548" width="17.5" customWidth="1"/>
    <col min="12549" max="12549" width="17.1640625" customWidth="1"/>
    <col min="12801" max="12801" width="39.83203125" customWidth="1"/>
    <col min="12802" max="12802" width="23.1640625" customWidth="1"/>
    <col min="12803" max="12803" width="16.83203125" customWidth="1"/>
    <col min="12804" max="12804" width="17.5" customWidth="1"/>
    <col min="12805" max="12805" width="17.1640625" customWidth="1"/>
    <col min="13057" max="13057" width="39.83203125" customWidth="1"/>
    <col min="13058" max="13058" width="23.1640625" customWidth="1"/>
    <col min="13059" max="13059" width="16.83203125" customWidth="1"/>
    <col min="13060" max="13060" width="17.5" customWidth="1"/>
    <col min="13061" max="13061" width="17.1640625" customWidth="1"/>
    <col min="13313" max="13313" width="39.83203125" customWidth="1"/>
    <col min="13314" max="13314" width="23.1640625" customWidth="1"/>
    <col min="13315" max="13315" width="16.83203125" customWidth="1"/>
    <col min="13316" max="13316" width="17.5" customWidth="1"/>
    <col min="13317" max="13317" width="17.1640625" customWidth="1"/>
    <col min="13569" max="13569" width="39.83203125" customWidth="1"/>
    <col min="13570" max="13570" width="23.1640625" customWidth="1"/>
    <col min="13571" max="13571" width="16.83203125" customWidth="1"/>
    <col min="13572" max="13572" width="17.5" customWidth="1"/>
    <col min="13573" max="13573" width="17.1640625" customWidth="1"/>
    <col min="13825" max="13825" width="39.83203125" customWidth="1"/>
    <col min="13826" max="13826" width="23.1640625" customWidth="1"/>
    <col min="13827" max="13827" width="16.83203125" customWidth="1"/>
    <col min="13828" max="13828" width="17.5" customWidth="1"/>
    <col min="13829" max="13829" width="17.1640625" customWidth="1"/>
    <col min="14081" max="14081" width="39.83203125" customWidth="1"/>
    <col min="14082" max="14082" width="23.1640625" customWidth="1"/>
    <col min="14083" max="14083" width="16.83203125" customWidth="1"/>
    <col min="14084" max="14084" width="17.5" customWidth="1"/>
    <col min="14085" max="14085" width="17.1640625" customWidth="1"/>
    <col min="14337" max="14337" width="39.83203125" customWidth="1"/>
    <col min="14338" max="14338" width="23.1640625" customWidth="1"/>
    <col min="14339" max="14339" width="16.83203125" customWidth="1"/>
    <col min="14340" max="14340" width="17.5" customWidth="1"/>
    <col min="14341" max="14341" width="17.1640625" customWidth="1"/>
    <col min="14593" max="14593" width="39.83203125" customWidth="1"/>
    <col min="14594" max="14594" width="23.1640625" customWidth="1"/>
    <col min="14595" max="14595" width="16.83203125" customWidth="1"/>
    <col min="14596" max="14596" width="17.5" customWidth="1"/>
    <col min="14597" max="14597" width="17.1640625" customWidth="1"/>
    <col min="14849" max="14849" width="39.83203125" customWidth="1"/>
    <col min="14850" max="14850" width="23.1640625" customWidth="1"/>
    <col min="14851" max="14851" width="16.83203125" customWidth="1"/>
    <col min="14852" max="14852" width="17.5" customWidth="1"/>
    <col min="14853" max="14853" width="17.1640625" customWidth="1"/>
    <col min="15105" max="15105" width="39.83203125" customWidth="1"/>
    <col min="15106" max="15106" width="23.1640625" customWidth="1"/>
    <col min="15107" max="15107" width="16.83203125" customWidth="1"/>
    <col min="15108" max="15108" width="17.5" customWidth="1"/>
    <col min="15109" max="15109" width="17.1640625" customWidth="1"/>
    <col min="15361" max="15361" width="39.83203125" customWidth="1"/>
    <col min="15362" max="15362" width="23.1640625" customWidth="1"/>
    <col min="15363" max="15363" width="16.83203125" customWidth="1"/>
    <col min="15364" max="15364" width="17.5" customWidth="1"/>
    <col min="15365" max="15365" width="17.1640625" customWidth="1"/>
    <col min="15617" max="15617" width="39.83203125" customWidth="1"/>
    <col min="15618" max="15618" width="23.1640625" customWidth="1"/>
    <col min="15619" max="15619" width="16.83203125" customWidth="1"/>
    <col min="15620" max="15620" width="17.5" customWidth="1"/>
    <col min="15621" max="15621" width="17.1640625" customWidth="1"/>
    <col min="15873" max="15873" width="39.83203125" customWidth="1"/>
    <col min="15874" max="15874" width="23.1640625" customWidth="1"/>
    <col min="15875" max="15875" width="16.83203125" customWidth="1"/>
    <col min="15876" max="15876" width="17.5" customWidth="1"/>
    <col min="15877" max="15877" width="17.1640625" customWidth="1"/>
    <col min="16129" max="16129" width="39.83203125" customWidth="1"/>
    <col min="16130" max="16130" width="23.1640625" customWidth="1"/>
    <col min="16131" max="16131" width="16.83203125" customWidth="1"/>
    <col min="16132" max="16132" width="17.5" customWidth="1"/>
    <col min="16133" max="16133" width="17.1640625" customWidth="1"/>
  </cols>
  <sheetData>
    <row r="1" spans="1:8" s="6" customFormat="1" ht="19" x14ac:dyDescent="0.25">
      <c r="A1" s="5" t="s">
        <v>165</v>
      </c>
    </row>
    <row r="2" spans="1:8" x14ac:dyDescent="0.2">
      <c r="A2" s="24" t="s">
        <v>168</v>
      </c>
      <c r="B2" s="17"/>
    </row>
    <row r="3" spans="1:8" x14ac:dyDescent="0.2">
      <c r="A3" s="24"/>
      <c r="B3" s="17"/>
    </row>
    <row r="4" spans="1:8" x14ac:dyDescent="0.2">
      <c r="A4" s="4" t="s">
        <v>23</v>
      </c>
      <c r="B4" s="18" t="s">
        <v>122</v>
      </c>
      <c r="C4" s="18"/>
      <c r="D4" s="18"/>
      <c r="E4" s="18"/>
      <c r="F4" s="18"/>
      <c r="G4" s="18"/>
      <c r="H4" s="18"/>
    </row>
    <row r="5" spans="1:8" x14ac:dyDescent="0.2">
      <c r="A5" s="4"/>
      <c r="B5" t="s">
        <v>110</v>
      </c>
    </row>
    <row r="6" spans="1:8" x14ac:dyDescent="0.2">
      <c r="A6" s="4"/>
    </row>
    <row r="7" spans="1:8" x14ac:dyDescent="0.2">
      <c r="B7" s="14"/>
      <c r="E7" s="25" t="s">
        <v>59</v>
      </c>
      <c r="F7" s="18"/>
      <c r="G7" s="18"/>
      <c r="H7" s="18"/>
    </row>
    <row r="8" spans="1:8" x14ac:dyDescent="0.2">
      <c r="A8" s="4" t="s">
        <v>95</v>
      </c>
      <c r="B8" s="14" t="s">
        <v>28</v>
      </c>
      <c r="C8" s="51">
        <v>12</v>
      </c>
      <c r="E8" t="s">
        <v>235</v>
      </c>
    </row>
    <row r="9" spans="1:8" x14ac:dyDescent="0.2">
      <c r="B9" s="14" t="s">
        <v>29</v>
      </c>
      <c r="C9">
        <f>1/(1000000*C8)</f>
        <v>8.3333333333333338E-8</v>
      </c>
    </row>
    <row r="10" spans="1:8" x14ac:dyDescent="0.2">
      <c r="B10" s="14"/>
    </row>
    <row r="11" spans="1:8" x14ac:dyDescent="0.2">
      <c r="A11" s="4" t="s">
        <v>60</v>
      </c>
      <c r="B11" s="14" t="s">
        <v>30</v>
      </c>
      <c r="C11" s="51">
        <v>24</v>
      </c>
    </row>
    <row r="12" spans="1:8" x14ac:dyDescent="0.2">
      <c r="A12" s="4"/>
      <c r="B12" s="14"/>
    </row>
    <row r="13" spans="1:8" x14ac:dyDescent="0.2">
      <c r="B13" s="14"/>
      <c r="C13" s="4" t="s">
        <v>128</v>
      </c>
      <c r="D13" s="4"/>
    </row>
    <row r="14" spans="1:8" x14ac:dyDescent="0.2">
      <c r="A14" s="4" t="s">
        <v>61</v>
      </c>
      <c r="B14" s="14" t="s">
        <v>34</v>
      </c>
      <c r="C14">
        <f>1.41*C15</f>
        <v>1.41</v>
      </c>
      <c r="E14" t="s">
        <v>62</v>
      </c>
    </row>
    <row r="15" spans="1:8" x14ac:dyDescent="0.2">
      <c r="B15" s="14" t="s">
        <v>63</v>
      </c>
      <c r="C15" s="75">
        <v>1</v>
      </c>
      <c r="D15" s="3"/>
      <c r="E15" t="s">
        <v>156</v>
      </c>
    </row>
    <row r="16" spans="1:8" x14ac:dyDescent="0.2">
      <c r="A16" s="4" t="s">
        <v>162</v>
      </c>
      <c r="B16" s="14" t="s">
        <v>163</v>
      </c>
      <c r="C16" s="51">
        <v>4.5</v>
      </c>
      <c r="D16" s="3"/>
      <c r="E16" t="s">
        <v>234</v>
      </c>
    </row>
    <row r="17" spans="1:5" x14ac:dyDescent="0.2">
      <c r="B17" s="14"/>
      <c r="C17" s="3"/>
      <c r="D17" s="3"/>
    </row>
    <row r="18" spans="1:5" x14ac:dyDescent="0.2">
      <c r="A18" s="4" t="s">
        <v>64</v>
      </c>
      <c r="B18" s="14" t="s">
        <v>37</v>
      </c>
      <c r="C18" s="51">
        <v>3</v>
      </c>
    </row>
    <row r="19" spans="1:5" x14ac:dyDescent="0.2">
      <c r="B19" s="14" t="s">
        <v>38</v>
      </c>
      <c r="C19" s="64">
        <f>(24+32*C18)*C9</f>
        <v>1.0000000000000001E-5</v>
      </c>
      <c r="D19" t="s">
        <v>167</v>
      </c>
    </row>
    <row r="20" spans="1:5" x14ac:dyDescent="0.2">
      <c r="B20" s="14" t="s">
        <v>31</v>
      </c>
      <c r="C20" s="18">
        <v>2</v>
      </c>
    </row>
    <row r="21" spans="1:5" x14ac:dyDescent="0.2">
      <c r="B21" s="14" t="s">
        <v>231</v>
      </c>
      <c r="C21" s="19">
        <f>C9*(16+8*C20)</f>
        <v>2.6666666666666668E-6</v>
      </c>
      <c r="E21" t="s">
        <v>232</v>
      </c>
    </row>
    <row r="22" spans="1:5" ht="32" x14ac:dyDescent="0.2">
      <c r="A22" s="26" t="s">
        <v>184</v>
      </c>
      <c r="B22" s="78" t="s">
        <v>65</v>
      </c>
      <c r="C22" s="79">
        <f>1/((2+4*C23)*C19)/1000</f>
        <v>28.571428571428569</v>
      </c>
      <c r="D22" s="3"/>
      <c r="E22" t="s">
        <v>66</v>
      </c>
    </row>
    <row r="23" spans="1:5" ht="32" x14ac:dyDescent="0.2">
      <c r="A23" s="26" t="s">
        <v>164</v>
      </c>
      <c r="B23" s="30" t="s">
        <v>166</v>
      </c>
      <c r="C23" s="44">
        <f>MIN(MAX(0.2,2*(C16*C15)/$C11),0.9)</f>
        <v>0.375</v>
      </c>
      <c r="D23" s="3"/>
      <c r="E23" t="s">
        <v>67</v>
      </c>
    </row>
    <row r="24" spans="1:5" x14ac:dyDescent="0.2">
      <c r="B24" s="14"/>
      <c r="C24" s="3"/>
    </row>
    <row r="25" spans="1:5" x14ac:dyDescent="0.2">
      <c r="B25" s="14"/>
      <c r="C25" s="31" t="s">
        <v>127</v>
      </c>
      <c r="D25" s="4"/>
      <c r="E25" s="4"/>
    </row>
    <row r="26" spans="1:5" x14ac:dyDescent="0.2">
      <c r="A26" s="4" t="s">
        <v>123</v>
      </c>
      <c r="B26" s="14"/>
      <c r="C26" s="4"/>
      <c r="D26" s="4"/>
      <c r="E26" s="4"/>
    </row>
    <row r="27" spans="1:5" x14ac:dyDescent="0.2">
      <c r="A27" t="s">
        <v>68</v>
      </c>
      <c r="B27" s="14" t="s">
        <v>69</v>
      </c>
      <c r="C27">
        <v>0.17</v>
      </c>
      <c r="E27" s="9"/>
    </row>
    <row r="28" spans="1:5" x14ac:dyDescent="0.2">
      <c r="A28" s="22" t="s">
        <v>70</v>
      </c>
      <c r="B28" s="14" t="s">
        <v>71</v>
      </c>
      <c r="C28">
        <v>0.17</v>
      </c>
      <c r="E28" s="9"/>
    </row>
    <row r="29" spans="1:5" x14ac:dyDescent="0.2">
      <c r="B29" s="14"/>
      <c r="E29" s="9"/>
    </row>
    <row r="30" spans="1:5" x14ac:dyDescent="0.2">
      <c r="A30" t="s">
        <v>155</v>
      </c>
      <c r="B30" s="14" t="s">
        <v>124</v>
      </c>
      <c r="C30" s="76">
        <v>70</v>
      </c>
      <c r="D30" s="23"/>
      <c r="E30" t="s">
        <v>233</v>
      </c>
    </row>
    <row r="31" spans="1:5" x14ac:dyDescent="0.2">
      <c r="B31" s="14" t="s">
        <v>72</v>
      </c>
      <c r="C31" s="20">
        <f>C27*(1+(0.55*(C30-25)/100))</f>
        <v>0.21207500000000001</v>
      </c>
      <c r="D31" s="3"/>
      <c r="E31" s="20"/>
    </row>
    <row r="32" spans="1:5" x14ac:dyDescent="0.2">
      <c r="B32" s="14" t="s">
        <v>73</v>
      </c>
      <c r="C32" s="20">
        <f>C28*(1+(0.55*(C30-25)/100))</f>
        <v>0.21207500000000001</v>
      </c>
      <c r="D32" s="3"/>
      <c r="E32" s="20"/>
    </row>
    <row r="33" spans="1:7" x14ac:dyDescent="0.2">
      <c r="B33" s="14"/>
      <c r="C33" s="3"/>
      <c r="D33" s="3"/>
      <c r="E33" s="20"/>
    </row>
    <row r="34" spans="1:7" x14ac:dyDescent="0.2">
      <c r="A34" t="s">
        <v>74</v>
      </c>
      <c r="B34" s="14" t="s">
        <v>75</v>
      </c>
      <c r="C34" s="23">
        <v>30</v>
      </c>
      <c r="D34" s="23"/>
      <c r="E34" t="s">
        <v>76</v>
      </c>
    </row>
    <row r="35" spans="1:7" x14ac:dyDescent="0.2">
      <c r="B35" s="14" t="s">
        <v>77</v>
      </c>
      <c r="C35" s="23">
        <v>40</v>
      </c>
      <c r="D35" s="23"/>
      <c r="E35" s="23"/>
    </row>
    <row r="36" spans="1:7" x14ac:dyDescent="0.2">
      <c r="B36" s="14" t="s">
        <v>78</v>
      </c>
      <c r="C36" s="23">
        <v>60</v>
      </c>
      <c r="D36" s="23"/>
      <c r="E36" s="23"/>
    </row>
    <row r="37" spans="1:7" x14ac:dyDescent="0.2">
      <c r="B37" s="14" t="s">
        <v>79</v>
      </c>
      <c r="C37" s="23">
        <v>60</v>
      </c>
      <c r="D37" s="23"/>
      <c r="E37" s="23"/>
    </row>
    <row r="38" spans="1:7" x14ac:dyDescent="0.2">
      <c r="B38" s="14"/>
      <c r="C38" s="23"/>
      <c r="D38" s="23"/>
      <c r="E38" s="23"/>
    </row>
    <row r="39" spans="1:7" x14ac:dyDescent="0.2">
      <c r="A39" t="s">
        <v>80</v>
      </c>
      <c r="B39" s="14" t="s">
        <v>81</v>
      </c>
      <c r="C39" s="3">
        <f>C31*($C$15^2)*$C$23</f>
        <v>7.9528125000000005E-2</v>
      </c>
      <c r="D39" s="3"/>
      <c r="E39" s="3"/>
    </row>
    <row r="40" spans="1:7" x14ac:dyDescent="0.2">
      <c r="A40" t="s">
        <v>82</v>
      </c>
      <c r="B40" s="14" t="s">
        <v>83</v>
      </c>
      <c r="C40" s="20">
        <f>$C$22*1000*((C36+C35)/1000000000)*$C$11*$C$15*2/2</f>
        <v>6.8571428571428561E-2</v>
      </c>
      <c r="D40" s="20"/>
      <c r="E40" s="20"/>
    </row>
    <row r="41" spans="1:7" x14ac:dyDescent="0.2">
      <c r="A41" t="s">
        <v>84</v>
      </c>
      <c r="B41" s="14" t="s">
        <v>85</v>
      </c>
      <c r="C41" s="8">
        <f>C39+C40</f>
        <v>0.14809955357142857</v>
      </c>
      <c r="D41" s="3"/>
      <c r="E41" s="3"/>
      <c r="G41" s="27"/>
    </row>
    <row r="42" spans="1:7" x14ac:dyDescent="0.2">
      <c r="B42" s="14" t="s">
        <v>86</v>
      </c>
      <c r="C42" s="3">
        <f>(1-$C$23)*($C$15^2)*C32</f>
        <v>0.13254687500000001</v>
      </c>
      <c r="D42" s="3"/>
      <c r="E42" s="3"/>
    </row>
    <row r="43" spans="1:7" x14ac:dyDescent="0.2">
      <c r="B43" s="14" t="s">
        <v>87</v>
      </c>
      <c r="C43" s="20">
        <f>C22*1000*((C37+C34)/1000000000)*$C$11*C15*2/2</f>
        <v>6.1714285714285708E-2</v>
      </c>
      <c r="D43" s="20"/>
      <c r="E43" s="20"/>
    </row>
    <row r="44" spans="1:7" x14ac:dyDescent="0.2">
      <c r="A44" t="s">
        <v>84</v>
      </c>
      <c r="B44" s="14" t="s">
        <v>88</v>
      </c>
      <c r="C44" s="8">
        <f>C42+C43</f>
        <v>0.19426116071428573</v>
      </c>
      <c r="D44" s="3"/>
      <c r="E44" s="3"/>
      <c r="G44" s="27"/>
    </row>
    <row r="45" spans="1:7" x14ac:dyDescent="0.2">
      <c r="B45" s="14"/>
      <c r="C45" s="3"/>
      <c r="D45" s="3"/>
      <c r="E45" s="3"/>
    </row>
    <row r="46" spans="1:7" x14ac:dyDescent="0.2">
      <c r="A46" t="s">
        <v>89</v>
      </c>
      <c r="B46" s="14" t="s">
        <v>90</v>
      </c>
      <c r="C46" s="3">
        <f>2*C42+C43+2*C39+C40</f>
        <v>0.55443571428571436</v>
      </c>
      <c r="D46" s="3"/>
      <c r="E46" s="3"/>
    </row>
    <row r="47" spans="1:7" x14ac:dyDescent="0.2">
      <c r="A47" s="4" t="s">
        <v>105</v>
      </c>
      <c r="B47" s="14" t="s">
        <v>91</v>
      </c>
      <c r="C47" s="3">
        <f>2*C46</f>
        <v>1.1088714285714287</v>
      </c>
      <c r="D47" s="3"/>
      <c r="E47" s="3"/>
      <c r="G47" s="27"/>
    </row>
    <row r="48" spans="1:7" x14ac:dyDescent="0.2">
      <c r="A48" s="4" t="s">
        <v>106</v>
      </c>
      <c r="B48" s="14" t="s">
        <v>176</v>
      </c>
      <c r="C48" s="3">
        <f>C11*(0.0025+0.0005+C8*0.0003)</f>
        <v>0.15839999999999999</v>
      </c>
      <c r="D48" s="3"/>
      <c r="E48" s="3"/>
      <c r="G48" s="27"/>
    </row>
    <row r="49" spans="1:7" x14ac:dyDescent="0.2">
      <c r="A49" s="4"/>
      <c r="B49" s="13"/>
      <c r="C49" s="8"/>
      <c r="D49" s="8"/>
      <c r="E49" s="8"/>
      <c r="G49" s="27"/>
    </row>
    <row r="50" spans="1:7" x14ac:dyDescent="0.2">
      <c r="A50" s="4" t="s">
        <v>108</v>
      </c>
      <c r="B50" s="13" t="s">
        <v>107</v>
      </c>
      <c r="C50" s="31">
        <f>C47+C48</f>
        <v>1.2672714285714286</v>
      </c>
      <c r="E50" s="8"/>
    </row>
    <row r="51" spans="1:7" x14ac:dyDescent="0.2">
      <c r="A51" s="4"/>
      <c r="B51" s="13"/>
      <c r="C51" s="8"/>
      <c r="E51" s="8"/>
    </row>
    <row r="53" spans="1:7" x14ac:dyDescent="0.2">
      <c r="A53" s="4" t="s">
        <v>111</v>
      </c>
      <c r="B53" s="14" t="s">
        <v>92</v>
      </c>
      <c r="C53" s="77">
        <v>0.1</v>
      </c>
      <c r="D53" s="37"/>
      <c r="E53" t="s">
        <v>157</v>
      </c>
    </row>
    <row r="54" spans="1:7" x14ac:dyDescent="0.2">
      <c r="B54" s="80" t="s">
        <v>159</v>
      </c>
      <c r="C54" s="81">
        <f>C$53*C$15^2*C$23</f>
        <v>3.7500000000000006E-2</v>
      </c>
      <c r="D54" s="8"/>
      <c r="E54" s="9" t="s">
        <v>158</v>
      </c>
      <c r="G54" s="27"/>
    </row>
    <row r="55" spans="1:7" x14ac:dyDescent="0.2">
      <c r="B55" s="80" t="s">
        <v>160</v>
      </c>
      <c r="C55" s="81">
        <f>C$53*C$15^2*0.7</f>
        <v>6.9999999999999993E-2</v>
      </c>
      <c r="E55" s="9" t="s">
        <v>161</v>
      </c>
    </row>
    <row r="58" spans="1:7" x14ac:dyDescent="0.2">
      <c r="A58" s="12"/>
    </row>
    <row r="59" spans="1:7" x14ac:dyDescent="0.2">
      <c r="A59" s="12"/>
    </row>
    <row r="60" spans="1:7" x14ac:dyDescent="0.2">
      <c r="A60" s="12"/>
    </row>
    <row r="61" spans="1:7" x14ac:dyDescent="0.2">
      <c r="A61" s="12"/>
    </row>
    <row r="63" spans="1:7" x14ac:dyDescent="0.2">
      <c r="A63" s="12"/>
      <c r="B63" s="3"/>
    </row>
    <row r="64" spans="1:7" x14ac:dyDescent="0.2">
      <c r="A64" s="12"/>
      <c r="B64" s="3"/>
    </row>
    <row r="65" spans="1:2" x14ac:dyDescent="0.2">
      <c r="A65" s="12"/>
      <c r="B65" s="28"/>
    </row>
    <row r="66" spans="1:2" x14ac:dyDescent="0.2">
      <c r="A66" s="12"/>
      <c r="B66" s="3"/>
    </row>
    <row r="67" spans="1:2" x14ac:dyDescent="0.2">
      <c r="A67" s="12"/>
      <c r="B67" s="3"/>
    </row>
    <row r="68" spans="1:2" x14ac:dyDescent="0.2">
      <c r="A68" s="12"/>
      <c r="B68" s="3"/>
    </row>
    <row r="69" spans="1:2" x14ac:dyDescent="0.2">
      <c r="A69" s="12"/>
      <c r="B69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workbookViewId="0">
      <selection activeCell="D20" sqref="D20"/>
    </sheetView>
  </sheetViews>
  <sheetFormatPr baseColWidth="10" defaultRowHeight="15" x14ac:dyDescent="0.2"/>
  <cols>
    <col min="1" max="1" width="21.6640625" customWidth="1"/>
    <col min="2" max="2" width="17.5" customWidth="1"/>
    <col min="3" max="3" width="16.1640625" customWidth="1"/>
    <col min="4" max="4" width="39.83203125" customWidth="1"/>
  </cols>
  <sheetData>
    <row r="1" spans="1:6" x14ac:dyDescent="0.2">
      <c r="A1" t="s">
        <v>137</v>
      </c>
      <c r="B1">
        <v>325</v>
      </c>
      <c r="C1" t="s">
        <v>139</v>
      </c>
    </row>
    <row r="2" spans="1:6" x14ac:dyDescent="0.2">
      <c r="A2" t="s">
        <v>138</v>
      </c>
      <c r="B2">
        <v>180</v>
      </c>
      <c r="C2" t="s">
        <v>139</v>
      </c>
    </row>
    <row r="4" spans="1:6" x14ac:dyDescent="0.2">
      <c r="A4" t="s">
        <v>141</v>
      </c>
    </row>
    <row r="5" spans="1:6" s="4" customFormat="1" x14ac:dyDescent="0.2">
      <c r="A5" s="4" t="s">
        <v>142</v>
      </c>
      <c r="B5" s="4" t="s">
        <v>143</v>
      </c>
      <c r="C5" s="4" t="s">
        <v>188</v>
      </c>
      <c r="D5" s="4" t="s">
        <v>148</v>
      </c>
      <c r="E5" t="s">
        <v>140</v>
      </c>
      <c r="F5"/>
    </row>
    <row r="6" spans="1:6" x14ac:dyDescent="0.2">
      <c r="A6">
        <v>1</v>
      </c>
      <c r="B6" s="3">
        <f>$B$1/(A6+0.02)/1000</f>
        <v>0.31862745098039214</v>
      </c>
      <c r="C6" s="3">
        <f>B6/SQRT(2)</f>
        <v>0.22530363126041952</v>
      </c>
      <c r="D6" s="3">
        <f>A6*C6*C6</f>
        <v>5.0761726259131092E-2</v>
      </c>
    </row>
    <row r="7" spans="1:6" x14ac:dyDescent="0.2">
      <c r="A7">
        <v>0.82</v>
      </c>
      <c r="B7" s="3">
        <f t="shared" ref="B7:B17" si="0">$B$1/(A7+0.02)/1000</f>
        <v>0.38690476190476192</v>
      </c>
      <c r="C7" s="3">
        <f t="shared" ref="C7:C17" si="1">B7/SQRT(2)</f>
        <v>0.27358298081622373</v>
      </c>
      <c r="D7" s="3">
        <f t="shared" ref="D7:D17" si="2">A7*C7*C7</f>
        <v>6.1375070861677997E-2</v>
      </c>
    </row>
    <row r="8" spans="1:6" x14ac:dyDescent="0.2">
      <c r="A8">
        <v>0.75</v>
      </c>
      <c r="B8" s="3">
        <f t="shared" si="0"/>
        <v>0.42207792207792211</v>
      </c>
      <c r="C8" s="3">
        <f t="shared" si="1"/>
        <v>0.29845416089042592</v>
      </c>
      <c r="D8" s="3">
        <f t="shared" si="2"/>
        <v>6.6806164614606187E-2</v>
      </c>
    </row>
    <row r="9" spans="1:6" x14ac:dyDescent="0.2">
      <c r="A9">
        <v>0.68</v>
      </c>
      <c r="B9" s="3">
        <f t="shared" si="0"/>
        <v>0.46428571428571425</v>
      </c>
      <c r="C9" s="3">
        <f t="shared" si="1"/>
        <v>0.32829957697946843</v>
      </c>
      <c r="D9" s="3">
        <f t="shared" si="2"/>
        <v>7.3290816326530589E-2</v>
      </c>
      <c r="F9" t="s">
        <v>145</v>
      </c>
    </row>
    <row r="10" spans="1:6" x14ac:dyDescent="0.2">
      <c r="A10">
        <v>0.5</v>
      </c>
      <c r="B10" s="3">
        <f t="shared" si="0"/>
        <v>0.625</v>
      </c>
      <c r="C10" s="3">
        <f t="shared" si="1"/>
        <v>0.44194173824159216</v>
      </c>
      <c r="D10" s="3">
        <f t="shared" si="2"/>
        <v>9.7656249999999986E-2</v>
      </c>
    </row>
    <row r="11" spans="1:6" x14ac:dyDescent="0.2">
      <c r="A11">
        <v>0.47</v>
      </c>
      <c r="B11" s="3">
        <f t="shared" si="0"/>
        <v>0.66326530612244905</v>
      </c>
      <c r="C11" s="3">
        <f t="shared" si="1"/>
        <v>0.46899939568495502</v>
      </c>
      <c r="D11" s="3">
        <f t="shared" si="2"/>
        <v>0.10338140358184091</v>
      </c>
    </row>
    <row r="12" spans="1:6" x14ac:dyDescent="0.2">
      <c r="A12">
        <v>0.33</v>
      </c>
      <c r="B12" s="3">
        <f t="shared" si="0"/>
        <v>0.92857142857142849</v>
      </c>
      <c r="C12" s="3">
        <f t="shared" si="1"/>
        <v>0.65659915395893687</v>
      </c>
      <c r="D12" s="3">
        <f t="shared" si="2"/>
        <v>0.14227040816326525</v>
      </c>
    </row>
    <row r="13" spans="1:6" x14ac:dyDescent="0.2">
      <c r="A13">
        <v>0.27</v>
      </c>
      <c r="B13" s="3">
        <f t="shared" si="0"/>
        <v>1.1206896551724137</v>
      </c>
      <c r="C13" s="3">
        <f t="shared" si="1"/>
        <v>0.79244725477802724</v>
      </c>
      <c r="D13" s="3">
        <f t="shared" si="2"/>
        <v>0.16955261593341256</v>
      </c>
    </row>
    <row r="14" spans="1:6" x14ac:dyDescent="0.2">
      <c r="A14">
        <v>0.22</v>
      </c>
      <c r="B14" s="3">
        <f t="shared" si="0"/>
        <v>1.3541666666666667</v>
      </c>
      <c r="C14" s="3">
        <f t="shared" si="1"/>
        <v>0.95754043285678314</v>
      </c>
      <c r="D14" s="3">
        <f t="shared" si="2"/>
        <v>0.20171440972222224</v>
      </c>
      <c r="F14" t="s">
        <v>146</v>
      </c>
    </row>
    <row r="15" spans="1:6" x14ac:dyDescent="0.2">
      <c r="A15">
        <v>0.15</v>
      </c>
      <c r="B15" s="3">
        <f t="shared" si="0"/>
        <v>1.9117647058823533</v>
      </c>
      <c r="C15" s="3">
        <f t="shared" si="1"/>
        <v>1.3518217875625174</v>
      </c>
      <c r="D15" s="3">
        <f t="shared" si="2"/>
        <v>0.27411332179930797</v>
      </c>
    </row>
    <row r="16" spans="1:6" x14ac:dyDescent="0.2">
      <c r="A16">
        <v>0.12</v>
      </c>
      <c r="B16" s="44">
        <f t="shared" si="0"/>
        <v>2.3214285714285716</v>
      </c>
      <c r="C16" s="44">
        <f t="shared" si="1"/>
        <v>1.6414978848973425</v>
      </c>
      <c r="D16" s="3">
        <f t="shared" si="2"/>
        <v>0.32334183673469391</v>
      </c>
    </row>
    <row r="17" spans="1:6" x14ac:dyDescent="0.2">
      <c r="A17">
        <v>0.1</v>
      </c>
      <c r="B17" s="44">
        <f t="shared" si="0"/>
        <v>2.708333333333333</v>
      </c>
      <c r="C17" s="44">
        <f t="shared" si="1"/>
        <v>1.9150808657135658</v>
      </c>
      <c r="D17" s="3">
        <f t="shared" si="2"/>
        <v>0.3667534722222221</v>
      </c>
    </row>
    <row r="18" spans="1:6" x14ac:dyDescent="0.2">
      <c r="A18">
        <v>7.4999999999999997E-2</v>
      </c>
      <c r="B18" s="43">
        <f t="shared" ref="B18" si="3">$B$1/(A18+0.02)/1000</f>
        <v>3.4210526315789473</v>
      </c>
      <c r="C18" s="43">
        <f t="shared" ref="C18" si="4">B18/SQRT(2)</f>
        <v>2.4190495145855571</v>
      </c>
      <c r="D18" s="3">
        <f t="shared" ref="D18" si="5">A18*C18*C18</f>
        <v>0.43888504155124641</v>
      </c>
      <c r="F18" t="s">
        <v>147</v>
      </c>
    </row>
    <row r="19" spans="1:6" x14ac:dyDescent="0.2">
      <c r="D19" s="3"/>
    </row>
    <row r="20" spans="1:6" x14ac:dyDescent="0.2">
      <c r="D20" s="3"/>
    </row>
    <row r="21" spans="1:6" x14ac:dyDescent="0.2">
      <c r="A21" t="s">
        <v>144</v>
      </c>
      <c r="D21" s="3"/>
    </row>
    <row r="22" spans="1:6" x14ac:dyDescent="0.2">
      <c r="A22" s="4" t="s">
        <v>142</v>
      </c>
      <c r="B22" s="4" t="s">
        <v>143</v>
      </c>
      <c r="C22" s="4" t="s">
        <v>188</v>
      </c>
      <c r="D22" s="8"/>
      <c r="E22" t="s">
        <v>140</v>
      </c>
    </row>
    <row r="23" spans="1:6" x14ac:dyDescent="0.2">
      <c r="A23">
        <v>1</v>
      </c>
      <c r="B23" s="3">
        <f>$B$2/(A23+0.02)/1000</f>
        <v>0.17647058823529413</v>
      </c>
      <c r="C23" s="3">
        <f>B23/SQRT(2)</f>
        <v>0.12478354962115544</v>
      </c>
      <c r="D23" s="3">
        <f>A23*C23*C23</f>
        <v>1.5570934256055362E-2</v>
      </c>
    </row>
    <row r="24" spans="1:6" x14ac:dyDescent="0.2">
      <c r="A24">
        <v>0.82</v>
      </c>
      <c r="B24" s="3">
        <f t="shared" ref="B24:B37" si="6">$B$2/(A24+0.02)/1000</f>
        <v>0.2142857142857143</v>
      </c>
      <c r="C24" s="3">
        <f t="shared" ref="C24:C37" si="7">B24/SQRT(2)</f>
        <v>0.15152288168283162</v>
      </c>
      <c r="D24" s="3">
        <f t="shared" ref="D24:D37" si="8">A24*C24*C24</f>
        <v>1.8826530612244898E-2</v>
      </c>
    </row>
    <row r="25" spans="1:6" x14ac:dyDescent="0.2">
      <c r="A25">
        <v>0.75</v>
      </c>
      <c r="B25" s="3">
        <f t="shared" si="6"/>
        <v>0.23376623376623376</v>
      </c>
      <c r="C25" s="3">
        <f t="shared" si="7"/>
        <v>0.16529768910854356</v>
      </c>
      <c r="D25" s="3">
        <f t="shared" si="8"/>
        <v>2.0492494518468539E-2</v>
      </c>
    </row>
    <row r="26" spans="1:6" x14ac:dyDescent="0.2">
      <c r="A26">
        <v>0.68</v>
      </c>
      <c r="B26" s="3">
        <f t="shared" si="6"/>
        <v>0.25714285714285712</v>
      </c>
      <c r="C26" s="3">
        <f t="shared" si="7"/>
        <v>0.1818274580193979</v>
      </c>
      <c r="D26" s="3">
        <f t="shared" si="8"/>
        <v>2.2481632653061218E-2</v>
      </c>
    </row>
    <row r="27" spans="1:6" x14ac:dyDescent="0.2">
      <c r="A27">
        <v>0.5</v>
      </c>
      <c r="B27" s="3">
        <f t="shared" si="6"/>
        <v>0.34615384615384615</v>
      </c>
      <c r="C27" s="3">
        <f t="shared" si="7"/>
        <v>0.24476773194918949</v>
      </c>
      <c r="D27" s="3">
        <f t="shared" si="8"/>
        <v>2.9955621301775138E-2</v>
      </c>
    </row>
    <row r="28" spans="1:6" x14ac:dyDescent="0.2">
      <c r="A28">
        <v>0.47</v>
      </c>
      <c r="B28" s="3">
        <f t="shared" si="6"/>
        <v>0.36734693877551022</v>
      </c>
      <c r="C28" s="3">
        <f t="shared" si="7"/>
        <v>0.25975351145628278</v>
      </c>
      <c r="D28" s="3">
        <f t="shared" si="8"/>
        <v>3.1711786755518535E-2</v>
      </c>
    </row>
    <row r="29" spans="1:6" x14ac:dyDescent="0.2">
      <c r="A29">
        <v>0.33</v>
      </c>
      <c r="B29" s="3">
        <f t="shared" si="6"/>
        <v>0.51428571428571423</v>
      </c>
      <c r="C29" s="3">
        <f t="shared" si="7"/>
        <v>0.36365491603879579</v>
      </c>
      <c r="D29" s="3">
        <f t="shared" si="8"/>
        <v>4.36408163265306E-2</v>
      </c>
    </row>
    <row r="30" spans="1:6" x14ac:dyDescent="0.2">
      <c r="A30">
        <v>0.27</v>
      </c>
      <c r="B30" s="3">
        <f t="shared" si="6"/>
        <v>0.6206896551724137</v>
      </c>
      <c r="C30" s="3">
        <f t="shared" si="7"/>
        <v>0.43889386418475357</v>
      </c>
      <c r="D30" s="3">
        <f t="shared" si="8"/>
        <v>5.200951248513673E-2</v>
      </c>
    </row>
    <row r="31" spans="1:6" x14ac:dyDescent="0.2">
      <c r="A31">
        <v>0.22</v>
      </c>
      <c r="B31" s="3">
        <f t="shared" si="6"/>
        <v>0.75</v>
      </c>
      <c r="C31" s="3">
        <f t="shared" si="7"/>
        <v>0.5303300858899106</v>
      </c>
      <c r="D31" s="3">
        <f t="shared" si="8"/>
        <v>6.1874999999999986E-2</v>
      </c>
    </row>
    <row r="32" spans="1:6" x14ac:dyDescent="0.2">
      <c r="A32">
        <v>0.15</v>
      </c>
      <c r="B32" s="3">
        <f t="shared" si="6"/>
        <v>1.0588235294117649</v>
      </c>
      <c r="C32" s="3">
        <f t="shared" si="7"/>
        <v>0.74870129772693284</v>
      </c>
      <c r="D32" s="3">
        <f t="shared" si="8"/>
        <v>8.4083044982698987E-2</v>
      </c>
      <c r="F32" t="s">
        <v>145</v>
      </c>
    </row>
    <row r="33" spans="1:6" x14ac:dyDescent="0.2">
      <c r="A33">
        <v>0.12</v>
      </c>
      <c r="B33" s="3">
        <f t="shared" si="6"/>
        <v>1.2857142857142858</v>
      </c>
      <c r="C33" s="3">
        <f t="shared" si="7"/>
        <v>0.90913729009698963</v>
      </c>
      <c r="D33" s="3">
        <f t="shared" si="8"/>
        <v>9.9183673469387751E-2</v>
      </c>
    </row>
    <row r="34" spans="1:6" x14ac:dyDescent="0.2">
      <c r="A34">
        <v>0.1</v>
      </c>
      <c r="B34" s="44">
        <f t="shared" si="6"/>
        <v>1.4999999999999998</v>
      </c>
      <c r="C34" s="44">
        <f t="shared" si="7"/>
        <v>1.060660171779821</v>
      </c>
      <c r="D34" s="3">
        <f t="shared" si="8"/>
        <v>0.11249999999999993</v>
      </c>
    </row>
    <row r="35" spans="1:6" x14ac:dyDescent="0.2">
      <c r="A35">
        <v>8.2000000000000003E-2</v>
      </c>
      <c r="B35" s="3">
        <f t="shared" si="6"/>
        <v>1.7647058823529409</v>
      </c>
      <c r="C35" s="3">
        <f t="shared" si="7"/>
        <v>1.2478354962115541</v>
      </c>
      <c r="D35" s="3">
        <f t="shared" si="8"/>
        <v>0.12768166089965391</v>
      </c>
    </row>
    <row r="36" spans="1:6" x14ac:dyDescent="0.2">
      <c r="A36">
        <v>7.4999999999999997E-2</v>
      </c>
      <c r="B36" s="3">
        <f t="shared" si="6"/>
        <v>1.8947368421052631</v>
      </c>
      <c r="C36" s="3">
        <f t="shared" si="7"/>
        <v>1.3397812696166163</v>
      </c>
      <c r="D36" s="3">
        <f t="shared" si="8"/>
        <v>0.13462603878116342</v>
      </c>
    </row>
    <row r="37" spans="1:6" x14ac:dyDescent="0.2">
      <c r="A37">
        <v>6.8000000000000005E-2</v>
      </c>
      <c r="B37" s="44">
        <f t="shared" si="6"/>
        <v>2.0454545454545454</v>
      </c>
      <c r="C37" s="44">
        <f t="shared" si="7"/>
        <v>1.4463547796997562</v>
      </c>
      <c r="D37" s="3">
        <f t="shared" si="8"/>
        <v>0.14225206611570249</v>
      </c>
      <c r="F37" t="s">
        <v>146</v>
      </c>
    </row>
    <row r="38" spans="1:6" x14ac:dyDescent="0.2">
      <c r="A38">
        <v>4.7E-2</v>
      </c>
      <c r="B38" s="43">
        <f t="shared" ref="B38" si="9">$B$2/(A38+0.02)/1000</f>
        <v>2.6865671641791042</v>
      </c>
      <c r="C38" s="43">
        <f t="shared" ref="C38" si="10">B38/SQRT(2)</f>
        <v>1.8996898599041572</v>
      </c>
      <c r="D38" s="3">
        <f t="shared" ref="D38" si="11">A38*C38*C38</f>
        <v>0.16961461349966581</v>
      </c>
      <c r="F38" s="27" t="s">
        <v>187</v>
      </c>
    </row>
    <row r="39" spans="1:6" x14ac:dyDescent="0.2">
      <c r="A39">
        <v>3.3000000000000002E-2</v>
      </c>
      <c r="B39" s="43">
        <f t="shared" ref="B39" si="12">$B$2/(A39+0.02)/1000</f>
        <v>3.3962264150943393</v>
      </c>
      <c r="C39" s="43">
        <f t="shared" ref="C39" si="13">B39/SQRT(2)</f>
        <v>2.4014947285580854</v>
      </c>
      <c r="D39" s="3">
        <f t="shared" ref="D39" si="14">A39*C39*C39</f>
        <v>0.19031683873264502</v>
      </c>
      <c r="F39" s="27" t="s">
        <v>187</v>
      </c>
    </row>
    <row r="40" spans="1:6" x14ac:dyDescent="0.2">
      <c r="D40" s="3"/>
    </row>
    <row r="41" spans="1:6" x14ac:dyDescent="0.2">
      <c r="D41" s="3"/>
    </row>
    <row r="42" spans="1:6" x14ac:dyDescent="0.2">
      <c r="C42" s="22" t="s">
        <v>189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B23" sqref="B23"/>
    </sheetView>
  </sheetViews>
  <sheetFormatPr baseColWidth="10" defaultRowHeight="15" x14ac:dyDescent="0.2"/>
  <cols>
    <col min="1" max="1" width="14.1640625" customWidth="1"/>
    <col min="2" max="2" width="8.5" bestFit="1" customWidth="1"/>
    <col min="3" max="3" width="18.5" bestFit="1" customWidth="1"/>
    <col min="4" max="4" width="18.5" customWidth="1"/>
    <col min="5" max="5" width="18.5" bestFit="1" customWidth="1"/>
    <col min="6" max="6" width="20.1640625" customWidth="1"/>
  </cols>
  <sheetData>
    <row r="1" spans="1:6" s="6" customFormat="1" ht="19" x14ac:dyDescent="0.25">
      <c r="A1" s="5" t="s">
        <v>136</v>
      </c>
    </row>
    <row r="2" spans="1:6" s="6" customFormat="1" ht="19" x14ac:dyDescent="0.25">
      <c r="A2" s="5" t="s">
        <v>242</v>
      </c>
    </row>
    <row r="4" spans="1:6" x14ac:dyDescent="0.2">
      <c r="A4" s="39" t="s">
        <v>133</v>
      </c>
      <c r="B4" s="41" t="s">
        <v>129</v>
      </c>
      <c r="C4" s="38" t="s">
        <v>134</v>
      </c>
      <c r="D4" s="38" t="s">
        <v>182</v>
      </c>
      <c r="E4" s="38" t="s">
        <v>135</v>
      </c>
      <c r="F4" s="38" t="s">
        <v>183</v>
      </c>
    </row>
    <row r="5" spans="1:6" x14ac:dyDescent="0.2">
      <c r="A5" s="40">
        <v>6.2</v>
      </c>
      <c r="B5" s="42">
        <f>5/(0.4+A5)/1000+2.5/67000</f>
        <v>7.9488919041157844E-4</v>
      </c>
      <c r="C5" s="84">
        <f>B5*$B$20</f>
        <v>2.6231343283582089</v>
      </c>
      <c r="D5" s="85">
        <f>C5/SQRT(2)</f>
        <v>1.8548360715453092</v>
      </c>
      <c r="E5" s="82">
        <f>0.55*C5</f>
        <v>1.4427238805970151</v>
      </c>
      <c r="F5" s="3">
        <f>E5/SQRT(2)</f>
        <v>1.0201598393499203</v>
      </c>
    </row>
    <row r="6" spans="1:6" x14ac:dyDescent="0.2">
      <c r="A6" s="40">
        <v>6.8</v>
      </c>
      <c r="B6" s="42">
        <f>5/(0.4+A6)/1000+2.5/67000</f>
        <v>7.3175787728026534E-4</v>
      </c>
      <c r="C6" s="95">
        <f t="shared" ref="C6:C18" si="0">B6*$B$20</f>
        <v>2.4148009950248754</v>
      </c>
      <c r="D6" s="83">
        <f t="shared" ref="D6:D18" si="1">C6/SQRT(2)</f>
        <v>1.7075221587981118</v>
      </c>
      <c r="E6" s="83">
        <f>0.55*C6</f>
        <v>1.3281405472636816</v>
      </c>
      <c r="F6" s="3">
        <f t="shared" ref="F6:F18" si="2">E6/SQRT(2)</f>
        <v>0.93913718733896145</v>
      </c>
    </row>
    <row r="7" spans="1:6" x14ac:dyDescent="0.2">
      <c r="A7" s="40">
        <v>7.5</v>
      </c>
      <c r="B7" s="42">
        <f t="shared" ref="B7:B18" si="3">5/(0.4+A7)/1000+2.5/67000</f>
        <v>6.7022482524088406E-4</v>
      </c>
      <c r="C7" s="94">
        <f t="shared" si="0"/>
        <v>2.2117419232949174</v>
      </c>
      <c r="D7" s="83">
        <f t="shared" si="1"/>
        <v>1.5639377121964129</v>
      </c>
      <c r="E7" s="83">
        <f t="shared" ref="E7:E18" si="4">0.55*C7</f>
        <v>1.2164580578122046</v>
      </c>
      <c r="F7" s="3">
        <f t="shared" si="2"/>
        <v>0.86016574170802707</v>
      </c>
    </row>
    <row r="8" spans="1:6" x14ac:dyDescent="0.2">
      <c r="A8" s="40">
        <v>8.1999999999999993</v>
      </c>
      <c r="B8" s="42">
        <f t="shared" si="3"/>
        <v>6.1870878167303016E-4</v>
      </c>
      <c r="C8" s="94">
        <f t="shared" si="0"/>
        <v>2.0417389795209995</v>
      </c>
      <c r="D8" s="83">
        <f t="shared" si="1"/>
        <v>1.4437274778322</v>
      </c>
      <c r="E8" s="83">
        <f t="shared" si="4"/>
        <v>1.1229564387365498</v>
      </c>
      <c r="F8" s="3">
        <f t="shared" si="2"/>
        <v>0.7940501128077101</v>
      </c>
    </row>
    <row r="9" spans="1:6" x14ac:dyDescent="0.2">
      <c r="A9" s="40">
        <v>9.1</v>
      </c>
      <c r="B9" s="42">
        <f t="shared" si="3"/>
        <v>5.6362922230950507E-4</v>
      </c>
      <c r="C9" s="94">
        <f t="shared" si="0"/>
        <v>1.8599764336213667</v>
      </c>
      <c r="D9" s="83">
        <f t="shared" si="1"/>
        <v>1.3152019490608386</v>
      </c>
      <c r="E9" s="83">
        <f t="shared" si="4"/>
        <v>1.0229870384917517</v>
      </c>
      <c r="F9" s="3">
        <f t="shared" si="2"/>
        <v>0.72336107198346122</v>
      </c>
    </row>
    <row r="10" spans="1:6" x14ac:dyDescent="0.2">
      <c r="A10" s="40">
        <v>10</v>
      </c>
      <c r="B10" s="42">
        <f t="shared" si="3"/>
        <v>5.1808266360505166E-4</v>
      </c>
      <c r="C10" s="94">
        <f t="shared" si="0"/>
        <v>1.7096727898966706</v>
      </c>
      <c r="D10" s="83">
        <f t="shared" si="1"/>
        <v>1.2089212233460591</v>
      </c>
      <c r="E10" s="83">
        <f t="shared" si="4"/>
        <v>0.94032003444316892</v>
      </c>
      <c r="F10" s="3">
        <f t="shared" si="2"/>
        <v>0.66490667284033267</v>
      </c>
    </row>
    <row r="11" spans="1:6" x14ac:dyDescent="0.2">
      <c r="A11" s="40">
        <v>12</v>
      </c>
      <c r="B11" s="42">
        <f t="shared" si="3"/>
        <v>4.4053923928743383E-4</v>
      </c>
      <c r="C11" s="94">
        <f t="shared" si="0"/>
        <v>1.4537794896485317</v>
      </c>
      <c r="D11" s="83">
        <f t="shared" si="1"/>
        <v>1.0279773354803949</v>
      </c>
      <c r="E11" s="83">
        <f t="shared" si="4"/>
        <v>0.79957871930669244</v>
      </c>
      <c r="F11" s="3">
        <f t="shared" si="2"/>
        <v>0.56538753451421719</v>
      </c>
    </row>
    <row r="12" spans="1:6" x14ac:dyDescent="0.2">
      <c r="A12" s="40">
        <v>15</v>
      </c>
      <c r="B12" s="42">
        <f t="shared" si="3"/>
        <v>3.6198875751114554E-4</v>
      </c>
      <c r="C12" s="94">
        <f t="shared" si="0"/>
        <v>1.1945628997867803</v>
      </c>
      <c r="D12" s="83">
        <f t="shared" si="1"/>
        <v>0.84468352699309857</v>
      </c>
      <c r="E12" s="83">
        <f t="shared" si="4"/>
        <v>0.65700959488272925</v>
      </c>
      <c r="F12" s="3">
        <f t="shared" si="2"/>
        <v>0.46457593984620421</v>
      </c>
    </row>
    <row r="13" spans="1:6" x14ac:dyDescent="0.2">
      <c r="A13" s="40">
        <v>18</v>
      </c>
      <c r="B13" s="42">
        <f t="shared" si="3"/>
        <v>3.0905256327060353E-4</v>
      </c>
      <c r="C13" s="94">
        <f t="shared" si="0"/>
        <v>1.0198734587929916</v>
      </c>
      <c r="D13" s="83">
        <f t="shared" si="1"/>
        <v>0.72115943866470322</v>
      </c>
      <c r="E13" s="83">
        <f t="shared" si="4"/>
        <v>0.56093040233614544</v>
      </c>
      <c r="F13" s="3">
        <f t="shared" si="2"/>
        <v>0.39663769126558684</v>
      </c>
    </row>
    <row r="14" spans="1:6" x14ac:dyDescent="0.2">
      <c r="A14" s="40">
        <v>22</v>
      </c>
      <c r="B14" s="42">
        <f t="shared" si="3"/>
        <v>2.6052771855010666E-4</v>
      </c>
      <c r="C14" s="94">
        <f t="shared" si="0"/>
        <v>0.85974147121535194</v>
      </c>
      <c r="D14" s="83">
        <f t="shared" si="1"/>
        <v>0.60792902436367424</v>
      </c>
      <c r="E14" s="83">
        <f t="shared" si="4"/>
        <v>0.47285780916844361</v>
      </c>
      <c r="F14" s="3">
        <f t="shared" si="2"/>
        <v>0.33436096340002086</v>
      </c>
    </row>
    <row r="15" spans="1:6" x14ac:dyDescent="0.2">
      <c r="A15" s="40">
        <v>24</v>
      </c>
      <c r="B15" s="42">
        <f t="shared" si="3"/>
        <v>2.4223146562270614E-4</v>
      </c>
      <c r="C15" s="94">
        <f t="shared" si="0"/>
        <v>0.79936383655493026</v>
      </c>
      <c r="D15" s="83">
        <f t="shared" si="1"/>
        <v>0.56523558946328623</v>
      </c>
      <c r="E15" s="83">
        <f t="shared" si="4"/>
        <v>0.43965011010521166</v>
      </c>
      <c r="F15" s="3">
        <f t="shared" si="2"/>
        <v>0.31087957420480739</v>
      </c>
    </row>
    <row r="16" spans="1:6" x14ac:dyDescent="0.2">
      <c r="A16" s="40">
        <v>27</v>
      </c>
      <c r="B16" s="42">
        <f t="shared" si="3"/>
        <v>2.197951846606384E-4</v>
      </c>
      <c r="C16" s="94">
        <f t="shared" si="0"/>
        <v>0.72532410938010672</v>
      </c>
      <c r="D16" s="83">
        <f t="shared" si="1"/>
        <v>0.51288159630076657</v>
      </c>
      <c r="E16" s="83">
        <f t="shared" si="4"/>
        <v>0.39892826015905875</v>
      </c>
      <c r="F16" s="3">
        <f t="shared" si="2"/>
        <v>0.28208487796542164</v>
      </c>
    </row>
    <row r="17" spans="1:6" x14ac:dyDescent="0.2">
      <c r="A17" s="40">
        <v>33</v>
      </c>
      <c r="B17" s="42">
        <f t="shared" si="3"/>
        <v>1.8701403163821613E-4</v>
      </c>
      <c r="C17" s="94">
        <f t="shared" si="0"/>
        <v>0.61714630440611318</v>
      </c>
      <c r="D17" s="83">
        <f t="shared" si="1"/>
        <v>0.4363883368297799</v>
      </c>
      <c r="E17" s="83">
        <f t="shared" si="4"/>
        <v>0.33943046742336225</v>
      </c>
      <c r="F17" s="3">
        <f t="shared" si="2"/>
        <v>0.24001358525637895</v>
      </c>
    </row>
    <row r="18" spans="1:6" x14ac:dyDescent="0.2">
      <c r="A18" s="40">
        <v>39</v>
      </c>
      <c r="B18" s="42">
        <f t="shared" si="3"/>
        <v>1.6421698613531326E-4</v>
      </c>
      <c r="C18" s="94">
        <f t="shared" si="0"/>
        <v>0.54191605424653377</v>
      </c>
      <c r="D18" s="83">
        <f t="shared" si="1"/>
        <v>0.38319251679158095</v>
      </c>
      <c r="E18" s="83">
        <f t="shared" si="4"/>
        <v>0.29805382983559359</v>
      </c>
      <c r="F18" s="3">
        <f t="shared" si="2"/>
        <v>0.21075588423536953</v>
      </c>
    </row>
    <row r="20" spans="1:6" x14ac:dyDescent="0.2">
      <c r="A20" t="s">
        <v>238</v>
      </c>
      <c r="B20">
        <v>3300</v>
      </c>
      <c r="C20" t="s">
        <v>239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31DB-F889-4668-B2E2-D1B864782387}">
  <dimension ref="A1:O33"/>
  <sheetViews>
    <sheetView workbookViewId="0">
      <selection activeCell="B4" sqref="B4"/>
    </sheetView>
  </sheetViews>
  <sheetFormatPr baseColWidth="10" defaultRowHeight="15" x14ac:dyDescent="0.2"/>
  <cols>
    <col min="1" max="1" width="37.1640625" customWidth="1"/>
    <col min="4" max="4" width="15.5" customWidth="1"/>
  </cols>
  <sheetData>
    <row r="1" spans="1:15" ht="21" x14ac:dyDescent="0.25">
      <c r="A1" s="86" t="s">
        <v>196</v>
      </c>
    </row>
    <row r="2" spans="1:15" ht="16" x14ac:dyDescent="0.2">
      <c r="A2" s="93" t="s">
        <v>230</v>
      </c>
    </row>
    <row r="3" spans="1:15" ht="21" x14ac:dyDescent="0.25">
      <c r="A3" s="86"/>
    </row>
    <row r="4" spans="1:15" ht="19" x14ac:dyDescent="0.25">
      <c r="A4" s="6" t="s">
        <v>197</v>
      </c>
      <c r="B4" t="s">
        <v>198</v>
      </c>
      <c r="C4" t="s">
        <v>199</v>
      </c>
      <c r="D4" t="s">
        <v>229</v>
      </c>
      <c r="E4" t="s">
        <v>224</v>
      </c>
      <c r="F4" t="s">
        <v>225</v>
      </c>
      <c r="G4" t="s">
        <v>226</v>
      </c>
      <c r="H4" t="s">
        <v>227</v>
      </c>
      <c r="I4" t="s">
        <v>228</v>
      </c>
    </row>
    <row r="5" spans="1:15" x14ac:dyDescent="0.2">
      <c r="A5" t="s">
        <v>200</v>
      </c>
      <c r="B5" s="87">
        <v>5</v>
      </c>
      <c r="C5" s="87">
        <v>0</v>
      </c>
      <c r="D5" s="88">
        <v>10</v>
      </c>
      <c r="E5" s="87" t="s">
        <v>201</v>
      </c>
      <c r="F5" s="87" t="s">
        <v>202</v>
      </c>
      <c r="G5" s="87" t="s">
        <v>203</v>
      </c>
      <c r="H5" s="87" t="s">
        <v>204</v>
      </c>
      <c r="I5" s="89" t="str">
        <f>DEC2HEX(O17,2)</f>
        <v>34</v>
      </c>
    </row>
    <row r="6" spans="1:15" x14ac:dyDescent="0.2">
      <c r="A6" t="s">
        <v>205</v>
      </c>
      <c r="B6" s="90">
        <f>B5</f>
        <v>5</v>
      </c>
      <c r="C6" s="90">
        <f>C5</f>
        <v>0</v>
      </c>
      <c r="D6" s="90">
        <f>_xlfn.BITOR(HEX2DEC(D5), HEX2DEC(80))</f>
        <v>144</v>
      </c>
      <c r="E6" s="90">
        <f>HEX2DEC(E5)</f>
        <v>0</v>
      </c>
      <c r="F6" s="90">
        <f t="shared" ref="F6:H6" si="0">HEX2DEC(F5)</f>
        <v>1</v>
      </c>
      <c r="G6" s="90">
        <f t="shared" si="0"/>
        <v>20</v>
      </c>
      <c r="H6" s="90">
        <f t="shared" si="0"/>
        <v>5</v>
      </c>
    </row>
    <row r="8" spans="1:15" x14ac:dyDescent="0.2">
      <c r="B8" t="s">
        <v>206</v>
      </c>
      <c r="C8" t="s">
        <v>207</v>
      </c>
    </row>
    <row r="9" spans="1:15" x14ac:dyDescent="0.2">
      <c r="B9" s="91">
        <f>B6</f>
        <v>5</v>
      </c>
      <c r="C9">
        <v>0</v>
      </c>
      <c r="D9" s="91">
        <f>C6</f>
        <v>0</v>
      </c>
      <c r="E9">
        <f>C17</f>
        <v>105</v>
      </c>
      <c r="F9" s="91">
        <f>D6</f>
        <v>144</v>
      </c>
      <c r="G9">
        <f>E17</f>
        <v>24</v>
      </c>
      <c r="H9" s="92">
        <f>E6</f>
        <v>0</v>
      </c>
      <c r="I9">
        <f>G17</f>
        <v>119</v>
      </c>
      <c r="J9" s="92">
        <f>F6</f>
        <v>1</v>
      </c>
      <c r="K9">
        <f>I17</f>
        <v>66</v>
      </c>
      <c r="L9" s="92">
        <f>G6</f>
        <v>20</v>
      </c>
      <c r="M9">
        <f>K17</f>
        <v>64</v>
      </c>
      <c r="N9" s="92">
        <f>H6</f>
        <v>5</v>
      </c>
      <c r="O9">
        <f>M17</f>
        <v>31</v>
      </c>
    </row>
    <row r="10" spans="1:15" x14ac:dyDescent="0.2">
      <c r="A10" t="s">
        <v>208</v>
      </c>
      <c r="B10">
        <f>B9</f>
        <v>5</v>
      </c>
      <c r="C10">
        <f>IF(_xlfn.BITXOR(_xlfn.BITRSHIFT(C9,7),_xlfn.BITAND(B10,1))=1,_xlfn.BITXOR(_xlfn.BITAND(_xlfn.BITLSHIFT(C9,1),255),7),_xlfn.BITAND(_xlfn.BITLSHIFT(C9,1),255))</f>
        <v>7</v>
      </c>
      <c r="D10">
        <f>D9</f>
        <v>0</v>
      </c>
      <c r="E10">
        <f>IF(_xlfn.BITXOR(_xlfn.BITRSHIFT(E9,7),_xlfn.BITAND(D10,1))=1,_xlfn.BITXOR(_xlfn.BITAND(_xlfn.BITLSHIFT(E9,1),255),7),_xlfn.BITAND(_xlfn.BITLSHIFT(E9,1),255))</f>
        <v>210</v>
      </c>
      <c r="F10">
        <f>F9</f>
        <v>144</v>
      </c>
      <c r="G10">
        <f>IF(_xlfn.BITXOR(_xlfn.BITRSHIFT(G9,7),_xlfn.BITAND(F10,1))=1,_xlfn.BITXOR(_xlfn.BITAND(_xlfn.BITLSHIFT(G9,1),255),7),_xlfn.BITAND(_xlfn.BITLSHIFT(G9,1),255))</f>
        <v>48</v>
      </c>
      <c r="H10">
        <f>H9</f>
        <v>0</v>
      </c>
      <c r="I10">
        <f>IF(_xlfn.BITXOR(_xlfn.BITRSHIFT(I9,7),_xlfn.BITAND(H10,1))=1,_xlfn.BITXOR(_xlfn.BITAND(_xlfn.BITLSHIFT(I9,1),255),7),_xlfn.BITAND(_xlfn.BITLSHIFT(I9,1),255))</f>
        <v>238</v>
      </c>
      <c r="J10">
        <f>J9</f>
        <v>1</v>
      </c>
      <c r="K10">
        <f>IF(_xlfn.BITXOR(_xlfn.BITRSHIFT(K9,7),_xlfn.BITAND(J10,1))=1,_xlfn.BITXOR(_xlfn.BITAND(_xlfn.BITLSHIFT(K9,1),255),7),_xlfn.BITAND(_xlfn.BITLSHIFT(K9,1),255))</f>
        <v>131</v>
      </c>
      <c r="L10">
        <f>L9</f>
        <v>20</v>
      </c>
      <c r="M10">
        <f>IF(_xlfn.BITXOR(_xlfn.BITRSHIFT(M9,7),_xlfn.BITAND(L10,1))=1,_xlfn.BITXOR(_xlfn.BITAND(_xlfn.BITLSHIFT(M9,1),255),7),_xlfn.BITAND(_xlfn.BITLSHIFT(M9,1),255))</f>
        <v>128</v>
      </c>
      <c r="N10">
        <f>N9</f>
        <v>5</v>
      </c>
      <c r="O10">
        <f>IF(_xlfn.BITXOR(_xlfn.BITRSHIFT(O9,7),_xlfn.BITAND(N10,1))=1,_xlfn.BITXOR(_xlfn.BITAND(_xlfn.BITLSHIFT(O9,1),255),7),_xlfn.BITAND(_xlfn.BITLSHIFT(O9,1),255))</f>
        <v>57</v>
      </c>
    </row>
    <row r="11" spans="1:15" x14ac:dyDescent="0.2">
      <c r="A11" t="s">
        <v>209</v>
      </c>
      <c r="B11">
        <f>_xlfn.BITRSHIFT(B10,1)</f>
        <v>2</v>
      </c>
      <c r="C11">
        <f t="shared" ref="C11:C17" si="1">IF(_xlfn.BITXOR(_xlfn.BITRSHIFT(C10,7),_xlfn.BITAND(B11,1))=1,_xlfn.BITXOR(_xlfn.BITAND(_xlfn.BITLSHIFT(C10,1),255),7),_xlfn.BITAND(_xlfn.BITLSHIFT(C10,1),255))</f>
        <v>14</v>
      </c>
      <c r="D11">
        <f>_xlfn.BITRSHIFT(D10,1)</f>
        <v>0</v>
      </c>
      <c r="E11">
        <f t="shared" ref="E11:O17" si="2">IF(_xlfn.BITXOR(_xlfn.BITRSHIFT(E10,7),_xlfn.BITAND(D11,1))=1,_xlfn.BITXOR(_xlfn.BITAND(_xlfn.BITLSHIFT(E10,1),255),7),_xlfn.BITAND(_xlfn.BITLSHIFT(E10,1),255))</f>
        <v>163</v>
      </c>
      <c r="F11">
        <f>_xlfn.BITRSHIFT(F10,1)</f>
        <v>72</v>
      </c>
      <c r="G11">
        <f t="shared" si="2"/>
        <v>96</v>
      </c>
      <c r="H11">
        <f>_xlfn.BITRSHIFT(H10,1)</f>
        <v>0</v>
      </c>
      <c r="I11">
        <f t="shared" si="2"/>
        <v>219</v>
      </c>
      <c r="J11">
        <f>_xlfn.BITRSHIFT(J10,1)</f>
        <v>0</v>
      </c>
      <c r="K11">
        <f t="shared" si="2"/>
        <v>1</v>
      </c>
      <c r="L11">
        <f>_xlfn.BITRSHIFT(L10,1)</f>
        <v>10</v>
      </c>
      <c r="M11">
        <f t="shared" si="2"/>
        <v>7</v>
      </c>
      <c r="N11">
        <f>_xlfn.BITRSHIFT(N10,1)</f>
        <v>2</v>
      </c>
      <c r="O11">
        <f t="shared" si="2"/>
        <v>114</v>
      </c>
    </row>
    <row r="12" spans="1:15" x14ac:dyDescent="0.2">
      <c r="A12" t="s">
        <v>210</v>
      </c>
      <c r="B12">
        <f t="shared" ref="B12:N17" si="3">_xlfn.BITRSHIFT(B11,1)</f>
        <v>1</v>
      </c>
      <c r="C12">
        <f t="shared" si="1"/>
        <v>27</v>
      </c>
      <c r="D12">
        <f t="shared" si="3"/>
        <v>0</v>
      </c>
      <c r="E12">
        <f t="shared" si="2"/>
        <v>65</v>
      </c>
      <c r="F12">
        <f t="shared" si="3"/>
        <v>36</v>
      </c>
      <c r="G12">
        <f t="shared" si="2"/>
        <v>192</v>
      </c>
      <c r="H12">
        <f t="shared" si="3"/>
        <v>0</v>
      </c>
      <c r="I12">
        <f t="shared" si="2"/>
        <v>177</v>
      </c>
      <c r="J12">
        <f t="shared" si="3"/>
        <v>0</v>
      </c>
      <c r="K12">
        <f t="shared" si="2"/>
        <v>2</v>
      </c>
      <c r="L12">
        <f t="shared" si="3"/>
        <v>5</v>
      </c>
      <c r="M12">
        <f t="shared" si="2"/>
        <v>9</v>
      </c>
      <c r="N12">
        <f t="shared" si="3"/>
        <v>1</v>
      </c>
      <c r="O12">
        <f t="shared" si="2"/>
        <v>227</v>
      </c>
    </row>
    <row r="13" spans="1:15" x14ac:dyDescent="0.2">
      <c r="A13" t="s">
        <v>211</v>
      </c>
      <c r="B13">
        <f t="shared" si="3"/>
        <v>0</v>
      </c>
      <c r="C13">
        <f t="shared" si="1"/>
        <v>54</v>
      </c>
      <c r="D13">
        <f t="shared" si="3"/>
        <v>0</v>
      </c>
      <c r="E13">
        <f t="shared" si="2"/>
        <v>130</v>
      </c>
      <c r="F13">
        <f t="shared" si="3"/>
        <v>18</v>
      </c>
      <c r="G13">
        <f t="shared" si="2"/>
        <v>135</v>
      </c>
      <c r="H13">
        <f t="shared" si="3"/>
        <v>0</v>
      </c>
      <c r="I13">
        <f t="shared" si="2"/>
        <v>101</v>
      </c>
      <c r="J13">
        <f t="shared" si="3"/>
        <v>0</v>
      </c>
      <c r="K13">
        <f t="shared" si="2"/>
        <v>4</v>
      </c>
      <c r="L13">
        <f t="shared" si="3"/>
        <v>2</v>
      </c>
      <c r="M13">
        <f t="shared" si="2"/>
        <v>18</v>
      </c>
      <c r="N13">
        <f t="shared" si="3"/>
        <v>0</v>
      </c>
      <c r="O13">
        <f t="shared" si="2"/>
        <v>193</v>
      </c>
    </row>
    <row r="14" spans="1:15" x14ac:dyDescent="0.2">
      <c r="A14" t="s">
        <v>212</v>
      </c>
      <c r="B14">
        <f t="shared" si="3"/>
        <v>0</v>
      </c>
      <c r="C14">
        <f t="shared" si="1"/>
        <v>108</v>
      </c>
      <c r="D14">
        <f t="shared" si="3"/>
        <v>0</v>
      </c>
      <c r="E14">
        <f t="shared" si="2"/>
        <v>3</v>
      </c>
      <c r="F14">
        <f t="shared" si="3"/>
        <v>9</v>
      </c>
      <c r="G14">
        <f t="shared" si="2"/>
        <v>14</v>
      </c>
      <c r="H14">
        <f t="shared" si="3"/>
        <v>0</v>
      </c>
      <c r="I14">
        <f t="shared" si="2"/>
        <v>202</v>
      </c>
      <c r="J14">
        <f t="shared" si="3"/>
        <v>0</v>
      </c>
      <c r="K14">
        <f t="shared" si="2"/>
        <v>8</v>
      </c>
      <c r="L14">
        <f t="shared" si="3"/>
        <v>1</v>
      </c>
      <c r="M14">
        <f t="shared" si="2"/>
        <v>35</v>
      </c>
      <c r="N14">
        <f t="shared" si="3"/>
        <v>0</v>
      </c>
      <c r="O14">
        <f t="shared" si="2"/>
        <v>133</v>
      </c>
    </row>
    <row r="15" spans="1:15" x14ac:dyDescent="0.2">
      <c r="A15" t="s">
        <v>213</v>
      </c>
      <c r="B15">
        <f t="shared" si="3"/>
        <v>0</v>
      </c>
      <c r="C15">
        <f t="shared" si="1"/>
        <v>216</v>
      </c>
      <c r="D15">
        <f t="shared" si="3"/>
        <v>0</v>
      </c>
      <c r="E15">
        <f t="shared" si="2"/>
        <v>6</v>
      </c>
      <c r="F15">
        <f t="shared" si="3"/>
        <v>4</v>
      </c>
      <c r="G15">
        <f t="shared" si="2"/>
        <v>28</v>
      </c>
      <c r="H15">
        <f t="shared" si="3"/>
        <v>0</v>
      </c>
      <c r="I15">
        <f t="shared" si="2"/>
        <v>147</v>
      </c>
      <c r="J15">
        <f t="shared" si="3"/>
        <v>0</v>
      </c>
      <c r="K15">
        <f t="shared" si="2"/>
        <v>16</v>
      </c>
      <c r="L15">
        <f t="shared" si="3"/>
        <v>0</v>
      </c>
      <c r="M15">
        <f t="shared" si="2"/>
        <v>70</v>
      </c>
      <c r="N15">
        <f t="shared" si="3"/>
        <v>0</v>
      </c>
      <c r="O15">
        <f t="shared" si="2"/>
        <v>13</v>
      </c>
    </row>
    <row r="16" spans="1:15" x14ac:dyDescent="0.2">
      <c r="A16" t="s">
        <v>214</v>
      </c>
      <c r="B16">
        <f t="shared" si="3"/>
        <v>0</v>
      </c>
      <c r="C16">
        <f t="shared" si="1"/>
        <v>183</v>
      </c>
      <c r="D16">
        <f t="shared" si="3"/>
        <v>0</v>
      </c>
      <c r="E16">
        <f t="shared" si="2"/>
        <v>12</v>
      </c>
      <c r="F16">
        <f t="shared" si="3"/>
        <v>2</v>
      </c>
      <c r="G16">
        <f t="shared" si="2"/>
        <v>56</v>
      </c>
      <c r="H16">
        <f t="shared" si="3"/>
        <v>0</v>
      </c>
      <c r="I16">
        <f t="shared" si="2"/>
        <v>33</v>
      </c>
      <c r="J16">
        <f t="shared" si="3"/>
        <v>0</v>
      </c>
      <c r="K16">
        <f t="shared" si="2"/>
        <v>32</v>
      </c>
      <c r="L16">
        <f t="shared" si="3"/>
        <v>0</v>
      </c>
      <c r="M16">
        <f t="shared" si="2"/>
        <v>140</v>
      </c>
      <c r="N16">
        <f t="shared" si="3"/>
        <v>0</v>
      </c>
      <c r="O16">
        <f t="shared" si="2"/>
        <v>26</v>
      </c>
    </row>
    <row r="17" spans="1:15" x14ac:dyDescent="0.2">
      <c r="A17" t="s">
        <v>215</v>
      </c>
      <c r="B17">
        <f t="shared" si="3"/>
        <v>0</v>
      </c>
      <c r="C17">
        <f t="shared" si="1"/>
        <v>105</v>
      </c>
      <c r="D17">
        <f t="shared" si="3"/>
        <v>0</v>
      </c>
      <c r="E17">
        <f t="shared" si="2"/>
        <v>24</v>
      </c>
      <c r="F17">
        <f t="shared" si="3"/>
        <v>1</v>
      </c>
      <c r="G17">
        <f t="shared" si="2"/>
        <v>119</v>
      </c>
      <c r="H17">
        <f t="shared" si="3"/>
        <v>0</v>
      </c>
      <c r="I17">
        <f t="shared" si="2"/>
        <v>66</v>
      </c>
      <c r="J17">
        <f t="shared" si="3"/>
        <v>0</v>
      </c>
      <c r="K17">
        <f t="shared" si="2"/>
        <v>64</v>
      </c>
      <c r="L17">
        <f t="shared" si="3"/>
        <v>0</v>
      </c>
      <c r="M17">
        <f t="shared" si="2"/>
        <v>31</v>
      </c>
      <c r="N17">
        <f t="shared" si="3"/>
        <v>0</v>
      </c>
      <c r="O17">
        <f t="shared" si="2"/>
        <v>52</v>
      </c>
    </row>
    <row r="20" spans="1:15" ht="19" x14ac:dyDescent="0.25">
      <c r="A20" s="6" t="s">
        <v>216</v>
      </c>
      <c r="B20" t="s">
        <v>198</v>
      </c>
      <c r="C20" t="s">
        <v>199</v>
      </c>
      <c r="D20" t="s">
        <v>217</v>
      </c>
      <c r="E20" t="s">
        <v>228</v>
      </c>
    </row>
    <row r="21" spans="1:15" x14ac:dyDescent="0.2">
      <c r="A21" t="s">
        <v>218</v>
      </c>
      <c r="B21" s="87" t="s">
        <v>204</v>
      </c>
      <c r="C21" s="87" t="s">
        <v>219</v>
      </c>
      <c r="D21" s="87" t="s">
        <v>220</v>
      </c>
      <c r="E21" s="89" t="str">
        <f>DEC2HEX(G33,2)</f>
        <v>6F</v>
      </c>
    </row>
    <row r="22" spans="1:15" x14ac:dyDescent="0.2">
      <c r="A22" t="s">
        <v>221</v>
      </c>
      <c r="B22" s="90" t="str">
        <f>B21</f>
        <v>05</v>
      </c>
      <c r="C22" s="90" t="str">
        <f>C21</f>
        <v>0</v>
      </c>
      <c r="D22" s="90">
        <f>HEX2DEC(D21)</f>
        <v>6</v>
      </c>
    </row>
    <row r="24" spans="1:15" x14ac:dyDescent="0.2">
      <c r="B24" t="s">
        <v>206</v>
      </c>
      <c r="C24" t="s">
        <v>207</v>
      </c>
    </row>
    <row r="25" spans="1:15" x14ac:dyDescent="0.2">
      <c r="B25" s="91" t="str">
        <f>B22</f>
        <v>05</v>
      </c>
      <c r="C25">
        <v>0</v>
      </c>
      <c r="D25" s="91" t="str">
        <f>C22</f>
        <v>0</v>
      </c>
      <c r="E25">
        <f>C33</f>
        <v>105</v>
      </c>
      <c r="F25" s="91">
        <f>D22</f>
        <v>6</v>
      </c>
      <c r="G25">
        <f>E33</f>
        <v>24</v>
      </c>
      <c r="H25" s="23"/>
      <c r="J25" s="23"/>
      <c r="L25" s="23"/>
      <c r="N25" s="23"/>
    </row>
    <row r="26" spans="1:15" x14ac:dyDescent="0.2">
      <c r="A26" t="s">
        <v>208</v>
      </c>
      <c r="B26" t="str">
        <f>B25</f>
        <v>05</v>
      </c>
      <c r="C26">
        <f>IF(_xlfn.BITXOR(_xlfn.BITRSHIFT(C25,7),_xlfn.BITAND(B26,1))=1,_xlfn.BITXOR(_xlfn.BITAND(_xlfn.BITLSHIFT(C25,1),255),7),_xlfn.BITAND(_xlfn.BITLSHIFT(C25,1),255))</f>
        <v>7</v>
      </c>
      <c r="D26" t="str">
        <f>D25</f>
        <v>0</v>
      </c>
      <c r="E26">
        <f>IF(_xlfn.BITXOR(_xlfn.BITRSHIFT(E25,7),_xlfn.BITAND(D26,1))=1,_xlfn.BITXOR(_xlfn.BITAND(_xlfn.BITLSHIFT(E25,1),255),7),_xlfn.BITAND(_xlfn.BITLSHIFT(E25,1),255))</f>
        <v>210</v>
      </c>
      <c r="F26">
        <f>F25</f>
        <v>6</v>
      </c>
      <c r="G26">
        <f>IF(_xlfn.BITXOR(_xlfn.BITRSHIFT(G25,7),_xlfn.BITAND(F26,1))=1,_xlfn.BITXOR(_xlfn.BITAND(_xlfn.BITLSHIFT(G25,1),255),7),_xlfn.BITAND(_xlfn.BITLSHIFT(G25,1),255))</f>
        <v>48</v>
      </c>
    </row>
    <row r="27" spans="1:15" x14ac:dyDescent="0.2">
      <c r="A27" t="s">
        <v>209</v>
      </c>
      <c r="B27">
        <f>_xlfn.BITRSHIFT(B26,1)</f>
        <v>2</v>
      </c>
      <c r="C27">
        <f t="shared" ref="C27:C33" si="4">IF(_xlfn.BITXOR(_xlfn.BITRSHIFT(C26,7),_xlfn.BITAND(B27,1))=1,_xlfn.BITXOR(_xlfn.BITAND(_xlfn.BITLSHIFT(C26,1),255),7),_xlfn.BITAND(_xlfn.BITLSHIFT(C26,1),255))</f>
        <v>14</v>
      </c>
      <c r="D27">
        <f>_xlfn.BITRSHIFT(D26,1)</f>
        <v>0</v>
      </c>
      <c r="E27">
        <f t="shared" ref="E27:E33" si="5">IF(_xlfn.BITXOR(_xlfn.BITRSHIFT(E26,7),_xlfn.BITAND(D27,1))=1,_xlfn.BITXOR(_xlfn.BITAND(_xlfn.BITLSHIFT(E26,1),255),7),_xlfn.BITAND(_xlfn.BITLSHIFT(E26,1),255))</f>
        <v>163</v>
      </c>
      <c r="F27">
        <f>_xlfn.BITRSHIFT(F26,1)</f>
        <v>3</v>
      </c>
      <c r="G27">
        <f t="shared" ref="G27:G33" si="6">IF(_xlfn.BITXOR(_xlfn.BITRSHIFT(G26,7),_xlfn.BITAND(F27,1))=1,_xlfn.BITXOR(_xlfn.BITAND(_xlfn.BITLSHIFT(G26,1),255),7),_xlfn.BITAND(_xlfn.BITLSHIFT(G26,1),255))</f>
        <v>103</v>
      </c>
    </row>
    <row r="28" spans="1:15" x14ac:dyDescent="0.2">
      <c r="A28" t="s">
        <v>210</v>
      </c>
      <c r="B28">
        <f t="shared" ref="B28:B33" si="7">_xlfn.BITRSHIFT(B27,1)</f>
        <v>1</v>
      </c>
      <c r="C28">
        <f t="shared" si="4"/>
        <v>27</v>
      </c>
      <c r="D28">
        <f t="shared" ref="D28:D33" si="8">_xlfn.BITRSHIFT(D27,1)</f>
        <v>0</v>
      </c>
      <c r="E28">
        <f t="shared" si="5"/>
        <v>65</v>
      </c>
      <c r="F28">
        <f t="shared" ref="F28:F33" si="9">_xlfn.BITRSHIFT(F27,1)</f>
        <v>1</v>
      </c>
      <c r="G28">
        <f t="shared" si="6"/>
        <v>201</v>
      </c>
    </row>
    <row r="29" spans="1:15" x14ac:dyDescent="0.2">
      <c r="A29" t="s">
        <v>211</v>
      </c>
      <c r="B29">
        <f t="shared" si="7"/>
        <v>0</v>
      </c>
      <c r="C29">
        <f t="shared" si="4"/>
        <v>54</v>
      </c>
      <c r="D29">
        <f t="shared" si="8"/>
        <v>0</v>
      </c>
      <c r="E29">
        <f t="shared" si="5"/>
        <v>130</v>
      </c>
      <c r="F29">
        <f t="shared" si="9"/>
        <v>0</v>
      </c>
      <c r="G29">
        <f t="shared" si="6"/>
        <v>149</v>
      </c>
    </row>
    <row r="30" spans="1:15" x14ac:dyDescent="0.2">
      <c r="A30" t="s">
        <v>212</v>
      </c>
      <c r="B30">
        <f t="shared" si="7"/>
        <v>0</v>
      </c>
      <c r="C30">
        <f t="shared" si="4"/>
        <v>108</v>
      </c>
      <c r="D30">
        <f t="shared" si="8"/>
        <v>0</v>
      </c>
      <c r="E30">
        <f t="shared" si="5"/>
        <v>3</v>
      </c>
      <c r="F30">
        <f t="shared" si="9"/>
        <v>0</v>
      </c>
      <c r="G30">
        <f t="shared" si="6"/>
        <v>45</v>
      </c>
    </row>
    <row r="31" spans="1:15" x14ac:dyDescent="0.2">
      <c r="A31" t="s">
        <v>213</v>
      </c>
      <c r="B31">
        <f t="shared" si="7"/>
        <v>0</v>
      </c>
      <c r="C31">
        <f t="shared" si="4"/>
        <v>216</v>
      </c>
      <c r="D31">
        <f t="shared" si="8"/>
        <v>0</v>
      </c>
      <c r="E31">
        <f t="shared" si="5"/>
        <v>6</v>
      </c>
      <c r="F31">
        <f t="shared" si="9"/>
        <v>0</v>
      </c>
      <c r="G31">
        <f t="shared" si="6"/>
        <v>90</v>
      </c>
    </row>
    <row r="32" spans="1:15" x14ac:dyDescent="0.2">
      <c r="A32" t="s">
        <v>214</v>
      </c>
      <c r="B32">
        <f t="shared" si="7"/>
        <v>0</v>
      </c>
      <c r="C32">
        <f t="shared" si="4"/>
        <v>183</v>
      </c>
      <c r="D32">
        <f t="shared" si="8"/>
        <v>0</v>
      </c>
      <c r="E32">
        <f t="shared" si="5"/>
        <v>12</v>
      </c>
      <c r="F32">
        <f t="shared" si="9"/>
        <v>0</v>
      </c>
      <c r="G32">
        <f t="shared" si="6"/>
        <v>180</v>
      </c>
    </row>
    <row r="33" spans="1:7" x14ac:dyDescent="0.2">
      <c r="A33" t="s">
        <v>215</v>
      </c>
      <c r="B33">
        <f t="shared" si="7"/>
        <v>0</v>
      </c>
      <c r="C33">
        <f t="shared" si="4"/>
        <v>105</v>
      </c>
      <c r="D33">
        <f t="shared" si="8"/>
        <v>0</v>
      </c>
      <c r="E33">
        <f t="shared" si="5"/>
        <v>24</v>
      </c>
      <c r="F33">
        <f t="shared" si="9"/>
        <v>0</v>
      </c>
      <c r="G33">
        <f t="shared" si="6"/>
        <v>111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0" sqref="C10"/>
    </sheetView>
  </sheetViews>
  <sheetFormatPr baseColWidth="10" defaultRowHeight="15" x14ac:dyDescent="0.2"/>
  <cols>
    <col min="1" max="1" width="12.83203125" customWidth="1"/>
    <col min="2" max="2" width="12.6640625" customWidth="1"/>
    <col min="3" max="3" width="123.6640625" customWidth="1"/>
  </cols>
  <sheetData>
    <row r="1" spans="1:3" x14ac:dyDescent="0.2">
      <c r="A1" s="11" t="s">
        <v>24</v>
      </c>
      <c r="B1" s="12" t="s">
        <v>190</v>
      </c>
    </row>
    <row r="2" spans="1:3" x14ac:dyDescent="0.2">
      <c r="A2" s="11"/>
      <c r="B2" s="12"/>
    </row>
    <row r="3" spans="1:3" x14ac:dyDescent="0.2">
      <c r="C3" s="16" t="s">
        <v>27</v>
      </c>
    </row>
    <row r="4" spans="1:3" x14ac:dyDescent="0.2">
      <c r="B4" s="16"/>
    </row>
    <row r="5" spans="1:3" x14ac:dyDescent="0.2">
      <c r="A5" s="11" t="s">
        <v>25</v>
      </c>
      <c r="B5" t="s">
        <v>57</v>
      </c>
      <c r="C5" s="11" t="s">
        <v>26</v>
      </c>
    </row>
    <row r="6" spans="1:3" x14ac:dyDescent="0.2">
      <c r="A6" s="14" t="s">
        <v>185</v>
      </c>
      <c r="B6" t="s">
        <v>58</v>
      </c>
      <c r="C6" t="s">
        <v>186</v>
      </c>
    </row>
    <row r="7" spans="1:3" x14ac:dyDescent="0.2">
      <c r="A7" t="s">
        <v>222</v>
      </c>
      <c r="B7" t="s">
        <v>58</v>
      </c>
      <c r="C7" t="s">
        <v>223</v>
      </c>
    </row>
    <row r="8" spans="1:3" x14ac:dyDescent="0.2">
      <c r="A8" s="14" t="s">
        <v>236</v>
      </c>
      <c r="B8" t="s">
        <v>58</v>
      </c>
      <c r="C8" t="s">
        <v>237</v>
      </c>
    </row>
    <row r="9" spans="1:3" x14ac:dyDescent="0.2">
      <c r="A9" t="s">
        <v>240</v>
      </c>
      <c r="B9" t="s">
        <v>58</v>
      </c>
      <c r="C9" t="s">
        <v>241</v>
      </c>
    </row>
    <row r="10" spans="1:3" x14ac:dyDescent="0.2">
      <c r="A10" t="s">
        <v>243</v>
      </c>
      <c r="B10" t="s">
        <v>58</v>
      </c>
      <c r="C10" t="s">
        <v>244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Datagram CRC calculation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Niels van Zwieten</cp:lastModifiedBy>
  <dcterms:created xsi:type="dcterms:W3CDTF">2012-04-11T11:11:54Z</dcterms:created>
  <dcterms:modified xsi:type="dcterms:W3CDTF">2023-04-04T18:50:21Z</dcterms:modified>
</cp:coreProperties>
</file>