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hicle" sheetId="1" r:id="rId4"/>
    <sheet state="visible" name="City" sheetId="2" r:id="rId5"/>
    <sheet state="visible" name="State" sheetId="3" r:id="rId6"/>
    <sheet state="visible" name="Infrastructure" sheetId="4" r:id="rId7"/>
    <sheet state="visible" name="Merchandise" sheetId="5" r:id="rId8"/>
    <sheet state="visible" name="Loan" sheetId="6" r:id="rId9"/>
  </sheets>
  <definedNames/>
  <calcPr/>
</workbook>
</file>

<file path=xl/sharedStrings.xml><?xml version="1.0" encoding="utf-8"?>
<sst xmlns="http://schemas.openxmlformats.org/spreadsheetml/2006/main" count="1245" uniqueCount="633">
  <si>
    <t>Id</t>
  </si>
  <si>
    <t>Vehicle Compatibility</t>
  </si>
  <si>
    <t>Name</t>
  </si>
  <si>
    <t>Manufacturer</t>
  </si>
  <si>
    <t>Model</t>
  </si>
  <si>
    <t>Description</t>
  </si>
  <si>
    <t>Max Speed</t>
  </si>
  <si>
    <t>Max Speed Car Count</t>
  </si>
  <si>
    <t>Fuel Cost Per Kilowatt</t>
  </si>
  <si>
    <t>Air Pressure</t>
  </si>
  <si>
    <t>Base Engine Weight</t>
  </si>
  <si>
    <t>Base Car Weight</t>
  </si>
  <si>
    <t>Max Car Cargo Weight</t>
  </si>
  <si>
    <t>Car Cargo Volume</t>
  </si>
  <si>
    <t>Car Passenger Limit</t>
  </si>
  <si>
    <t>Friction Coefficient</t>
  </si>
  <si>
    <t>Drag Coefficient</t>
  </si>
  <si>
    <t>Lifespan</t>
  </si>
  <si>
    <t>Construction Cost</t>
  </si>
  <si>
    <t>Maintenance Cost</t>
  </si>
  <si>
    <t>Rail</t>
  </si>
  <si>
    <t>Callisto</t>
  </si>
  <si>
    <t>Lafayette Locomotive Works</t>
  </si>
  <si>
    <t>No. 119</t>
  </si>
  <si>
    <t>Rail_Denver</t>
  </si>
  <si>
    <t>Denver</t>
  </si>
  <si>
    <t>Monarch</t>
  </si>
  <si>
    <t>E7-F</t>
  </si>
  <si>
    <t>HighSpeedRail_Pacifique</t>
  </si>
  <si>
    <t>HighSpeedRail</t>
  </si>
  <si>
    <t>Pacifique</t>
  </si>
  <si>
    <t>SNCR</t>
  </si>
  <si>
    <t>T-1988</t>
  </si>
  <si>
    <t>Monorail_Gulf</t>
  </si>
  <si>
    <t>Monorail</t>
  </si>
  <si>
    <t>Gulf</t>
  </si>
  <si>
    <t>Walt Motors</t>
  </si>
  <si>
    <t>D71</t>
  </si>
  <si>
    <t>MaglevRail_Magnus</t>
  </si>
  <si>
    <t>MaglevRail</t>
  </si>
  <si>
    <t>Magnus</t>
  </si>
  <si>
    <t>Magurebu</t>
  </si>
  <si>
    <t>TK46</t>
  </si>
  <si>
    <t>HyperloopRail_Gigapod</t>
  </si>
  <si>
    <t>HyperloopRail</t>
  </si>
  <si>
    <t>Gigapod</t>
  </si>
  <si>
    <t>Sturgeon</t>
  </si>
  <si>
    <t>TT20-F</t>
  </si>
  <si>
    <t>Road_Marauder</t>
  </si>
  <si>
    <t>Road</t>
  </si>
  <si>
    <t>Marauder</t>
  </si>
  <si>
    <t>Revolvo</t>
  </si>
  <si>
    <t>FH</t>
  </si>
  <si>
    <t>State</t>
  </si>
  <si>
    <t>State Id</t>
  </si>
  <si>
    <t>Population</t>
  </si>
  <si>
    <t>Scale</t>
  </si>
  <si>
    <t>Port Count</t>
  </si>
  <si>
    <t>Average Income</t>
  </si>
  <si>
    <t>Net Income</t>
  </si>
  <si>
    <t>New York</t>
  </si>
  <si>
    <t>Los Angeles</t>
  </si>
  <si>
    <t>California</t>
  </si>
  <si>
    <t>Chicago</t>
  </si>
  <si>
    <t>Illinois</t>
  </si>
  <si>
    <t>Houston</t>
  </si>
  <si>
    <t>Texas</t>
  </si>
  <si>
    <t>Phoenix</t>
  </si>
  <si>
    <t>Arizona</t>
  </si>
  <si>
    <t>Philadelphia</t>
  </si>
  <si>
    <t>Pennsylvania</t>
  </si>
  <si>
    <t>San Antonio</t>
  </si>
  <si>
    <t>San Diego</t>
  </si>
  <si>
    <t>Dallas</t>
  </si>
  <si>
    <t>San Jose</t>
  </si>
  <si>
    <t>Austin</t>
  </si>
  <si>
    <t>Jacksonville</t>
  </si>
  <si>
    <t>Florida</t>
  </si>
  <si>
    <t>Fort Worth</t>
  </si>
  <si>
    <t>Columbus</t>
  </si>
  <si>
    <t>Ohio</t>
  </si>
  <si>
    <t>Indianapolis</t>
  </si>
  <si>
    <t>Indiana</t>
  </si>
  <si>
    <t>Charlotte</t>
  </si>
  <si>
    <t>North Carolina</t>
  </si>
  <si>
    <t>San Francisco</t>
  </si>
  <si>
    <t>Seattle</t>
  </si>
  <si>
    <t>Washington</t>
  </si>
  <si>
    <t>Colorado</t>
  </si>
  <si>
    <t>Oklahoma City</t>
  </si>
  <si>
    <t>Oklahoma</t>
  </si>
  <si>
    <t>Nashville</t>
  </si>
  <si>
    <t>Tennessee</t>
  </si>
  <si>
    <t>El Paso</t>
  </si>
  <si>
    <t>District of Columbia</t>
  </si>
  <si>
    <t>Boston</t>
  </si>
  <si>
    <t>Massachusetts</t>
  </si>
  <si>
    <t>Las Vegas</t>
  </si>
  <si>
    <t>Nevada</t>
  </si>
  <si>
    <t>Portland</t>
  </si>
  <si>
    <t>Oregon</t>
  </si>
  <si>
    <t>Detroit</t>
  </si>
  <si>
    <t>Michigan</t>
  </si>
  <si>
    <t>Louisville</t>
  </si>
  <si>
    <t>Kentucky</t>
  </si>
  <si>
    <t>Memphis</t>
  </si>
  <si>
    <t>Baltimore</t>
  </si>
  <si>
    <t>Maryland</t>
  </si>
  <si>
    <t>Milwaukee</t>
  </si>
  <si>
    <t>Wisconsin</t>
  </si>
  <si>
    <t>Albuquerque</t>
  </si>
  <si>
    <t>New Mexico</t>
  </si>
  <si>
    <t>Fresno</t>
  </si>
  <si>
    <t>Tucson</t>
  </si>
  <si>
    <t>Sacramento</t>
  </si>
  <si>
    <t>Mesa</t>
  </si>
  <si>
    <t>Kansas City</t>
  </si>
  <si>
    <t>Missouri</t>
  </si>
  <si>
    <t>Atlanta</t>
  </si>
  <si>
    <t>Georgia</t>
  </si>
  <si>
    <t>Omaha</t>
  </si>
  <si>
    <t>Nebraska</t>
  </si>
  <si>
    <t>Colorado Springs</t>
  </si>
  <si>
    <t>Raleigh</t>
  </si>
  <si>
    <t>Virginia Beach</t>
  </si>
  <si>
    <t>Virginia</t>
  </si>
  <si>
    <t>Long Beach</t>
  </si>
  <si>
    <t>Miami</t>
  </si>
  <si>
    <t>Oakland</t>
  </si>
  <si>
    <t>Minneapolis</t>
  </si>
  <si>
    <t>Minnesota</t>
  </si>
  <si>
    <t>Tulsa</t>
  </si>
  <si>
    <t>Bakersfield</t>
  </si>
  <si>
    <t>Wichita</t>
  </si>
  <si>
    <t>Kansas</t>
  </si>
  <si>
    <t>Arlington</t>
  </si>
  <si>
    <t>Aurora</t>
  </si>
  <si>
    <t>Tampa</t>
  </si>
  <si>
    <t>New Orleans</t>
  </si>
  <si>
    <t>Louisiana</t>
  </si>
  <si>
    <t>Cleveland</t>
  </si>
  <si>
    <t>Anaheim</t>
  </si>
  <si>
    <t>Honolulu</t>
  </si>
  <si>
    <t>Hawaii</t>
  </si>
  <si>
    <t>Henderson</t>
  </si>
  <si>
    <t>Stockton</t>
  </si>
  <si>
    <t>Lexington</t>
  </si>
  <si>
    <t>Corpus Christi</t>
  </si>
  <si>
    <t>Riverside</t>
  </si>
  <si>
    <t>Santa Ana</t>
  </si>
  <si>
    <t>Orlando</t>
  </si>
  <si>
    <t>Irvine</t>
  </si>
  <si>
    <t>Cincinnati</t>
  </si>
  <si>
    <t>Newark</t>
  </si>
  <si>
    <t>New Jersey</t>
  </si>
  <si>
    <t>Saint Paul</t>
  </si>
  <si>
    <t>Pittsburgh</t>
  </si>
  <si>
    <t>Greensboro</t>
  </si>
  <si>
    <t>St. Louis</t>
  </si>
  <si>
    <t>Lincoln</t>
  </si>
  <si>
    <t>Plano</t>
  </si>
  <si>
    <t>Anchorage</t>
  </si>
  <si>
    <t>Alaska</t>
  </si>
  <si>
    <t>Durham</t>
  </si>
  <si>
    <t>Jersey City</t>
  </si>
  <si>
    <t>Chandler</t>
  </si>
  <si>
    <t>Chula Vista</t>
  </si>
  <si>
    <t>Buffalo</t>
  </si>
  <si>
    <t>North Las Vegas</t>
  </si>
  <si>
    <t>Gilbert</t>
  </si>
  <si>
    <t>Madison</t>
  </si>
  <si>
    <t>Reno</t>
  </si>
  <si>
    <t>Toledo</t>
  </si>
  <si>
    <t>Fort Wayne</t>
  </si>
  <si>
    <t>Lubbock</t>
  </si>
  <si>
    <t>St. Petersburg</t>
  </si>
  <si>
    <t>Laredo</t>
  </si>
  <si>
    <t>Irving</t>
  </si>
  <si>
    <t>Chesapeake</t>
  </si>
  <si>
    <t>Winston–Salem</t>
  </si>
  <si>
    <t>Glendale</t>
  </si>
  <si>
    <t>Scottsdale</t>
  </si>
  <si>
    <t>Garland</t>
  </si>
  <si>
    <t>Boise</t>
  </si>
  <si>
    <t>Idaho</t>
  </si>
  <si>
    <t>Norfolk</t>
  </si>
  <si>
    <t>Spokane</t>
  </si>
  <si>
    <t>Fremont</t>
  </si>
  <si>
    <t>Richmond</t>
  </si>
  <si>
    <t>Santa Clarita</t>
  </si>
  <si>
    <t>San Bernardino</t>
  </si>
  <si>
    <t>Baton Rouge</t>
  </si>
  <si>
    <t>Hialeah</t>
  </si>
  <si>
    <t>Tacoma</t>
  </si>
  <si>
    <t>Modesto</t>
  </si>
  <si>
    <t>Port St. Lucie</t>
  </si>
  <si>
    <t>Huntsville</t>
  </si>
  <si>
    <t>Alabama</t>
  </si>
  <si>
    <t>Des Moines</t>
  </si>
  <si>
    <t>Iowa</t>
  </si>
  <si>
    <t>Moreno Valley</t>
  </si>
  <si>
    <t>Fontana</t>
  </si>
  <si>
    <t>Frisco</t>
  </si>
  <si>
    <t>Rochester</t>
  </si>
  <si>
    <t>Yonkers</t>
  </si>
  <si>
    <t>Fayetteville</t>
  </si>
  <si>
    <t>Worcester</t>
  </si>
  <si>
    <t>Cape Coral</t>
  </si>
  <si>
    <t>McKinney</t>
  </si>
  <si>
    <t>Little Rock</t>
  </si>
  <si>
    <t>Arkansas</t>
  </si>
  <si>
    <t>Oxnard</t>
  </si>
  <si>
    <t>Amarillo</t>
  </si>
  <si>
    <t>Augusta</t>
  </si>
  <si>
    <t>Salt Lake City</t>
  </si>
  <si>
    <t>Utah</t>
  </si>
  <si>
    <t>Montgomery</t>
  </si>
  <si>
    <t>Birmingham</t>
  </si>
  <si>
    <t>Grand Rapids</t>
  </si>
  <si>
    <t>Grand Prairie</t>
  </si>
  <si>
    <t>Overland Park</t>
  </si>
  <si>
    <t>Tallahassee</t>
  </si>
  <si>
    <t>Huntington Beach</t>
  </si>
  <si>
    <t>Sioux Falls</t>
  </si>
  <si>
    <t>South Dakota</t>
  </si>
  <si>
    <t>Peoria</t>
  </si>
  <si>
    <t>Knoxville</t>
  </si>
  <si>
    <t>Vancouver</t>
  </si>
  <si>
    <t>Providence</t>
  </si>
  <si>
    <t>Rhode Island</t>
  </si>
  <si>
    <t>Akron</t>
  </si>
  <si>
    <t>Brownsville</t>
  </si>
  <si>
    <t>Mobile</t>
  </si>
  <si>
    <t>Newport News</t>
  </si>
  <si>
    <t>Tempe</t>
  </si>
  <si>
    <t>Shreveport</t>
  </si>
  <si>
    <t>Chattanooga</t>
  </si>
  <si>
    <t>Fort Lauderdale</t>
  </si>
  <si>
    <t>Elk Grove</t>
  </si>
  <si>
    <t>Ontario</t>
  </si>
  <si>
    <t>Salem</t>
  </si>
  <si>
    <t>Cary</t>
  </si>
  <si>
    <t>Santa Rosa</t>
  </si>
  <si>
    <t>Rancho Cucamonga</t>
  </si>
  <si>
    <t>Eugene</t>
  </si>
  <si>
    <t>Oceanside</t>
  </si>
  <si>
    <t>Clarksville</t>
  </si>
  <si>
    <t>Garden Grove</t>
  </si>
  <si>
    <t>Lancaster</t>
  </si>
  <si>
    <t>Springfield</t>
  </si>
  <si>
    <t>Pembroke Pines</t>
  </si>
  <si>
    <t>Fort Collins</t>
  </si>
  <si>
    <t>Palmdale</t>
  </si>
  <si>
    <t>Salinas</t>
  </si>
  <si>
    <t>Hayward</t>
  </si>
  <si>
    <t>Corona</t>
  </si>
  <si>
    <t>Paterson</t>
  </si>
  <si>
    <t>Murfreesboro</t>
  </si>
  <si>
    <t>Macon</t>
  </si>
  <si>
    <t>Lakewood</t>
  </si>
  <si>
    <t>Killeen</t>
  </si>
  <si>
    <t>Alexandria</t>
  </si>
  <si>
    <t>Sunnyvale</t>
  </si>
  <si>
    <t>Hollywood</t>
  </si>
  <si>
    <t>Roseville</t>
  </si>
  <si>
    <t>Charleston</t>
  </si>
  <si>
    <t>South Carolina</t>
  </si>
  <si>
    <t>Escondido</t>
  </si>
  <si>
    <t>Joliet</t>
  </si>
  <si>
    <t>Jackson</t>
  </si>
  <si>
    <t>Mississippi</t>
  </si>
  <si>
    <t>Bellevue</t>
  </si>
  <si>
    <t>Surprise</t>
  </si>
  <si>
    <t>Naperville</t>
  </si>
  <si>
    <t>Pasadena</t>
  </si>
  <si>
    <t>Pomona</t>
  </si>
  <si>
    <t>Bridgeport</t>
  </si>
  <si>
    <t>Connecticut</t>
  </si>
  <si>
    <t>Denton</t>
  </si>
  <si>
    <t>Rockford</t>
  </si>
  <si>
    <t>Mesquite</t>
  </si>
  <si>
    <t>Savannah</t>
  </si>
  <si>
    <t>Syracuse</t>
  </si>
  <si>
    <t>McAllen</t>
  </si>
  <si>
    <t>Torrance</t>
  </si>
  <si>
    <t>Olathe</t>
  </si>
  <si>
    <t>Visalia</t>
  </si>
  <si>
    <t>Thornton</t>
  </si>
  <si>
    <t>Fullerton</t>
  </si>
  <si>
    <t>Gainesville</t>
  </si>
  <si>
    <t>Waco</t>
  </si>
  <si>
    <t>West Valley City</t>
  </si>
  <si>
    <t>Warren</t>
  </si>
  <si>
    <t>Hampton</t>
  </si>
  <si>
    <t>Dayton</t>
  </si>
  <si>
    <t>Columbia</t>
  </si>
  <si>
    <t>Orange</t>
  </si>
  <si>
    <t>Cedar Rapids</t>
  </si>
  <si>
    <t>Stamford</t>
  </si>
  <si>
    <t>Victorville</t>
  </si>
  <si>
    <t>Elizabeth</t>
  </si>
  <si>
    <t>New Haven</t>
  </si>
  <si>
    <t>Miramar</t>
  </si>
  <si>
    <t>Kent</t>
  </si>
  <si>
    <t>Sterling Heights</t>
  </si>
  <si>
    <t>Carrollton</t>
  </si>
  <si>
    <t>Coral Springs</t>
  </si>
  <si>
    <t>Midland</t>
  </si>
  <si>
    <t>Norman</t>
  </si>
  <si>
    <t>Athens</t>
  </si>
  <si>
    <t>Santa Clara</t>
  </si>
  <si>
    <t>Fargo</t>
  </si>
  <si>
    <t>North Dakota</t>
  </si>
  <si>
    <t>Pearland</t>
  </si>
  <si>
    <t>Simi Valley</t>
  </si>
  <si>
    <t>Meridian</t>
  </si>
  <si>
    <t>Topeka</t>
  </si>
  <si>
    <t>Allentown</t>
  </si>
  <si>
    <t>Thousand Oaks</t>
  </si>
  <si>
    <t>Abilene</t>
  </si>
  <si>
    <t>Vallejo</t>
  </si>
  <si>
    <t>Concord</t>
  </si>
  <si>
    <t>Round Rock</t>
  </si>
  <si>
    <t>Arvada</t>
  </si>
  <si>
    <t>Clovis</t>
  </si>
  <si>
    <t>Palm Bay</t>
  </si>
  <si>
    <t>Independence</t>
  </si>
  <si>
    <t>Lafayette</t>
  </si>
  <si>
    <t>Ann Arbor</t>
  </si>
  <si>
    <t>Hartford</t>
  </si>
  <si>
    <t>College Station</t>
  </si>
  <si>
    <t>Fairfield</t>
  </si>
  <si>
    <t>Wilmington</t>
  </si>
  <si>
    <t>North Charleston</t>
  </si>
  <si>
    <t>Billings</t>
  </si>
  <si>
    <t>Montana</t>
  </si>
  <si>
    <t>West Palm Beach</t>
  </si>
  <si>
    <t>Berkeley</t>
  </si>
  <si>
    <t>Cambridge</t>
  </si>
  <si>
    <t>Clearwater</t>
  </si>
  <si>
    <t>West Jordan</t>
  </si>
  <si>
    <t>Evansville</t>
  </si>
  <si>
    <t>Richardson</t>
  </si>
  <si>
    <t>Broken Arrow</t>
  </si>
  <si>
    <t>League City</t>
  </si>
  <si>
    <t>Manchester</t>
  </si>
  <si>
    <t>New Hampshire</t>
  </si>
  <si>
    <t>Lakeland</t>
  </si>
  <si>
    <t>Carlsbad</t>
  </si>
  <si>
    <t>Antioch</t>
  </si>
  <si>
    <t>Westminster</t>
  </si>
  <si>
    <t>High Point</t>
  </si>
  <si>
    <t>Provo</t>
  </si>
  <si>
    <t>Lowell</t>
  </si>
  <si>
    <t>Elgin</t>
  </si>
  <si>
    <t>Waterbury</t>
  </si>
  <si>
    <t>Gresham</t>
  </si>
  <si>
    <t>Murrieta</t>
  </si>
  <si>
    <t>Lewisville</t>
  </si>
  <si>
    <t>Las Cruces</t>
  </si>
  <si>
    <t>Lansing</t>
  </si>
  <si>
    <t>Beaumont</t>
  </si>
  <si>
    <t>Odessa</t>
  </si>
  <si>
    <t>Pueblo</t>
  </si>
  <si>
    <t>Downey</t>
  </si>
  <si>
    <t>Pompano Beach</t>
  </si>
  <si>
    <t>Miami Gardens</t>
  </si>
  <si>
    <t>Temecula</t>
  </si>
  <si>
    <t>Everett</t>
  </si>
  <si>
    <t>Costa Mesa</t>
  </si>
  <si>
    <t>Ventura</t>
  </si>
  <si>
    <t>Sparks</t>
  </si>
  <si>
    <t>Santa Maria</t>
  </si>
  <si>
    <t>Sugar Land</t>
  </si>
  <si>
    <t>Greeley</t>
  </si>
  <si>
    <t>South Fulton</t>
  </si>
  <si>
    <t>Dearborn</t>
  </si>
  <si>
    <t>Edison</t>
  </si>
  <si>
    <t>Tyler</t>
  </si>
  <si>
    <t>Sandy Springs</t>
  </si>
  <si>
    <t>West Covina</t>
  </si>
  <si>
    <t>Green Bay</t>
  </si>
  <si>
    <t>Centennial</t>
  </si>
  <si>
    <t>Jurupa Valley</t>
  </si>
  <si>
    <t>El Monte</t>
  </si>
  <si>
    <t>Allen</t>
  </si>
  <si>
    <t>Hillsboro</t>
  </si>
  <si>
    <t>Menifee</t>
  </si>
  <si>
    <t>Nampa</t>
  </si>
  <si>
    <t>Spokane Valley</t>
  </si>
  <si>
    <t>Rio Rancho</t>
  </si>
  <si>
    <t>Brockton</t>
  </si>
  <si>
    <t>El Cajon</t>
  </si>
  <si>
    <t>Burbank</t>
  </si>
  <si>
    <t>Inglewood</t>
  </si>
  <si>
    <t>Renton</t>
  </si>
  <si>
    <t>Davie</t>
  </si>
  <si>
    <t>Rialto</t>
  </si>
  <si>
    <t>Boulder</t>
  </si>
  <si>
    <t>South Bend</t>
  </si>
  <si>
    <t>Woodbridge</t>
  </si>
  <si>
    <t>Vacaville</t>
  </si>
  <si>
    <t>Wichita Falls</t>
  </si>
  <si>
    <t>Lee's Summit</t>
  </si>
  <si>
    <t>Edinburg</t>
  </si>
  <si>
    <t>Chico</t>
  </si>
  <si>
    <t>San Mateo</t>
  </si>
  <si>
    <t>Bend</t>
  </si>
  <si>
    <t>Goodyear</t>
  </si>
  <si>
    <t>Buckeye</t>
  </si>
  <si>
    <t>Daly City</t>
  </si>
  <si>
    <t>Fishers</t>
  </si>
  <si>
    <t>Quincy</t>
  </si>
  <si>
    <t>Davenport</t>
  </si>
  <si>
    <t>Hesperia</t>
  </si>
  <si>
    <t>New Bedford</t>
  </si>
  <si>
    <t>Lynn</t>
  </si>
  <si>
    <t>Carmel</t>
  </si>
  <si>
    <t>Longmont</t>
  </si>
  <si>
    <t>Tuscaloosa</t>
  </si>
  <si>
    <t>Norwalk</t>
  </si>
  <si>
    <t>DC</t>
  </si>
  <si>
    <t>MY</t>
  </si>
  <si>
    <t>MA</t>
  </si>
  <si>
    <t>NJ</t>
  </si>
  <si>
    <t>HI</t>
  </si>
  <si>
    <t>CA</t>
  </si>
  <si>
    <t>CT</t>
  </si>
  <si>
    <t>WA</t>
  </si>
  <si>
    <t>NH</t>
  </si>
  <si>
    <t>CO</t>
  </si>
  <si>
    <t>VA</t>
  </si>
  <si>
    <t>UT</t>
  </si>
  <si>
    <t>AK</t>
  </si>
  <si>
    <t>MN</t>
  </si>
  <si>
    <t>NY</t>
  </si>
  <si>
    <t>RI</t>
  </si>
  <si>
    <t>Delaware</t>
  </si>
  <si>
    <t>DE</t>
  </si>
  <si>
    <t>IL</t>
  </si>
  <si>
    <t>OR</t>
  </si>
  <si>
    <t>Wyoming</t>
  </si>
  <si>
    <t>WY</t>
  </si>
  <si>
    <t>ND</t>
  </si>
  <si>
    <t>WI</t>
  </si>
  <si>
    <t>TX</t>
  </si>
  <si>
    <t>PA</t>
  </si>
  <si>
    <t>NV</t>
  </si>
  <si>
    <t>NE</t>
  </si>
  <si>
    <t>Vermont</t>
  </si>
  <si>
    <t>VT</t>
  </si>
  <si>
    <t>KA</t>
  </si>
  <si>
    <t>AZ</t>
  </si>
  <si>
    <t>GA</t>
  </si>
  <si>
    <t>IA</t>
  </si>
  <si>
    <t>ID</t>
  </si>
  <si>
    <t>MI</t>
  </si>
  <si>
    <t>SD</t>
  </si>
  <si>
    <t>FL</t>
  </si>
  <si>
    <t>Maine</t>
  </si>
  <si>
    <t>ME</t>
  </si>
  <si>
    <t>OH</t>
  </si>
  <si>
    <t>IN</t>
  </si>
  <si>
    <t>MO</t>
  </si>
  <si>
    <t>NC</t>
  </si>
  <si>
    <t>MT</t>
  </si>
  <si>
    <t>SC</t>
  </si>
  <si>
    <t>TN</t>
  </si>
  <si>
    <t>OK</t>
  </si>
  <si>
    <t>KY</t>
  </si>
  <si>
    <t>NM</t>
  </si>
  <si>
    <t>AL</t>
  </si>
  <si>
    <t>LA</t>
  </si>
  <si>
    <t>AR</t>
  </si>
  <si>
    <t>West Virginia</t>
  </si>
  <si>
    <t>WV</t>
  </si>
  <si>
    <t>MS</t>
  </si>
  <si>
    <t>Vehicle Class</t>
  </si>
  <si>
    <t>Connection Type</t>
  </si>
  <si>
    <t>Foundation Type</t>
  </si>
  <si>
    <t>Max Incline</t>
  </si>
  <si>
    <t>City</t>
  </si>
  <si>
    <t>Road_Ground</t>
  </si>
  <si>
    <t>Car</t>
  </si>
  <si>
    <t>Ground</t>
  </si>
  <si>
    <t>Road_LandBridge</t>
  </si>
  <si>
    <t>LandBridge</t>
  </si>
  <si>
    <t>Road_Bridge</t>
  </si>
  <si>
    <t>Bridge</t>
  </si>
  <si>
    <t>Road_Tunnel</t>
  </si>
  <si>
    <t>Tunnel</t>
  </si>
  <si>
    <t>Road_UnderwaterTunnel</t>
  </si>
  <si>
    <t>UnderwaterTunnel</t>
  </si>
  <si>
    <t>Rail_Ground</t>
  </si>
  <si>
    <t>Train</t>
  </si>
  <si>
    <t>Rail_LandBridge</t>
  </si>
  <si>
    <t>Rail_Bridge</t>
  </si>
  <si>
    <t>Rail_Tunnel</t>
  </si>
  <si>
    <t>Rail_UnderwaterTunnel</t>
  </si>
  <si>
    <t>Monorail_Ground</t>
  </si>
  <si>
    <t>Monorail_LandBridge</t>
  </si>
  <si>
    <t>Monorail_Bridge</t>
  </si>
  <si>
    <t>Monorail_Tunnel</t>
  </si>
  <si>
    <t>Monorail_UnderwaterTunnel</t>
  </si>
  <si>
    <t>HighSpeedRail_Ground</t>
  </si>
  <si>
    <t>Bullet Train</t>
  </si>
  <si>
    <t>HighSpeedRail_LandBridge</t>
  </si>
  <si>
    <t>HighSpeedRail_Bridge</t>
  </si>
  <si>
    <t>HighSpeedRail_Tunnel</t>
  </si>
  <si>
    <t>HighSpeedRail_UnderwaterTunnel</t>
  </si>
  <si>
    <t>MaglevRail_Ground</t>
  </si>
  <si>
    <t>Maglev</t>
  </si>
  <si>
    <t>MaglevRail_LandBridge</t>
  </si>
  <si>
    <t>MaglevRail_Bridge</t>
  </si>
  <si>
    <t>MaglevRail_Tunnel</t>
  </si>
  <si>
    <t>MaglevRail_UnderwaterTunnel</t>
  </si>
  <si>
    <t>HyperloopRail_Ground</t>
  </si>
  <si>
    <t>Hyperloop</t>
  </si>
  <si>
    <t>HyperloopRail_LandBridge</t>
  </si>
  <si>
    <t>HyperloopRail_Bridge</t>
  </si>
  <si>
    <t>HyperloopRail_Tunnel</t>
  </si>
  <si>
    <t>HyperloopRail_UnderwaterTunnel</t>
  </si>
  <si>
    <t>Merchandise Class</t>
  </si>
  <si>
    <t>Storage Class</t>
  </si>
  <si>
    <t>Daily Consumption Per Person</t>
  </si>
  <si>
    <t>Mass</t>
  </si>
  <si>
    <t>Shape</t>
  </si>
  <si>
    <t>Width</t>
  </si>
  <si>
    <t>Height</t>
  </si>
  <si>
    <t>Depth</t>
  </si>
  <si>
    <t>Volume</t>
  </si>
  <si>
    <t>Density</t>
  </si>
  <si>
    <t>Unit Production Cost</t>
  </si>
  <si>
    <t>Phone</t>
  </si>
  <si>
    <t>Technology</t>
  </si>
  <si>
    <t>Box</t>
  </si>
  <si>
    <t>Speaker</t>
  </si>
  <si>
    <t>Radio</t>
  </si>
  <si>
    <t>Shelf</t>
  </si>
  <si>
    <t>Camera</t>
  </si>
  <si>
    <t>MemoryCard</t>
  </si>
  <si>
    <t>Memory Card</t>
  </si>
  <si>
    <t>Controller</t>
  </si>
  <si>
    <t>Headphones</t>
  </si>
  <si>
    <t>RAM</t>
  </si>
  <si>
    <t>CPU</t>
  </si>
  <si>
    <t>Microphone</t>
  </si>
  <si>
    <t>Cylinder</t>
  </si>
  <si>
    <t>Laptop</t>
  </si>
  <si>
    <t>Microchip</t>
  </si>
  <si>
    <t>Gold</t>
  </si>
  <si>
    <t>Resource</t>
  </si>
  <si>
    <t>CoveredHopper</t>
  </si>
  <si>
    <t>Silver</t>
  </si>
  <si>
    <t>Bronze</t>
  </si>
  <si>
    <t>Uranium</t>
  </si>
  <si>
    <t>Propane</t>
  </si>
  <si>
    <t>Gas</t>
  </si>
  <si>
    <t>SulfuricAcid</t>
  </si>
  <si>
    <t>Sulfuric Acid</t>
  </si>
  <si>
    <t>Liquid</t>
  </si>
  <si>
    <t>Gasoline</t>
  </si>
  <si>
    <t>Bolt</t>
  </si>
  <si>
    <t>Construction</t>
  </si>
  <si>
    <t>Lumber</t>
  </si>
  <si>
    <t>Flatbed</t>
  </si>
  <si>
    <t>LightBulb</t>
  </si>
  <si>
    <t>Ball</t>
  </si>
  <si>
    <t>Wrench</t>
  </si>
  <si>
    <t>Stone</t>
  </si>
  <si>
    <t>Hopper</t>
  </si>
  <si>
    <t>Screwdriver</t>
  </si>
  <si>
    <t>Scissors</t>
  </si>
  <si>
    <t>Wedge</t>
  </si>
  <si>
    <t>Tuna</t>
  </si>
  <si>
    <t>Food</t>
  </si>
  <si>
    <t>Refrigerator</t>
  </si>
  <si>
    <t>Ellipsoid</t>
  </si>
  <si>
    <t>Steak</t>
  </si>
  <si>
    <t>EllipticCylinder</t>
  </si>
  <si>
    <t>Sausage</t>
  </si>
  <si>
    <t>Chicken</t>
  </si>
  <si>
    <t>Livestock</t>
  </si>
  <si>
    <t>Shrimp</t>
  </si>
  <si>
    <t>Turkey</t>
  </si>
  <si>
    <t>Fish</t>
  </si>
  <si>
    <t>Milk</t>
  </si>
  <si>
    <t>Pants</t>
  </si>
  <si>
    <t>Clothing</t>
  </si>
  <si>
    <t>Necklace</t>
  </si>
  <si>
    <t>Shoe</t>
  </si>
  <si>
    <t>Shirt</t>
  </si>
  <si>
    <t>Dress</t>
  </si>
  <si>
    <t>Strawberry</t>
  </si>
  <si>
    <t>Rice</t>
  </si>
  <si>
    <t>Cherry</t>
  </si>
  <si>
    <t>Cheese</t>
  </si>
  <si>
    <t>Pear</t>
  </si>
  <si>
    <t>Tomato</t>
  </si>
  <si>
    <t>Corn</t>
  </si>
  <si>
    <t>Wheat</t>
  </si>
  <si>
    <t>Carrot</t>
  </si>
  <si>
    <t>Broccoli</t>
  </si>
  <si>
    <t>Lemon</t>
  </si>
  <si>
    <t>Apple</t>
  </si>
  <si>
    <t>Banana</t>
  </si>
  <si>
    <t>Bank</t>
  </si>
  <si>
    <t>Tier</t>
  </si>
  <si>
    <t>Duration</t>
  </si>
  <si>
    <t>Amount</t>
  </si>
  <si>
    <t>Interest</t>
  </si>
  <si>
    <t>Requirement</t>
  </si>
  <si>
    <t>Bank of Roblox</t>
  </si>
  <si>
    <t>Platinum</t>
  </si>
  <si>
    <t>BankofRoblox_Gold</t>
  </si>
  <si>
    <t>BankofRoblox_Silver</t>
  </si>
  <si>
    <t>BankofRoblox_Copper</t>
  </si>
  <si>
    <t>Copper</t>
  </si>
  <si>
    <t>Syndibank_Platinum</t>
  </si>
  <si>
    <t>Syndibank</t>
  </si>
  <si>
    <t>Syndibank_Gold</t>
  </si>
  <si>
    <t>Syndibank_Silver</t>
  </si>
  <si>
    <t>Syndibank_Copper</t>
  </si>
  <si>
    <t>Metagroup_Platinum</t>
  </si>
  <si>
    <t>Metagroup</t>
  </si>
  <si>
    <t>Metagroup_Gold</t>
  </si>
  <si>
    <t>Metagroup_Silver</t>
  </si>
  <si>
    <t>Metagroup_Copper</t>
  </si>
  <si>
    <t>Petrocorp_Platinum</t>
  </si>
  <si>
    <t>Petrocorp</t>
  </si>
  <si>
    <t>Petrocorp_Gold</t>
  </si>
  <si>
    <t>Petrocorp_Silver</t>
  </si>
  <si>
    <t>Petrocorp_Copper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</si>
</sst>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2">
    <numFmt numFmtId="164" formatCode="#,##0&quot; kph&quot;"/>
    <numFmt numFmtId="165" formatCode="&quot;$&quot;#,##0"/>
    <numFmt numFmtId="166" formatCode="#,##0&quot;T&quot;"/>
    <numFmt numFmtId="167" formatCode="#,##0.00000"/>
    <numFmt numFmtId="168" formatCode="0&quot;yr&quot;"/>
    <numFmt numFmtId="169" formatCode="&quot;$&quot;#,##0.00"/>
    <numFmt numFmtId="170" formatCode="0.00&quot;atm&quot;"/>
    <numFmt numFmtId="171" formatCode="#,##0&quot;m^3&quot;"/>
    <numFmt numFmtId="172" formatCode="$#,##0K"/>
    <numFmt numFmtId="173" formatCode="#,##0.000"/>
    <numFmt numFmtId="174" formatCode="$#,##0&quot;K&quot;"/>
    <numFmt numFmtId="175" formatCode="0.0%"/>
  </numFmts>
  <fonts count="5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b/>
      <color rgb="FFFFFFFF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1" numFmtId="164" xfId="0" applyAlignment="1" applyFont="1" applyNumberFormat="1">
      <alignment horizontal="center" readingOrder="0" shrinkToFit="0" vertical="center" wrapText="1"/>
    </xf>
    <xf borderId="0" fillId="2" fontId="1" numFmtId="165" xfId="0" applyAlignment="1" applyFont="1" applyNumberFormat="1">
      <alignment horizontal="center" readingOrder="0" shrinkToFit="0" vertical="center" wrapText="1"/>
    </xf>
    <xf borderId="0" fillId="2" fontId="1" numFmtId="166" xfId="0" applyAlignment="1" applyFont="1" applyNumberFormat="1">
      <alignment horizontal="center" readingOrder="0" shrinkToFit="0" vertical="center" wrapText="1"/>
    </xf>
    <xf borderId="0" fillId="2" fontId="1" numFmtId="3" xfId="0" applyAlignment="1" applyFont="1" applyNumberFormat="1">
      <alignment horizontal="center" readingOrder="0" shrinkToFit="0" vertical="center" wrapText="1"/>
    </xf>
    <xf borderId="0" fillId="2" fontId="1" numFmtId="167" xfId="0" applyAlignment="1" applyFont="1" applyNumberFormat="1">
      <alignment horizontal="center" readingOrder="0" shrinkToFit="0" vertical="center" wrapText="1"/>
    </xf>
    <xf borderId="0" fillId="2" fontId="1" numFmtId="4" xfId="0" applyAlignment="1" applyFont="1" applyNumberFormat="1">
      <alignment horizontal="center" readingOrder="0" shrinkToFit="0" vertical="center" wrapText="1"/>
    </xf>
    <xf borderId="0" fillId="2" fontId="1" numFmtId="168" xfId="0" applyAlignment="1" applyFont="1" applyNumberFormat="1">
      <alignment horizontal="center" readingOrder="0" shrinkToFit="0" vertical="center" wrapText="1"/>
    </xf>
    <xf borderId="0" fillId="2" fontId="1" numFmtId="11" xfId="0" applyAlignment="1" applyFont="1" applyNumberFormat="1">
      <alignment horizontal="center" readingOrder="0" shrinkToFit="0" vertical="center" wrapText="1"/>
    </xf>
    <xf borderId="0" fillId="3" fontId="2" numFmtId="0" xfId="0" applyFill="1" applyFont="1"/>
    <xf borderId="0" fillId="3" fontId="2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4" fontId="2" numFmtId="0" xfId="0" applyAlignment="1" applyFont="1">
      <alignment readingOrder="0" shrinkToFit="0" wrapText="1"/>
    </xf>
    <xf borderId="0" fillId="4" fontId="2" numFmtId="164" xfId="0" applyAlignment="1" applyFont="1" applyNumberFormat="1">
      <alignment readingOrder="0"/>
    </xf>
    <xf borderId="0" fillId="4" fontId="2" numFmtId="169" xfId="0" applyAlignment="1" applyFont="1" applyNumberFormat="1">
      <alignment readingOrder="0"/>
    </xf>
    <xf borderId="0" fillId="4" fontId="2" numFmtId="170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4" fontId="2" numFmtId="166" xfId="0" applyAlignment="1" applyFont="1" applyNumberFormat="1">
      <alignment readingOrder="0"/>
    </xf>
    <xf borderId="0" fillId="4" fontId="2" numFmtId="171" xfId="0" applyAlignment="1" applyFont="1" applyNumberFormat="1">
      <alignment readingOrder="0"/>
    </xf>
    <xf borderId="0" fillId="4" fontId="2" numFmtId="3" xfId="0" applyAlignment="1" applyFont="1" applyNumberFormat="1">
      <alignment readingOrder="0"/>
    </xf>
    <xf borderId="0" fillId="4" fontId="2" numFmtId="167" xfId="0" applyAlignment="1" applyFont="1" applyNumberFormat="1">
      <alignment readingOrder="0"/>
    </xf>
    <xf borderId="0" fillId="4" fontId="2" numFmtId="4" xfId="0" applyAlignment="1" applyFont="1" applyNumberFormat="1">
      <alignment readingOrder="0"/>
    </xf>
    <xf borderId="0" fillId="4" fontId="2" numFmtId="168" xfId="0" applyAlignment="1" applyFont="1" applyNumberFormat="1">
      <alignment readingOrder="0"/>
    </xf>
    <xf borderId="0" fillId="4" fontId="2" numFmtId="172" xfId="0" applyAlignment="1" applyFont="1" applyNumberFormat="1">
      <alignment readingOrder="0"/>
    </xf>
    <xf borderId="0" fillId="0" fontId="2" numFmtId="172" xfId="0" applyAlignment="1" applyFont="1" applyNumberFormat="1">
      <alignment readingOrder="0"/>
    </xf>
    <xf borderId="0" fillId="0" fontId="2" numFmtId="170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0" fontId="2" numFmtId="171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0" fontId="2" numFmtId="167" xfId="0" applyAlignment="1" applyFont="1" applyNumberFormat="1">
      <alignment readingOrder="0"/>
    </xf>
    <xf borderId="0" fillId="0" fontId="2" numFmtId="169" xfId="0" applyAlignment="1" applyFont="1" applyNumberFormat="1">
      <alignment readingOrder="0"/>
    </xf>
    <xf borderId="0" fillId="0" fontId="2" numFmtId="168" xfId="0" applyAlignment="1" applyFont="1" applyNumberFormat="1">
      <alignment readingOrder="0"/>
    </xf>
    <xf borderId="0" fillId="2" fontId="1" numFmtId="0" xfId="0" applyAlignment="1" applyFont="1">
      <alignment horizontal="center" readingOrder="0"/>
    </xf>
    <xf borderId="0" fillId="2" fontId="1" numFmtId="173" xfId="0" applyAlignment="1" applyFont="1" applyNumberFormat="1">
      <alignment horizontal="center" readingOrder="0"/>
    </xf>
    <xf borderId="0" fillId="2" fontId="1" numFmtId="174" xfId="0" applyAlignment="1" applyFont="1" applyNumberForma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173" xfId="0" applyAlignment="1" applyFont="1" applyNumberFormat="1">
      <alignment readingOrder="0"/>
    </xf>
    <xf borderId="0" fillId="0" fontId="2" numFmtId="165" xfId="0" applyAlignment="1" applyFont="1" applyNumberFormat="1">
      <alignment horizontal="center" readingOrder="0"/>
    </xf>
    <xf borderId="0" fillId="0" fontId="2" numFmtId="174" xfId="0" applyAlignment="1" applyFont="1" applyNumberForma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165" xfId="0" applyAlignment="1" applyFont="1" applyNumberFormat="1">
      <alignment readingOrder="0"/>
    </xf>
    <xf borderId="0" fillId="2" fontId="1" numFmtId="174" xfId="0" applyAlignment="1" applyFont="1" applyNumberFormat="1">
      <alignment horizontal="center" readingOrder="0" shrinkToFit="0" vertical="center" wrapText="1"/>
    </xf>
    <xf borderId="0" fillId="2" fontId="1" numFmtId="174" xfId="0" applyAlignment="1" applyFont="1" applyNumberFormat="1">
      <alignment horizontal="center" readingOrder="0" shrinkToFit="0" vertical="center" wrapText="1"/>
    </xf>
    <xf borderId="0" fillId="0" fontId="2" numFmtId="0" xfId="0" applyFont="1"/>
    <xf borderId="0" fillId="0" fontId="2" numFmtId="174" xfId="0" applyAlignment="1" applyFont="1" applyNumberFormat="1">
      <alignment readingOrder="0"/>
    </xf>
    <xf borderId="0" fillId="0" fontId="2" numFmtId="174" xfId="0" applyAlignment="1" applyFont="1" applyNumberFormat="1">
      <alignment readingOrder="0"/>
    </xf>
    <xf borderId="0" fillId="0" fontId="2" numFmtId="168" xfId="0" applyAlignment="1" applyFont="1" applyNumberFormat="1">
      <alignment readingOrder="0"/>
    </xf>
    <xf borderId="0" fillId="2" fontId="3" numFmtId="0" xfId="0" applyAlignment="1" applyFont="1">
      <alignment horizontal="center" shrinkToFit="0" wrapText="1"/>
    </xf>
    <xf borderId="0" fillId="2" fontId="3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readingOrder="0" vertical="bottom"/>
    </xf>
    <xf borderId="0" fillId="0" fontId="4" numFmtId="169" xfId="0" applyAlignment="1" applyFont="1" applyNumberFormat="1">
      <alignment horizontal="right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2" numFmtId="0" xfId="0" applyAlignment="1" applyFont="1">
      <alignment horizontal="right" readingOrder="0" shrinkToFit="0" vertical="center" wrapText="1"/>
    </xf>
    <xf borderId="0" fillId="4" fontId="2" numFmtId="0" xfId="0" applyAlignment="1" applyFont="1">
      <alignment horizontal="center" readingOrder="0" shrinkToFit="0" vertical="center" wrapText="1"/>
    </xf>
    <xf borderId="0" fillId="4" fontId="2" numFmtId="174" xfId="0" applyAlignment="1" applyFont="1" applyNumberFormat="1">
      <alignment horizontal="right" readingOrder="0" shrinkToFit="0" vertical="center" wrapText="1"/>
    </xf>
    <xf borderId="0" fillId="4" fontId="2" numFmtId="175" xfId="0" applyAlignment="1" applyFont="1" applyNumberFormat="1">
      <alignment horizontal="right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174" xfId="0" applyAlignment="1" applyFont="1" applyNumberFormat="1">
      <alignment horizontal="right" readingOrder="0" shrinkToFit="0" vertical="center" wrapText="1"/>
    </xf>
    <xf borderId="0" fillId="0" fontId="2" numFmtId="175" xfId="0" applyAlignment="1" applyFont="1" applyNumberFormat="1">
      <alignment horizontal="right" readingOrder="0" shrinkToFit="0" vertical="center" wrapText="1"/>
    </xf>
  </cellXfs>
  <cellStyles count="1">
    <cellStyle xfId="0" name="Normal" builtinId="0"/>
  </cellStyles>
  <dxfs count="7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4">
    <tableStyle count="2" pivot="0" name="Vehicle-style">
      <tableStyleElement dxfId="1" type="firstRowStripe"/>
      <tableStyleElement dxfId="2" type="secondRowStripe"/>
    </tableStyle>
    <tableStyle count="3" pivot="0" name="City-style">
      <tableStyleElement dxfId="3" type="headerRow"/>
      <tableStyleElement dxfId="1" type="firstRowStripe"/>
      <tableStyleElement dxfId="4" type="secondRowStripe"/>
    </tableStyle>
    <tableStyle count="2" pivot="0" name="Merchandise-style">
      <tableStyleElement dxfId="1" type="firstRowStripe"/>
      <tableStyleElement dxfId="6" type="secondRowStripe"/>
    </tableStyle>
    <tableStyle count="2" pivot="0" name="Loan-style">
      <tableStyleElement dxfId="1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T8" displayName="Table_1" id="1">
  <tableColumns count="2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</tableColumns>
  <tableStyleInfo name="Vehicle-style" showColumnStripes="0" showFirstColumn="1" showLastColumn="1" showRowStripes="1"/>
</table>
</file>

<file path=xl/tables/table2.xml><?xml version="1.0" encoding="utf-8"?>
<table xmlns="http://schemas.openxmlformats.org/spreadsheetml/2006/main" ref="A1:I332" displayName="Table_2" id="2">
  <tableColumns count="9">
    <tableColumn name="Id" id="1"/>
    <tableColumn name="Name" id="2"/>
    <tableColumn name="State" id="3"/>
    <tableColumn name="State Id" id="4"/>
    <tableColumn name="Population" id="5"/>
    <tableColumn name="Scale" id="6"/>
    <tableColumn name="Port Count" id="7"/>
    <tableColumn name="Average Income" id="8"/>
    <tableColumn name="Net Income" id="9"/>
  </tableColumns>
  <tableStyleInfo name="City-style" showColumnStripes="0" showFirstColumn="1" showLastColumn="1" showRowStripes="1"/>
</table>
</file>

<file path=xl/tables/table3.xml><?xml version="1.0" encoding="utf-8"?>
<table xmlns="http://schemas.openxmlformats.org/spreadsheetml/2006/main" headerRowCount="0" ref="A2:M55" displayName="Table_3" id="3">
  <tableColumns count="1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</tableColumns>
  <tableStyleInfo name="Merchandise-style" showColumnStripes="0" showFirstColumn="1" showLastColumn="1" showRowStripes="1"/>
</table>
</file>

<file path=xl/tables/table4.xml><?xml version="1.0" encoding="utf-8"?>
<table xmlns="http://schemas.openxmlformats.org/spreadsheetml/2006/main" headerRowCount="0" ref="A2:G17" displayName="Table_4" id="4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Loan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3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 outlineLevelCol="1"/>
  <cols>
    <col customWidth="1" min="1" max="1" width="38.5"/>
    <col customWidth="1" min="2" max="2" width="16.63" outlineLevel="1"/>
    <col customWidth="1" min="3" max="3" width="9.75"/>
    <col customWidth="1" min="4" max="4" width="21.63"/>
    <col customWidth="1" min="5" max="5" width="9.75"/>
    <col customWidth="1" min="6" max="6" width="36.25"/>
    <col customWidth="1" min="7" max="8" width="10.63"/>
    <col customWidth="1" min="9" max="9" width="10.38"/>
    <col customWidth="1" min="10" max="15" width="10.75"/>
    <col customWidth="1" min="16" max="17" width="13.13"/>
    <col customWidth="1" min="18" max="18" width="10.75"/>
    <col customWidth="1" min="19" max="19" width="12.88"/>
    <col customWidth="1" min="20" max="20" width="1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 t="s">
        <v>15</v>
      </c>
      <c r="Q1" s="7" t="s">
        <v>16</v>
      </c>
      <c r="R1" s="8" t="s">
        <v>17</v>
      </c>
      <c r="S1" s="9" t="s">
        <v>18</v>
      </c>
      <c r="T1" s="9" t="s">
        <v>19</v>
      </c>
    </row>
    <row r="2">
      <c r="A2" s="10" t="str">
        <f t="array" ref="A2:A8">$B$2:$B8&amp;"_"&amp;$C$2:$C8</f>
        <v>Rail_Callisto</v>
      </c>
      <c r="B2" s="11" t="s">
        <v>20</v>
      </c>
      <c r="C2" s="12" t="s">
        <v>21</v>
      </c>
      <c r="D2" s="12" t="s">
        <v>22</v>
      </c>
      <c r="E2" s="12" t="s">
        <v>23</v>
      </c>
      <c r="F2" s="13" t="str">
        <f>"The "&amp;$C2&amp;" is classic American steam locomotive, using immense mechanical forces to slowly pull massive amounts of cargo across the nation."</f>
        <v>The Callisto is classic American steam locomotive, using immense mechanical forces to slowly pull massive amounts of cargo across the nation.</v>
      </c>
      <c r="G2" s="14">
        <v>50.0</v>
      </c>
      <c r="H2" s="12">
        <v>16.0</v>
      </c>
      <c r="I2" s="15">
        <f>0.28/8.141</f>
        <v>0.03439380911</v>
      </c>
      <c r="J2" s="16">
        <v>1.0</v>
      </c>
      <c r="K2" s="17">
        <v>50.0</v>
      </c>
      <c r="L2" s="18">
        <v>25.0</v>
      </c>
      <c r="M2" s="18">
        <v>100.0</v>
      </c>
      <c r="N2" s="19">
        <v>75.0</v>
      </c>
      <c r="O2" s="20">
        <v>0.0</v>
      </c>
      <c r="P2" s="21">
        <f>0.35*0.01</f>
        <v>0.0035</v>
      </c>
      <c r="Q2" s="22">
        <v>0.8</v>
      </c>
      <c r="R2" s="23">
        <v>30.0</v>
      </c>
      <c r="S2" s="24">
        <v>1000.0</v>
      </c>
      <c r="T2" s="25">
        <f t="shared" ref="T2:T8" si="1">$S2/($R2)</f>
        <v>33.33333333</v>
      </c>
    </row>
    <row r="3">
      <c r="A3" s="10" t="s">
        <v>24</v>
      </c>
      <c r="B3" s="11" t="s">
        <v>20</v>
      </c>
      <c r="C3" s="12" t="s">
        <v>25</v>
      </c>
      <c r="D3" s="12" t="s">
        <v>26</v>
      </c>
      <c r="E3" s="12" t="s">
        <v>27</v>
      </c>
      <c r="F3" s="13" t="str">
        <f>"The "&amp;$C$3&amp;" is an iconic American streamliner locomotive known for providing decades of reliable service."</f>
        <v>The Denver is an iconic American streamliner locomotive known for providing decades of reliable service.</v>
      </c>
      <c r="G3" s="14">
        <v>70.0</v>
      </c>
      <c r="H3" s="12">
        <v>30.0</v>
      </c>
      <c r="I3" s="15">
        <f>3.14/11.63</f>
        <v>0.2699914015</v>
      </c>
      <c r="J3" s="26">
        <f t="shared" ref="J3:J6" si="2">$J$2</f>
        <v>1</v>
      </c>
      <c r="K3" s="17">
        <v>100.0</v>
      </c>
      <c r="L3" s="17">
        <v>25.0</v>
      </c>
      <c r="M3" s="27">
        <f t="shared" ref="M3:M7" si="3">$M$2</f>
        <v>100</v>
      </c>
      <c r="N3" s="28">
        <f t="shared" ref="N3:N7" si="4">$N$2</f>
        <v>75</v>
      </c>
      <c r="O3" s="29">
        <f t="shared" ref="O3:O7" si="5">$O$2</f>
        <v>0</v>
      </c>
      <c r="P3" s="30">
        <f t="shared" ref="P3:P4" si="6">$P$2</f>
        <v>0.0035</v>
      </c>
      <c r="Q3" s="22">
        <v>0.95</v>
      </c>
      <c r="R3" s="23">
        <v>40.0</v>
      </c>
      <c r="S3" s="24">
        <v>2000.0</v>
      </c>
      <c r="T3" s="25">
        <f t="shared" si="1"/>
        <v>50</v>
      </c>
    </row>
    <row r="4">
      <c r="A4" s="10" t="s">
        <v>28</v>
      </c>
      <c r="B4" s="11" t="s">
        <v>29</v>
      </c>
      <c r="C4" s="12" t="s">
        <v>30</v>
      </c>
      <c r="D4" s="12" t="s">
        <v>31</v>
      </c>
      <c r="E4" s="12" t="s">
        <v>32</v>
      </c>
      <c r="F4" s="13" t="str">
        <f>"The "&amp;$C$4&amp;" is a world famous European HSR allowing for quick transportation between countries at affordable prices."</f>
        <v>The Pacifique is a world famous European HSR allowing for quick transportation between countries at affordable prices.</v>
      </c>
      <c r="G4" s="14">
        <v>160.0</v>
      </c>
      <c r="H4" s="12">
        <v>12.0</v>
      </c>
      <c r="I4" s="31">
        <f>$I$3</f>
        <v>0.2699914015</v>
      </c>
      <c r="J4" s="26">
        <f t="shared" si="2"/>
        <v>1</v>
      </c>
      <c r="K4" s="17">
        <v>75.0</v>
      </c>
      <c r="L4" s="17">
        <v>25.0</v>
      </c>
      <c r="M4" s="27">
        <f t="shared" si="3"/>
        <v>100</v>
      </c>
      <c r="N4" s="28">
        <f t="shared" si="4"/>
        <v>75</v>
      </c>
      <c r="O4" s="29">
        <f t="shared" si="5"/>
        <v>0</v>
      </c>
      <c r="P4" s="30">
        <f t="shared" si="6"/>
        <v>0.0035</v>
      </c>
      <c r="Q4" s="22">
        <v>0.3</v>
      </c>
      <c r="R4" s="23">
        <v>25.0</v>
      </c>
      <c r="S4" s="24">
        <v>2500.0</v>
      </c>
      <c r="T4" s="25">
        <f t="shared" si="1"/>
        <v>100</v>
      </c>
    </row>
    <row r="5">
      <c r="A5" s="10" t="s">
        <v>33</v>
      </c>
      <c r="B5" s="11" t="s">
        <v>34</v>
      </c>
      <c r="C5" s="12" t="s">
        <v>35</v>
      </c>
      <c r="D5" s="12" t="s">
        <v>36</v>
      </c>
      <c r="E5" s="12" t="s">
        <v>37</v>
      </c>
      <c r="F5" s="13" t="str">
        <f>"The "&amp;$C5&amp;" is a retro-futuristic vision for urban transit, however it is also very capable in dealing with high incline mountainous regions due to how it grips the track."</f>
        <v>The Gulf is a retro-futuristic vision for urban transit, however it is also very capable in dealing with high incline mountainous regions due to how it grips the track.</v>
      </c>
      <c r="G5" s="14">
        <v>180.0</v>
      </c>
      <c r="H5" s="12">
        <v>8.0</v>
      </c>
      <c r="I5" s="31">
        <f>$I$4*0.75</f>
        <v>0.2024935512</v>
      </c>
      <c r="J5" s="26">
        <f t="shared" si="2"/>
        <v>1</v>
      </c>
      <c r="K5" s="17">
        <v>75.0</v>
      </c>
      <c r="L5" s="18">
        <v>25.0</v>
      </c>
      <c r="M5" s="27">
        <f t="shared" si="3"/>
        <v>100</v>
      </c>
      <c r="N5" s="28">
        <f t="shared" si="4"/>
        <v>75</v>
      </c>
      <c r="O5" s="29">
        <f t="shared" si="5"/>
        <v>0</v>
      </c>
      <c r="P5" s="21">
        <f>$P$2*1.25</f>
        <v>0.004375</v>
      </c>
      <c r="Q5" s="22">
        <v>0.5</v>
      </c>
      <c r="R5" s="23">
        <v>30.0</v>
      </c>
      <c r="S5" s="24">
        <f>$S4*2</f>
        <v>5000</v>
      </c>
      <c r="T5" s="25">
        <f t="shared" si="1"/>
        <v>166.6666667</v>
      </c>
    </row>
    <row r="6">
      <c r="A6" s="10" t="s">
        <v>38</v>
      </c>
      <c r="B6" s="11" t="s">
        <v>39</v>
      </c>
      <c r="C6" s="12" t="s">
        <v>40</v>
      </c>
      <c r="D6" s="12" t="s">
        <v>41</v>
      </c>
      <c r="E6" s="12" t="s">
        <v>42</v>
      </c>
      <c r="F6" s="13" t="str">
        <f>"The "&amp;$C6&amp;" is a record-breaking Japanese maglev that serves as the backbone for fast transit between densely populated cities. The '"&amp;$C$6&amp;"' branding is an English localization to help market the technology overseas."</f>
        <v>The Magnus is a record-breaking Japanese maglev that serves as the backbone for fast transit between densely populated cities. The 'Magnus' branding is an English localization to help market the technology overseas.</v>
      </c>
      <c r="G6" s="14">
        <v>600.0</v>
      </c>
      <c r="H6" s="12">
        <v>12.0</v>
      </c>
      <c r="I6" s="31">
        <f>$I$4*0.25</f>
        <v>0.06749785039</v>
      </c>
      <c r="J6" s="26">
        <f t="shared" si="2"/>
        <v>1</v>
      </c>
      <c r="K6" s="17">
        <v>50.0</v>
      </c>
      <c r="L6" s="18">
        <v>25.0</v>
      </c>
      <c r="M6" s="27">
        <f t="shared" si="3"/>
        <v>100</v>
      </c>
      <c r="N6" s="28">
        <f t="shared" si="4"/>
        <v>75</v>
      </c>
      <c r="O6" s="29">
        <f t="shared" si="5"/>
        <v>0</v>
      </c>
      <c r="P6" s="21">
        <f>$P2*0.1</f>
        <v>0.00035</v>
      </c>
      <c r="Q6" s="22">
        <v>0.2</v>
      </c>
      <c r="R6" s="23">
        <v>25.0</v>
      </c>
      <c r="S6" s="24">
        <f>$S$4*2</f>
        <v>5000</v>
      </c>
      <c r="T6" s="25">
        <f t="shared" si="1"/>
        <v>200</v>
      </c>
    </row>
    <row r="7">
      <c r="A7" s="10" t="s">
        <v>43</v>
      </c>
      <c r="B7" s="11" t="s">
        <v>44</v>
      </c>
      <c r="C7" s="12" t="s">
        <v>45</v>
      </c>
      <c r="D7" s="12" t="s">
        <v>46</v>
      </c>
      <c r="E7" s="12" t="s">
        <v>47</v>
      </c>
      <c r="F7" s="13" t="str">
        <f>"The "&amp;$C$7&amp;" is about speed above everything else, including fiscal responsibility."</f>
        <v>The Gigapod is about speed above everything else, including fiscal responsibility.</v>
      </c>
      <c r="G7" s="14">
        <v>1200.0</v>
      </c>
      <c r="H7" s="12">
        <v>12.0</v>
      </c>
      <c r="I7" s="31">
        <f>$I$6*0.5</f>
        <v>0.03374892519</v>
      </c>
      <c r="J7" s="16">
        <f>0.2</f>
        <v>0.2</v>
      </c>
      <c r="K7" s="17">
        <v>50.0</v>
      </c>
      <c r="L7" s="18">
        <v>25.0</v>
      </c>
      <c r="M7" s="27">
        <f t="shared" si="3"/>
        <v>100</v>
      </c>
      <c r="N7" s="28">
        <f t="shared" si="4"/>
        <v>75</v>
      </c>
      <c r="O7" s="29">
        <f t="shared" si="5"/>
        <v>0</v>
      </c>
      <c r="P7" s="30">
        <f>$P$6</f>
        <v>0.00035</v>
      </c>
      <c r="Q7" s="22">
        <v>0.1</v>
      </c>
      <c r="R7" s="23">
        <v>15.0</v>
      </c>
      <c r="S7" s="24">
        <f>$S6*2</f>
        <v>10000</v>
      </c>
      <c r="T7" s="25">
        <f t="shared" si="1"/>
        <v>666.6666667</v>
      </c>
    </row>
    <row r="8">
      <c r="A8" s="10" t="s">
        <v>48</v>
      </c>
      <c r="B8" s="11" t="s">
        <v>49</v>
      </c>
      <c r="C8" s="12" t="s">
        <v>50</v>
      </c>
      <c r="D8" s="12" t="s">
        <v>51</v>
      </c>
      <c r="E8" s="12" t="s">
        <v>52</v>
      </c>
      <c r="F8" s="13" t="str">
        <f>"The "&amp;$C$8&amp;" is an 'Merican Truck made in 'Merica with a tough name to show other trucking companies that you broke the mold and are really cool and probably a rebel and you don't take orders from nobody."</f>
        <v>The Marauder is an 'Merican Truck made in 'Merica with a tough name to show other trucking companies that you broke the mold and are really cool and probably a rebel and you don't take orders from nobody.</v>
      </c>
      <c r="G8" s="14">
        <f>90</f>
        <v>90</v>
      </c>
      <c r="H8" s="12">
        <v>1.0</v>
      </c>
      <c r="I8" s="31">
        <f>$I$3</f>
        <v>0.2699914015</v>
      </c>
      <c r="J8" s="26">
        <f>$J$2</f>
        <v>1</v>
      </c>
      <c r="K8" s="17">
        <v>12.0</v>
      </c>
      <c r="L8" s="18">
        <v>17.5</v>
      </c>
      <c r="M8" s="18">
        <v>15.0</v>
      </c>
      <c r="N8" s="19">
        <v>50.0</v>
      </c>
      <c r="O8" s="20">
        <v>0.0</v>
      </c>
      <c r="P8" s="21">
        <f>$P2*3</f>
        <v>0.0105</v>
      </c>
      <c r="Q8" s="22">
        <v>0.5</v>
      </c>
      <c r="R8" s="32">
        <v>15.0</v>
      </c>
      <c r="S8" s="24">
        <v>70.0</v>
      </c>
      <c r="T8" s="25">
        <f t="shared" si="1"/>
        <v>4.666666667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8" max="9" width="18.63"/>
  </cols>
  <sheetData>
    <row r="1">
      <c r="A1" s="33" t="s">
        <v>0</v>
      </c>
      <c r="B1" s="33" t="s">
        <v>2</v>
      </c>
      <c r="C1" s="33" t="s">
        <v>53</v>
      </c>
      <c r="D1" s="33" t="s">
        <v>54</v>
      </c>
      <c r="E1" s="33" t="s">
        <v>55</v>
      </c>
      <c r="F1" s="34" t="s">
        <v>56</v>
      </c>
      <c r="G1" s="34" t="s">
        <v>57</v>
      </c>
      <c r="H1" s="34" t="s">
        <v>58</v>
      </c>
      <c r="I1" s="35" t="s">
        <v>59</v>
      </c>
    </row>
    <row r="2">
      <c r="A2" s="36" t="str">
        <f t="shared" ref="A2:A332" si="1">SUBSTITUTE(SUBSTITUTE(SUBSTITUTE($B2, " ", ""), "-", ""), "'", "")&amp;"_"&amp;$D2</f>
        <v>NewYork_NY</v>
      </c>
      <c r="B2" s="36" t="s">
        <v>60</v>
      </c>
      <c r="C2" s="36" t="s">
        <v>60</v>
      </c>
      <c r="D2" s="37" t="str">
        <f>VLOOKUP($C2, State!$A$2:$C332, 2, FALSE)</f>
        <v>NY</v>
      </c>
      <c r="E2" s="29">
        <v>8467513.0</v>
      </c>
      <c r="F2" s="38">
        <f t="shared" ref="F2:F332" si="2">1-((-1+RANK($E2, $E$2:$E332))/(COUNTIF($A$2:$A332, "&lt;&gt;")-1))</f>
        <v>1</v>
      </c>
      <c r="G2" s="38">
        <f t="shared" ref="G2:G332" si="3">(CEILING((2*PI()*$F2/(2*PI()))*11,1))+1</f>
        <v>12</v>
      </c>
      <c r="H2" s="39">
        <f>VLOOKUP($C2, State!$A$2:$C332, 3, FALSE)</f>
        <v>72108</v>
      </c>
      <c r="I2" s="40">
        <f t="shared" ref="I2:I332" si="4">$E2*$H2 / 1000</f>
        <v>610575427.4</v>
      </c>
    </row>
    <row r="3">
      <c r="A3" s="36" t="str">
        <f t="shared" si="1"/>
        <v>LosAngeles_CA</v>
      </c>
      <c r="B3" s="36" t="s">
        <v>61</v>
      </c>
      <c r="C3" s="36" t="s">
        <v>62</v>
      </c>
      <c r="D3" s="37" t="str">
        <f>VLOOKUP($C3, State!$A$2:$C332, 2, FALSE)</f>
        <v>CA</v>
      </c>
      <c r="E3" s="29">
        <v>3849297.0</v>
      </c>
      <c r="F3" s="38">
        <f t="shared" si="2"/>
        <v>0.996969697</v>
      </c>
      <c r="G3" s="38">
        <f t="shared" si="3"/>
        <v>12</v>
      </c>
      <c r="H3" s="39">
        <f>VLOOKUP($C3, State!$A$2:$C332, 3, FALSE)</f>
        <v>80440</v>
      </c>
      <c r="I3" s="40">
        <f t="shared" si="4"/>
        <v>309637450.7</v>
      </c>
    </row>
    <row r="4">
      <c r="A4" s="36" t="str">
        <f t="shared" si="1"/>
        <v>Chicago_IL</v>
      </c>
      <c r="B4" s="36" t="s">
        <v>63</v>
      </c>
      <c r="C4" s="36" t="s">
        <v>64</v>
      </c>
      <c r="D4" s="37" t="str">
        <f>VLOOKUP($C4, State!$A$2:$C332, 2, FALSE)</f>
        <v>IL</v>
      </c>
      <c r="E4" s="29">
        <v>2696555.0</v>
      </c>
      <c r="F4" s="38">
        <f t="shared" si="2"/>
        <v>0.9939393939</v>
      </c>
      <c r="G4" s="38">
        <f t="shared" si="3"/>
        <v>12</v>
      </c>
      <c r="H4" s="39">
        <f>VLOOKUP($C4, State!$A$2:$C332, 3, FALSE)</f>
        <v>69187</v>
      </c>
      <c r="I4" s="40">
        <f t="shared" si="4"/>
        <v>186566550.8</v>
      </c>
    </row>
    <row r="5">
      <c r="A5" s="36" t="str">
        <f t="shared" si="1"/>
        <v>Houston_TX</v>
      </c>
      <c r="B5" s="36" t="s">
        <v>65</v>
      </c>
      <c r="C5" s="36" t="s">
        <v>66</v>
      </c>
      <c r="D5" s="37" t="str">
        <f>VLOOKUP($C5, State!$A$2:$C332, 2, FALSE)</f>
        <v>TX</v>
      </c>
      <c r="E5" s="29">
        <v>2288250.0</v>
      </c>
      <c r="F5" s="38">
        <f t="shared" si="2"/>
        <v>0.9909090909</v>
      </c>
      <c r="G5" s="38">
        <f t="shared" si="3"/>
        <v>12</v>
      </c>
      <c r="H5" s="39">
        <f>VLOOKUP($C5, State!$A$2:$C332, 3, FALSE)</f>
        <v>64034</v>
      </c>
      <c r="I5" s="40">
        <f t="shared" si="4"/>
        <v>146525800.5</v>
      </c>
    </row>
    <row r="6">
      <c r="A6" s="36" t="str">
        <f t="shared" si="1"/>
        <v>Phoenix_AZ</v>
      </c>
      <c r="B6" s="36" t="s">
        <v>67</v>
      </c>
      <c r="C6" s="36" t="s">
        <v>68</v>
      </c>
      <c r="D6" s="37" t="str">
        <f>VLOOKUP($C6, State!$A$2:$C332, 2, FALSE)</f>
        <v>AZ</v>
      </c>
      <c r="E6" s="29">
        <v>1624569.0</v>
      </c>
      <c r="F6" s="38">
        <f t="shared" si="2"/>
        <v>0.9878787879</v>
      </c>
      <c r="G6" s="38">
        <f t="shared" si="3"/>
        <v>12</v>
      </c>
      <c r="H6" s="39">
        <f>VLOOKUP($C6, State!$A$2:$C332, 3, FALSE)</f>
        <v>62055</v>
      </c>
      <c r="I6" s="40">
        <f t="shared" si="4"/>
        <v>100812629.3</v>
      </c>
    </row>
    <row r="7">
      <c r="A7" s="36" t="str">
        <f t="shared" si="1"/>
        <v>Philadelphia_PA</v>
      </c>
      <c r="B7" s="36" t="s">
        <v>69</v>
      </c>
      <c r="C7" s="36" t="s">
        <v>70</v>
      </c>
      <c r="D7" s="37" t="str">
        <f>VLOOKUP($C7, State!$A$2:$C332, 2, FALSE)</f>
        <v>PA</v>
      </c>
      <c r="E7" s="29">
        <v>1576251.0</v>
      </c>
      <c r="F7" s="38">
        <f t="shared" si="2"/>
        <v>0.9848484848</v>
      </c>
      <c r="G7" s="38">
        <f t="shared" si="3"/>
        <v>12</v>
      </c>
      <c r="H7" s="39">
        <f>VLOOKUP($C7, State!$A$2:$C332, 3, FALSE)</f>
        <v>63463</v>
      </c>
      <c r="I7" s="40">
        <f t="shared" si="4"/>
        <v>100033617.2</v>
      </c>
    </row>
    <row r="8">
      <c r="A8" s="36" t="str">
        <f t="shared" si="1"/>
        <v>SanAntonio_TX</v>
      </c>
      <c r="B8" s="36" t="s">
        <v>71</v>
      </c>
      <c r="C8" s="36" t="s">
        <v>66</v>
      </c>
      <c r="D8" s="37" t="str">
        <f>VLOOKUP($C8, State!$A$2:$C332, 2, FALSE)</f>
        <v>TX</v>
      </c>
      <c r="E8" s="29">
        <v>1451853.0</v>
      </c>
      <c r="F8" s="38">
        <f t="shared" si="2"/>
        <v>0.9818181818</v>
      </c>
      <c r="G8" s="38">
        <f t="shared" si="3"/>
        <v>12</v>
      </c>
      <c r="H8" s="39">
        <f>VLOOKUP($C8, State!$A$2:$C332, 3, FALSE)</f>
        <v>64034</v>
      </c>
      <c r="I8" s="40">
        <f t="shared" si="4"/>
        <v>92967955</v>
      </c>
    </row>
    <row r="9">
      <c r="A9" s="36" t="str">
        <f t="shared" si="1"/>
        <v>SanDiego_CA</v>
      </c>
      <c r="B9" s="36" t="s">
        <v>72</v>
      </c>
      <c r="C9" s="36" t="s">
        <v>62</v>
      </c>
      <c r="D9" s="37" t="str">
        <f>VLOOKUP($C9, State!$A$2:$C332, 2, FALSE)</f>
        <v>CA</v>
      </c>
      <c r="E9" s="29">
        <v>1381611.0</v>
      </c>
      <c r="F9" s="38">
        <f t="shared" si="2"/>
        <v>0.9787878788</v>
      </c>
      <c r="G9" s="38">
        <f t="shared" si="3"/>
        <v>12</v>
      </c>
      <c r="H9" s="39">
        <f>VLOOKUP($C9, State!$A$2:$C332, 3, FALSE)</f>
        <v>80440</v>
      </c>
      <c r="I9" s="40">
        <f t="shared" si="4"/>
        <v>111136788.8</v>
      </c>
    </row>
    <row r="10">
      <c r="A10" s="36" t="str">
        <f t="shared" si="1"/>
        <v>Dallas_TX</v>
      </c>
      <c r="B10" s="36" t="s">
        <v>73</v>
      </c>
      <c r="C10" s="36" t="s">
        <v>66</v>
      </c>
      <c r="D10" s="37" t="str">
        <f>VLOOKUP($C10, State!$A$2:$C332, 2, FALSE)</f>
        <v>TX</v>
      </c>
      <c r="E10" s="29">
        <v>1288457.0</v>
      </c>
      <c r="F10" s="38">
        <f t="shared" si="2"/>
        <v>0.9757575758</v>
      </c>
      <c r="G10" s="38">
        <f t="shared" si="3"/>
        <v>12</v>
      </c>
      <c r="H10" s="39">
        <f>VLOOKUP($C10, State!$A$2:$C332, 3, FALSE)</f>
        <v>64034</v>
      </c>
      <c r="I10" s="40">
        <f t="shared" si="4"/>
        <v>82505055.54</v>
      </c>
    </row>
    <row r="11">
      <c r="A11" s="36" t="str">
        <f t="shared" si="1"/>
        <v>SanJose_CA</v>
      </c>
      <c r="B11" s="36" t="s">
        <v>74</v>
      </c>
      <c r="C11" s="36" t="s">
        <v>62</v>
      </c>
      <c r="D11" s="37" t="str">
        <f>VLOOKUP($C11, State!$A$2:$C332, 2, FALSE)</f>
        <v>CA</v>
      </c>
      <c r="E11" s="29">
        <v>983489.0</v>
      </c>
      <c r="F11" s="38">
        <f t="shared" si="2"/>
        <v>0.9727272727</v>
      </c>
      <c r="G11" s="38">
        <f t="shared" si="3"/>
        <v>12</v>
      </c>
      <c r="H11" s="39">
        <f>VLOOKUP($C11, State!$A$2:$C332, 3, FALSE)</f>
        <v>80440</v>
      </c>
      <c r="I11" s="40">
        <f t="shared" si="4"/>
        <v>79111855.16</v>
      </c>
    </row>
    <row r="12">
      <c r="A12" s="36" t="str">
        <f t="shared" si="1"/>
        <v>Austin_TX</v>
      </c>
      <c r="B12" s="36" t="s">
        <v>75</v>
      </c>
      <c r="C12" s="36" t="s">
        <v>66</v>
      </c>
      <c r="D12" s="37" t="str">
        <f>VLOOKUP($C12, State!$A$2:$C332, 2, FALSE)</f>
        <v>TX</v>
      </c>
      <c r="E12" s="29">
        <v>964177.0</v>
      </c>
      <c r="F12" s="38">
        <f t="shared" si="2"/>
        <v>0.9696969697</v>
      </c>
      <c r="G12" s="38">
        <f t="shared" si="3"/>
        <v>12</v>
      </c>
      <c r="H12" s="39">
        <f>VLOOKUP($C12, State!$A$2:$C332, 3, FALSE)</f>
        <v>64034</v>
      </c>
      <c r="I12" s="40">
        <f t="shared" si="4"/>
        <v>61740110.02</v>
      </c>
    </row>
    <row r="13">
      <c r="A13" s="36" t="str">
        <f t="shared" si="1"/>
        <v>Jacksonville_FL</v>
      </c>
      <c r="B13" s="36" t="s">
        <v>76</v>
      </c>
      <c r="C13" s="36" t="s">
        <v>77</v>
      </c>
      <c r="D13" s="37" t="str">
        <f>VLOOKUP($C13, State!$A$2:$C332, 2, FALSE)</f>
        <v>FL</v>
      </c>
      <c r="E13" s="29">
        <v>954614.0</v>
      </c>
      <c r="F13" s="38">
        <f t="shared" si="2"/>
        <v>0.9666666667</v>
      </c>
      <c r="G13" s="38">
        <f t="shared" si="3"/>
        <v>12</v>
      </c>
      <c r="H13" s="39">
        <f>VLOOKUP($C13, State!$A$2:$C332, 3, FALSE)</f>
        <v>59227</v>
      </c>
      <c r="I13" s="40">
        <f t="shared" si="4"/>
        <v>56538923.38</v>
      </c>
    </row>
    <row r="14">
      <c r="A14" s="36" t="str">
        <f t="shared" si="1"/>
        <v>FortWorth_TX</v>
      </c>
      <c r="B14" s="36" t="s">
        <v>78</v>
      </c>
      <c r="C14" s="36" t="s">
        <v>66</v>
      </c>
      <c r="D14" s="37" t="str">
        <f>VLOOKUP($C14, State!$A$2:$C332, 2, FALSE)</f>
        <v>TX</v>
      </c>
      <c r="E14" s="29">
        <v>935508.0</v>
      </c>
      <c r="F14" s="38">
        <f t="shared" si="2"/>
        <v>0.9636363636</v>
      </c>
      <c r="G14" s="38">
        <f t="shared" si="3"/>
        <v>12</v>
      </c>
      <c r="H14" s="39">
        <f>VLOOKUP($C14, State!$A$2:$C332, 3, FALSE)</f>
        <v>64034</v>
      </c>
      <c r="I14" s="40">
        <f t="shared" si="4"/>
        <v>59904319.27</v>
      </c>
    </row>
    <row r="15">
      <c r="A15" s="36" t="str">
        <f t="shared" si="1"/>
        <v>Columbus_OH</v>
      </c>
      <c r="B15" s="36" t="s">
        <v>79</v>
      </c>
      <c r="C15" s="36" t="s">
        <v>80</v>
      </c>
      <c r="D15" s="37" t="str">
        <f>VLOOKUP($C15, State!$A$2:$C332, 2, FALSE)</f>
        <v>OH</v>
      </c>
      <c r="E15" s="29">
        <v>906528.0</v>
      </c>
      <c r="F15" s="38">
        <f t="shared" si="2"/>
        <v>0.9606060606</v>
      </c>
      <c r="G15" s="38">
        <f t="shared" si="3"/>
        <v>12</v>
      </c>
      <c r="H15" s="39">
        <f>VLOOKUP($C15, State!$A$2:$C332, 3, FALSE)</f>
        <v>58642</v>
      </c>
      <c r="I15" s="40">
        <f t="shared" si="4"/>
        <v>53160614.98</v>
      </c>
    </row>
    <row r="16">
      <c r="A16" s="36" t="str">
        <f t="shared" si="1"/>
        <v>Indianapolis_IN</v>
      </c>
      <c r="B16" s="36" t="s">
        <v>81</v>
      </c>
      <c r="C16" s="36" t="s">
        <v>82</v>
      </c>
      <c r="D16" s="37" t="str">
        <f>VLOOKUP($C16, State!$A$2:$C332, 2, FALSE)</f>
        <v>IN</v>
      </c>
      <c r="E16" s="29">
        <v>882039.0</v>
      </c>
      <c r="F16" s="38">
        <f t="shared" si="2"/>
        <v>0.9575757576</v>
      </c>
      <c r="G16" s="38">
        <f t="shared" si="3"/>
        <v>12</v>
      </c>
      <c r="H16" s="39">
        <f>VLOOKUP($C16, State!$A$2:$C332, 3, FALSE)</f>
        <v>57603</v>
      </c>
      <c r="I16" s="40">
        <f t="shared" si="4"/>
        <v>50808092.52</v>
      </c>
    </row>
    <row r="17">
      <c r="A17" s="36" t="str">
        <f t="shared" si="1"/>
        <v>Charlotte_NC</v>
      </c>
      <c r="B17" s="36" t="s">
        <v>83</v>
      </c>
      <c r="C17" s="36" t="s">
        <v>84</v>
      </c>
      <c r="D17" s="37" t="str">
        <f>VLOOKUP($C17, State!$A$2:$C332, 2, FALSE)</f>
        <v>NC</v>
      </c>
      <c r="E17" s="29">
        <v>879709.0</v>
      </c>
      <c r="F17" s="38">
        <f t="shared" si="2"/>
        <v>0.9545454545</v>
      </c>
      <c r="G17" s="38">
        <f t="shared" si="3"/>
        <v>12</v>
      </c>
      <c r="H17" s="39">
        <f>VLOOKUP($C17, State!$A$2:$C332, 3, FALSE)</f>
        <v>57341</v>
      </c>
      <c r="I17" s="40">
        <f t="shared" si="4"/>
        <v>50443393.77</v>
      </c>
    </row>
    <row r="18">
      <c r="A18" s="36" t="str">
        <f t="shared" si="1"/>
        <v>SanFrancisco_CA</v>
      </c>
      <c r="B18" s="36" t="s">
        <v>85</v>
      </c>
      <c r="C18" s="36" t="s">
        <v>62</v>
      </c>
      <c r="D18" s="37" t="str">
        <f>VLOOKUP($C18, State!$A$2:$C332, 2, FALSE)</f>
        <v>CA</v>
      </c>
      <c r="E18" s="29">
        <v>815201.0</v>
      </c>
      <c r="F18" s="38">
        <f t="shared" si="2"/>
        <v>0.9515151515</v>
      </c>
      <c r="G18" s="38">
        <f t="shared" si="3"/>
        <v>12</v>
      </c>
      <c r="H18" s="39">
        <f>VLOOKUP($C18, State!$A$2:$C332, 3, FALSE)</f>
        <v>80440</v>
      </c>
      <c r="I18" s="40">
        <f t="shared" si="4"/>
        <v>65574768.44</v>
      </c>
    </row>
    <row r="19">
      <c r="A19" s="36" t="str">
        <f t="shared" si="1"/>
        <v>Seattle_WA</v>
      </c>
      <c r="B19" s="36" t="s">
        <v>86</v>
      </c>
      <c r="C19" s="36" t="s">
        <v>87</v>
      </c>
      <c r="D19" s="37" t="str">
        <f>VLOOKUP($C19, State!$A$2:$C332, 2, FALSE)</f>
        <v>WA</v>
      </c>
      <c r="E19" s="29">
        <v>733919.0</v>
      </c>
      <c r="F19" s="38">
        <f t="shared" si="2"/>
        <v>0.9484848485</v>
      </c>
      <c r="G19" s="38">
        <f t="shared" si="3"/>
        <v>12</v>
      </c>
      <c r="H19" s="39">
        <f>VLOOKUP($C19, State!$A$2:$C332, 3, FALSE)</f>
        <v>78687</v>
      </c>
      <c r="I19" s="40">
        <f t="shared" si="4"/>
        <v>57749884.35</v>
      </c>
    </row>
    <row r="20">
      <c r="A20" s="36" t="str">
        <f t="shared" si="1"/>
        <v>Denver_CO</v>
      </c>
      <c r="B20" s="36" t="s">
        <v>25</v>
      </c>
      <c r="C20" s="36" t="s">
        <v>88</v>
      </c>
      <c r="D20" s="37" t="str">
        <f>VLOOKUP($C20, State!$A$2:$C332, 2, FALSE)</f>
        <v>CO</v>
      </c>
      <c r="E20" s="29">
        <v>711463.0</v>
      </c>
      <c r="F20" s="38">
        <f t="shared" si="2"/>
        <v>0.9454545455</v>
      </c>
      <c r="G20" s="38">
        <f t="shared" si="3"/>
        <v>12</v>
      </c>
      <c r="H20" s="39">
        <f>VLOOKUP($C20, State!$A$2:$C332, 3, FALSE)</f>
        <v>77127</v>
      </c>
      <c r="I20" s="40">
        <f t="shared" si="4"/>
        <v>54873006.8</v>
      </c>
    </row>
    <row r="21">
      <c r="A21" s="36" t="str">
        <f t="shared" si="1"/>
        <v>OklahomaCity_OK</v>
      </c>
      <c r="B21" s="36" t="s">
        <v>89</v>
      </c>
      <c r="C21" s="36" t="s">
        <v>90</v>
      </c>
      <c r="D21" s="37" t="str">
        <f>VLOOKUP($C21, State!$A$2:$C332, 2, FALSE)</f>
        <v>OK</v>
      </c>
      <c r="E21" s="29">
        <v>687725.0</v>
      </c>
      <c r="F21" s="38">
        <f t="shared" si="2"/>
        <v>0.9424242424</v>
      </c>
      <c r="G21" s="38">
        <f t="shared" si="3"/>
        <v>12</v>
      </c>
      <c r="H21" s="39">
        <f>VLOOKUP($C21, State!$A$2:$C332, 3, FALSE)</f>
        <v>54449</v>
      </c>
      <c r="I21" s="40">
        <f t="shared" si="4"/>
        <v>37445938.53</v>
      </c>
    </row>
    <row r="22">
      <c r="A22" s="36" t="str">
        <f t="shared" si="1"/>
        <v>Nashville_TN</v>
      </c>
      <c r="B22" s="36" t="s">
        <v>91</v>
      </c>
      <c r="C22" s="36" t="s">
        <v>92</v>
      </c>
      <c r="D22" s="37" t="str">
        <f>VLOOKUP($C22, State!$A$2:$C332, 2, FALSE)</f>
        <v>TN</v>
      </c>
      <c r="E22" s="29">
        <v>678851.0</v>
      </c>
      <c r="F22" s="38">
        <f t="shared" si="2"/>
        <v>0.9393939394</v>
      </c>
      <c r="G22" s="38">
        <f t="shared" si="3"/>
        <v>12</v>
      </c>
      <c r="H22" s="39">
        <f>VLOOKUP($C22, State!$A$2:$C332, 3, FALSE)</f>
        <v>56071</v>
      </c>
      <c r="I22" s="40">
        <f t="shared" si="4"/>
        <v>38063854.42</v>
      </c>
    </row>
    <row r="23">
      <c r="A23" s="36" t="str">
        <f t="shared" si="1"/>
        <v>ElPaso_TX</v>
      </c>
      <c r="B23" s="36" t="s">
        <v>93</v>
      </c>
      <c r="C23" s="36" t="s">
        <v>66</v>
      </c>
      <c r="D23" s="37" t="str">
        <f>VLOOKUP($C23, State!$A$2:$C332, 2, FALSE)</f>
        <v>TX</v>
      </c>
      <c r="E23" s="29">
        <v>678415.0</v>
      </c>
      <c r="F23" s="38">
        <f t="shared" si="2"/>
        <v>0.9363636364</v>
      </c>
      <c r="G23" s="38">
        <f t="shared" si="3"/>
        <v>12</v>
      </c>
      <c r="H23" s="39">
        <f>VLOOKUP($C23, State!$A$2:$C332, 3, FALSE)</f>
        <v>64034</v>
      </c>
      <c r="I23" s="40">
        <f t="shared" si="4"/>
        <v>43441626.11</v>
      </c>
    </row>
    <row r="24">
      <c r="A24" s="36" t="str">
        <f t="shared" si="1"/>
        <v>Washington_DC</v>
      </c>
      <c r="B24" s="36" t="s">
        <v>87</v>
      </c>
      <c r="C24" s="36" t="s">
        <v>94</v>
      </c>
      <c r="D24" s="37" t="str">
        <f>VLOOKUP($C24, State!$A$2:$C332, 2, FALSE)</f>
        <v>DC</v>
      </c>
      <c r="E24" s="29">
        <v>670050.0</v>
      </c>
      <c r="F24" s="38">
        <f t="shared" si="2"/>
        <v>0.9333333333</v>
      </c>
      <c r="G24" s="38">
        <f t="shared" si="3"/>
        <v>12</v>
      </c>
      <c r="H24" s="39">
        <f>VLOOKUP($C24, State!$A$2:$C332, 3, FALSE)</f>
        <v>92266</v>
      </c>
      <c r="I24" s="40">
        <f t="shared" si="4"/>
        <v>61822833.3</v>
      </c>
    </row>
    <row r="25">
      <c r="A25" s="36" t="str">
        <f t="shared" si="1"/>
        <v>Boston_MA</v>
      </c>
      <c r="B25" s="36" t="s">
        <v>95</v>
      </c>
      <c r="C25" s="36" t="s">
        <v>96</v>
      </c>
      <c r="D25" s="37" t="str">
        <f>VLOOKUP($C25, State!$A$2:$C332, 2, FALSE)</f>
        <v>MA</v>
      </c>
      <c r="E25" s="29">
        <v>654776.0</v>
      </c>
      <c r="F25" s="38">
        <f t="shared" si="2"/>
        <v>0.9303030303</v>
      </c>
      <c r="G25" s="38">
        <f t="shared" si="3"/>
        <v>12</v>
      </c>
      <c r="H25" s="39">
        <f>VLOOKUP($C25, State!$A$2:$C332, 3, FALSE)</f>
        <v>85843</v>
      </c>
      <c r="I25" s="40">
        <f t="shared" si="4"/>
        <v>56207936.17</v>
      </c>
    </row>
    <row r="26">
      <c r="A26" s="36" t="str">
        <f t="shared" si="1"/>
        <v>LasVegas_NV</v>
      </c>
      <c r="B26" s="36" t="s">
        <v>97</v>
      </c>
      <c r="C26" s="36" t="s">
        <v>98</v>
      </c>
      <c r="D26" s="37" t="str">
        <f>VLOOKUP($C26, State!$A$2:$C332, 2, FALSE)</f>
        <v>NV</v>
      </c>
      <c r="E26" s="29">
        <v>646790.0</v>
      </c>
      <c r="F26" s="38">
        <f t="shared" si="2"/>
        <v>0.9272727273</v>
      </c>
      <c r="G26" s="38">
        <f t="shared" si="3"/>
        <v>12</v>
      </c>
      <c r="H26" s="39">
        <f>VLOOKUP($C26, State!$A$2:$C332, 3, FALSE)</f>
        <v>63276</v>
      </c>
      <c r="I26" s="40">
        <f t="shared" si="4"/>
        <v>40926284.04</v>
      </c>
    </row>
    <row r="27">
      <c r="A27" s="36" t="str">
        <f t="shared" si="1"/>
        <v>Portland_OR</v>
      </c>
      <c r="B27" s="36" t="s">
        <v>99</v>
      </c>
      <c r="C27" s="36" t="s">
        <v>100</v>
      </c>
      <c r="D27" s="37" t="str">
        <f>VLOOKUP($C27, State!$A$2:$C332, 2, FALSE)</f>
        <v>OR</v>
      </c>
      <c r="E27" s="29">
        <v>641162.0</v>
      </c>
      <c r="F27" s="38">
        <f t="shared" si="2"/>
        <v>0.9242424242</v>
      </c>
      <c r="G27" s="38">
        <f t="shared" si="3"/>
        <v>12</v>
      </c>
      <c r="H27" s="39">
        <f>VLOOKUP($C27, State!$A$2:$C332, 3, FALSE)</f>
        <v>67058</v>
      </c>
      <c r="I27" s="40">
        <f t="shared" si="4"/>
        <v>42995041.4</v>
      </c>
    </row>
    <row r="28">
      <c r="A28" s="36" t="str">
        <f t="shared" si="1"/>
        <v>Detroit_MI</v>
      </c>
      <c r="B28" s="36" t="s">
        <v>101</v>
      </c>
      <c r="C28" s="36" t="s">
        <v>102</v>
      </c>
      <c r="D28" s="37" t="str">
        <f>VLOOKUP($C28, State!$A$2:$C332, 2, FALSE)</f>
        <v>MI</v>
      </c>
      <c r="E28" s="29">
        <v>632464.0</v>
      </c>
      <c r="F28" s="38">
        <f t="shared" si="2"/>
        <v>0.9212121212</v>
      </c>
      <c r="G28" s="38">
        <f t="shared" si="3"/>
        <v>12</v>
      </c>
      <c r="H28" s="39">
        <f>VLOOKUP($C28, State!$A$2:$C332, 3, FALSE)</f>
        <v>59584</v>
      </c>
      <c r="I28" s="40">
        <f t="shared" si="4"/>
        <v>37684734.98</v>
      </c>
    </row>
    <row r="29">
      <c r="A29" s="36" t="str">
        <f t="shared" si="1"/>
        <v>Louisville_KY</v>
      </c>
      <c r="B29" s="36" t="s">
        <v>103</v>
      </c>
      <c r="C29" s="36" t="s">
        <v>104</v>
      </c>
      <c r="D29" s="37" t="str">
        <f>VLOOKUP($C29, State!$A$2:$C332, 2, FALSE)</f>
        <v>KY</v>
      </c>
      <c r="E29" s="29">
        <v>628594.0</v>
      </c>
      <c r="F29" s="38">
        <f t="shared" si="2"/>
        <v>0.9181818182</v>
      </c>
      <c r="G29" s="38">
        <f t="shared" si="3"/>
        <v>12</v>
      </c>
      <c r="H29" s="39">
        <f>VLOOKUP($C29, State!$A$2:$C332, 3, FALSE)</f>
        <v>52295</v>
      </c>
      <c r="I29" s="40">
        <f t="shared" si="4"/>
        <v>32872323.23</v>
      </c>
    </row>
    <row r="30">
      <c r="A30" s="36" t="str">
        <f t="shared" si="1"/>
        <v>Memphis_TN</v>
      </c>
      <c r="B30" s="36" t="s">
        <v>105</v>
      </c>
      <c r="C30" s="36" t="s">
        <v>92</v>
      </c>
      <c r="D30" s="37" t="str">
        <f>VLOOKUP($C30, State!$A$2:$C332, 2, FALSE)</f>
        <v>TN</v>
      </c>
      <c r="E30" s="29">
        <v>628127.0</v>
      </c>
      <c r="F30" s="38">
        <f t="shared" si="2"/>
        <v>0.9151515152</v>
      </c>
      <c r="G30" s="38">
        <f t="shared" si="3"/>
        <v>12</v>
      </c>
      <c r="H30" s="39">
        <f>VLOOKUP($C30, State!$A$2:$C332, 3, FALSE)</f>
        <v>56071</v>
      </c>
      <c r="I30" s="40">
        <f t="shared" si="4"/>
        <v>35219709.02</v>
      </c>
    </row>
    <row r="31">
      <c r="A31" s="36" t="str">
        <f t="shared" si="1"/>
        <v>Baltimore_MY</v>
      </c>
      <c r="B31" s="36" t="s">
        <v>106</v>
      </c>
      <c r="C31" s="36" t="s">
        <v>107</v>
      </c>
      <c r="D31" s="37" t="str">
        <f>VLOOKUP($C31, State!$A$2:$C332, 2, FALSE)</f>
        <v>MY</v>
      </c>
      <c r="E31" s="29">
        <v>576498.0</v>
      </c>
      <c r="F31" s="38">
        <f t="shared" si="2"/>
        <v>0.9121212121</v>
      </c>
      <c r="G31" s="38">
        <f t="shared" si="3"/>
        <v>12</v>
      </c>
      <c r="H31" s="39">
        <f>VLOOKUP($C31, State!$A$2:$C332, 3, FALSE)</f>
        <v>86738</v>
      </c>
      <c r="I31" s="40">
        <f t="shared" si="4"/>
        <v>50004283.52</v>
      </c>
    </row>
    <row r="32">
      <c r="A32" s="36" t="str">
        <f t="shared" si="1"/>
        <v>Milwaukee_WI</v>
      </c>
      <c r="B32" s="36" t="s">
        <v>108</v>
      </c>
      <c r="C32" s="36" t="s">
        <v>109</v>
      </c>
      <c r="D32" s="37" t="str">
        <f>VLOOKUP($C32, State!$A$2:$C332, 2, FALSE)</f>
        <v>WI</v>
      </c>
      <c r="E32" s="29">
        <v>569330.0</v>
      </c>
      <c r="F32" s="38">
        <f t="shared" si="2"/>
        <v>0.9090909091</v>
      </c>
      <c r="G32" s="38">
        <f t="shared" si="3"/>
        <v>11</v>
      </c>
      <c r="H32" s="39">
        <f>VLOOKUP($C32, State!$A$2:$C332, 3, FALSE)</f>
        <v>64168</v>
      </c>
      <c r="I32" s="40">
        <f t="shared" si="4"/>
        <v>36532767.44</v>
      </c>
    </row>
    <row r="33">
      <c r="A33" s="36" t="str">
        <f t="shared" si="1"/>
        <v>Albuquerque_NM</v>
      </c>
      <c r="B33" s="36" t="s">
        <v>110</v>
      </c>
      <c r="C33" s="36" t="s">
        <v>111</v>
      </c>
      <c r="D33" s="37" t="str">
        <f>VLOOKUP($C33, State!$A$2:$C332, 2, FALSE)</f>
        <v>NM</v>
      </c>
      <c r="E33" s="29">
        <v>562599.0</v>
      </c>
      <c r="F33" s="38">
        <f t="shared" si="2"/>
        <v>0.9060606061</v>
      </c>
      <c r="G33" s="38">
        <f t="shared" si="3"/>
        <v>11</v>
      </c>
      <c r="H33" s="39">
        <f>VLOOKUP($C33, State!$A$2:$C332, 3, FALSE)</f>
        <v>51945</v>
      </c>
      <c r="I33" s="40">
        <f t="shared" si="4"/>
        <v>29224205.06</v>
      </c>
    </row>
    <row r="34">
      <c r="A34" s="36" t="str">
        <f t="shared" si="1"/>
        <v>Fresno_CA</v>
      </c>
      <c r="B34" s="36" t="s">
        <v>112</v>
      </c>
      <c r="C34" s="36" t="s">
        <v>62</v>
      </c>
      <c r="D34" s="37" t="str">
        <f>VLOOKUP($C34, State!$A$2:$C332, 2, FALSE)</f>
        <v>CA</v>
      </c>
      <c r="E34" s="29">
        <v>544510.0</v>
      </c>
      <c r="F34" s="38">
        <f t="shared" si="2"/>
        <v>0.903030303</v>
      </c>
      <c r="G34" s="38">
        <f t="shared" si="3"/>
        <v>11</v>
      </c>
      <c r="H34" s="39">
        <f>VLOOKUP($C34, State!$A$2:$C332, 3, FALSE)</f>
        <v>80440</v>
      </c>
      <c r="I34" s="40">
        <f t="shared" si="4"/>
        <v>43800384.4</v>
      </c>
    </row>
    <row r="35">
      <c r="A35" s="36" t="str">
        <f t="shared" si="1"/>
        <v>Tucson_AZ</v>
      </c>
      <c r="B35" s="36" t="s">
        <v>113</v>
      </c>
      <c r="C35" s="36" t="s">
        <v>68</v>
      </c>
      <c r="D35" s="37" t="str">
        <f>VLOOKUP($C35, State!$A$2:$C332, 2, FALSE)</f>
        <v>AZ</v>
      </c>
      <c r="E35" s="29">
        <v>543242.0</v>
      </c>
      <c r="F35" s="38">
        <f t="shared" si="2"/>
        <v>0.9</v>
      </c>
      <c r="G35" s="38">
        <f t="shared" si="3"/>
        <v>11</v>
      </c>
      <c r="H35" s="39">
        <f>VLOOKUP($C35, State!$A$2:$C332, 3, FALSE)</f>
        <v>62055</v>
      </c>
      <c r="I35" s="40">
        <f t="shared" si="4"/>
        <v>33710882.31</v>
      </c>
    </row>
    <row r="36">
      <c r="A36" s="36" t="str">
        <f t="shared" si="1"/>
        <v>Sacramento_CA</v>
      </c>
      <c r="B36" s="36" t="s">
        <v>114</v>
      </c>
      <c r="C36" s="36" t="s">
        <v>62</v>
      </c>
      <c r="D36" s="37" t="str">
        <f>VLOOKUP($C36, State!$A$2:$C332, 2, FALSE)</f>
        <v>CA</v>
      </c>
      <c r="E36" s="29">
        <v>525041.0</v>
      </c>
      <c r="F36" s="38">
        <f t="shared" si="2"/>
        <v>0.896969697</v>
      </c>
      <c r="G36" s="38">
        <f t="shared" si="3"/>
        <v>11</v>
      </c>
      <c r="H36" s="39">
        <f>VLOOKUP($C36, State!$A$2:$C332, 3, FALSE)</f>
        <v>80440</v>
      </c>
      <c r="I36" s="40">
        <f t="shared" si="4"/>
        <v>42234298.04</v>
      </c>
    </row>
    <row r="37">
      <c r="A37" s="36" t="str">
        <f t="shared" si="1"/>
        <v>Mesa_AZ</v>
      </c>
      <c r="B37" s="36" t="s">
        <v>115</v>
      </c>
      <c r="C37" s="36" t="s">
        <v>68</v>
      </c>
      <c r="D37" s="37" t="str">
        <f>VLOOKUP($C37, State!$A$2:$C332, 2, FALSE)</f>
        <v>AZ</v>
      </c>
      <c r="E37" s="29">
        <v>509475.0</v>
      </c>
      <c r="F37" s="38">
        <f t="shared" si="2"/>
        <v>0.8939393939</v>
      </c>
      <c r="G37" s="38">
        <f t="shared" si="3"/>
        <v>11</v>
      </c>
      <c r="H37" s="39">
        <f>VLOOKUP($C37, State!$A$2:$C332, 3, FALSE)</f>
        <v>62055</v>
      </c>
      <c r="I37" s="40">
        <f t="shared" si="4"/>
        <v>31615471.13</v>
      </c>
    </row>
    <row r="38">
      <c r="A38" s="36" t="str">
        <f t="shared" si="1"/>
        <v>KansasCity_MO</v>
      </c>
      <c r="B38" s="36" t="s">
        <v>116</v>
      </c>
      <c r="C38" s="36" t="s">
        <v>117</v>
      </c>
      <c r="D38" s="37" t="str">
        <f>VLOOKUP($C38, State!$A$2:$C332, 2, FALSE)</f>
        <v>MO</v>
      </c>
      <c r="E38" s="29">
        <v>508394.0</v>
      </c>
      <c r="F38" s="38">
        <f t="shared" si="2"/>
        <v>0.8909090909</v>
      </c>
      <c r="G38" s="38">
        <f t="shared" si="3"/>
        <v>11</v>
      </c>
      <c r="H38" s="39">
        <f>VLOOKUP($C38, State!$A$2:$C332, 3, FALSE)</f>
        <v>57409</v>
      </c>
      <c r="I38" s="40">
        <f t="shared" si="4"/>
        <v>29186391.15</v>
      </c>
    </row>
    <row r="39">
      <c r="A39" s="36" t="str">
        <f t="shared" si="1"/>
        <v>Atlanta_GA</v>
      </c>
      <c r="B39" s="36" t="s">
        <v>118</v>
      </c>
      <c r="C39" s="36" t="s">
        <v>119</v>
      </c>
      <c r="D39" s="37" t="str">
        <f>VLOOKUP($C39, State!$A$2:$C332, 2, FALSE)</f>
        <v>GA</v>
      </c>
      <c r="E39" s="29">
        <v>496461.0</v>
      </c>
      <c r="F39" s="38">
        <f t="shared" si="2"/>
        <v>0.8878787879</v>
      </c>
      <c r="G39" s="38">
        <f t="shared" si="3"/>
        <v>11</v>
      </c>
      <c r="H39" s="39">
        <f>VLOOKUP($C39, State!$A$2:$C332, 3, FALSE)</f>
        <v>61980</v>
      </c>
      <c r="I39" s="40">
        <f t="shared" si="4"/>
        <v>30770652.78</v>
      </c>
    </row>
    <row r="40">
      <c r="A40" s="36" t="str">
        <f t="shared" si="1"/>
        <v>Omaha_NE</v>
      </c>
      <c r="B40" s="36" t="s">
        <v>120</v>
      </c>
      <c r="C40" s="36" t="s">
        <v>121</v>
      </c>
      <c r="D40" s="37" t="str">
        <f>VLOOKUP($C40, State!$A$2:$C332, 2, FALSE)</f>
        <v>NE</v>
      </c>
      <c r="E40" s="29">
        <v>487300.0</v>
      </c>
      <c r="F40" s="38">
        <f t="shared" si="2"/>
        <v>0.8848484848</v>
      </c>
      <c r="G40" s="38">
        <f t="shared" si="3"/>
        <v>11</v>
      </c>
      <c r="H40" s="39">
        <f>VLOOKUP($C40, State!$A$2:$C332, 3, FALSE)</f>
        <v>63229</v>
      </c>
      <c r="I40" s="40">
        <f t="shared" si="4"/>
        <v>30811491.7</v>
      </c>
    </row>
    <row r="41">
      <c r="A41" s="36" t="str">
        <f t="shared" si="1"/>
        <v>ColoradoSprings_CO</v>
      </c>
      <c r="B41" s="36" t="s">
        <v>122</v>
      </c>
      <c r="C41" s="36" t="s">
        <v>88</v>
      </c>
      <c r="D41" s="37" t="str">
        <f>VLOOKUP($C41, State!$A$2:$C332, 2, FALSE)</f>
        <v>CO</v>
      </c>
      <c r="E41" s="29">
        <v>483956.0</v>
      </c>
      <c r="F41" s="38">
        <f t="shared" si="2"/>
        <v>0.8818181818</v>
      </c>
      <c r="G41" s="38">
        <f t="shared" si="3"/>
        <v>11</v>
      </c>
      <c r="H41" s="39">
        <f>VLOOKUP($C41, State!$A$2:$C332, 3, FALSE)</f>
        <v>77127</v>
      </c>
      <c r="I41" s="40">
        <f t="shared" si="4"/>
        <v>37326074.41</v>
      </c>
    </row>
    <row r="42">
      <c r="A42" s="36" t="str">
        <f t="shared" si="1"/>
        <v>Raleigh_NC</v>
      </c>
      <c r="B42" s="36" t="s">
        <v>123</v>
      </c>
      <c r="C42" s="36" t="s">
        <v>84</v>
      </c>
      <c r="D42" s="37" t="str">
        <f>VLOOKUP($C42, State!$A$2:$C332, 2, FALSE)</f>
        <v>NC</v>
      </c>
      <c r="E42" s="29">
        <v>469124.0</v>
      </c>
      <c r="F42" s="38">
        <f t="shared" si="2"/>
        <v>0.8787878788</v>
      </c>
      <c r="G42" s="38">
        <f t="shared" si="3"/>
        <v>11</v>
      </c>
      <c r="H42" s="39">
        <f>VLOOKUP($C42, State!$A$2:$C332, 3, FALSE)</f>
        <v>57341</v>
      </c>
      <c r="I42" s="40">
        <f t="shared" si="4"/>
        <v>26900039.28</v>
      </c>
    </row>
    <row r="43">
      <c r="A43" s="36" t="str">
        <f t="shared" si="1"/>
        <v>VirginiaBeach_VA</v>
      </c>
      <c r="B43" s="36" t="s">
        <v>124</v>
      </c>
      <c r="C43" s="36" t="s">
        <v>125</v>
      </c>
      <c r="D43" s="37" t="str">
        <f>VLOOKUP($C43, State!$A$2:$C332, 2, FALSE)</f>
        <v>VA</v>
      </c>
      <c r="E43" s="29">
        <v>457672.0</v>
      </c>
      <c r="F43" s="38">
        <f t="shared" si="2"/>
        <v>0.8757575758</v>
      </c>
      <c r="G43" s="38">
        <f t="shared" si="3"/>
        <v>11</v>
      </c>
      <c r="H43" s="39">
        <f>VLOOKUP($C43, State!$A$2:$C332, 3, FALSE)</f>
        <v>76456</v>
      </c>
      <c r="I43" s="40">
        <f t="shared" si="4"/>
        <v>34991770.43</v>
      </c>
    </row>
    <row r="44">
      <c r="A44" s="36" t="str">
        <f t="shared" si="1"/>
        <v>LongBeach_CA</v>
      </c>
      <c r="B44" s="36" t="s">
        <v>126</v>
      </c>
      <c r="C44" s="36" t="s">
        <v>62</v>
      </c>
      <c r="D44" s="37" t="str">
        <f>VLOOKUP($C44, State!$A$2:$C332, 2, FALSE)</f>
        <v>CA</v>
      </c>
      <c r="E44" s="29">
        <v>456062.0</v>
      </c>
      <c r="F44" s="38">
        <f t="shared" si="2"/>
        <v>0.8727272727</v>
      </c>
      <c r="G44" s="38">
        <f t="shared" si="3"/>
        <v>11</v>
      </c>
      <c r="H44" s="39">
        <f>VLOOKUP($C44, State!$A$2:$C332, 3, FALSE)</f>
        <v>80440</v>
      </c>
      <c r="I44" s="40">
        <f t="shared" si="4"/>
        <v>36685627.28</v>
      </c>
    </row>
    <row r="45">
      <c r="A45" s="36" t="str">
        <f t="shared" si="1"/>
        <v>Miami_FL</v>
      </c>
      <c r="B45" s="36" t="s">
        <v>127</v>
      </c>
      <c r="C45" s="36" t="s">
        <v>77</v>
      </c>
      <c r="D45" s="37" t="str">
        <f>VLOOKUP($C45, State!$A$2:$C332, 2, FALSE)</f>
        <v>FL</v>
      </c>
      <c r="E45" s="29">
        <v>439890.0</v>
      </c>
      <c r="F45" s="38">
        <f t="shared" si="2"/>
        <v>0.8696969697</v>
      </c>
      <c r="G45" s="38">
        <f t="shared" si="3"/>
        <v>11</v>
      </c>
      <c r="H45" s="39">
        <f>VLOOKUP($C45, State!$A$2:$C332, 3, FALSE)</f>
        <v>59227</v>
      </c>
      <c r="I45" s="40">
        <f t="shared" si="4"/>
        <v>26053365.03</v>
      </c>
    </row>
    <row r="46">
      <c r="A46" s="36" t="str">
        <f t="shared" si="1"/>
        <v>Oakland_CA</v>
      </c>
      <c r="B46" s="36" t="s">
        <v>128</v>
      </c>
      <c r="C46" s="36" t="s">
        <v>62</v>
      </c>
      <c r="D46" s="37" t="str">
        <f>VLOOKUP($C46, State!$A$2:$C332, 2, FALSE)</f>
        <v>CA</v>
      </c>
      <c r="E46" s="29">
        <v>433823.0</v>
      </c>
      <c r="F46" s="38">
        <f t="shared" si="2"/>
        <v>0.8666666667</v>
      </c>
      <c r="G46" s="38">
        <f t="shared" si="3"/>
        <v>11</v>
      </c>
      <c r="H46" s="39">
        <f>VLOOKUP($C46, State!$A$2:$C332, 3, FALSE)</f>
        <v>80440</v>
      </c>
      <c r="I46" s="40">
        <f t="shared" si="4"/>
        <v>34896722.12</v>
      </c>
    </row>
    <row r="47">
      <c r="A47" s="36" t="str">
        <f t="shared" si="1"/>
        <v>Minneapolis_MN</v>
      </c>
      <c r="B47" s="36" t="s">
        <v>129</v>
      </c>
      <c r="C47" s="36" t="s">
        <v>130</v>
      </c>
      <c r="D47" s="37" t="str">
        <f>VLOOKUP($C47, State!$A$2:$C332, 2, FALSE)</f>
        <v>MN</v>
      </c>
      <c r="E47" s="29">
        <v>425336.0</v>
      </c>
      <c r="F47" s="38">
        <f t="shared" si="2"/>
        <v>0.8636363636</v>
      </c>
      <c r="G47" s="38">
        <f t="shared" si="3"/>
        <v>11</v>
      </c>
      <c r="H47" s="39">
        <f>VLOOKUP($C47, State!$A$2:$C332, 3, FALSE)</f>
        <v>74593</v>
      </c>
      <c r="I47" s="40">
        <f t="shared" si="4"/>
        <v>31727088.25</v>
      </c>
    </row>
    <row r="48">
      <c r="A48" s="36" t="str">
        <f t="shared" si="1"/>
        <v>Tulsa_OK</v>
      </c>
      <c r="B48" s="36" t="s">
        <v>131</v>
      </c>
      <c r="C48" s="36" t="s">
        <v>90</v>
      </c>
      <c r="D48" s="37" t="str">
        <f>VLOOKUP($C48, State!$A$2:$C332, 2, FALSE)</f>
        <v>OK</v>
      </c>
      <c r="E48" s="29">
        <v>411401.0</v>
      </c>
      <c r="F48" s="38">
        <f t="shared" si="2"/>
        <v>0.8606060606</v>
      </c>
      <c r="G48" s="38">
        <f t="shared" si="3"/>
        <v>11</v>
      </c>
      <c r="H48" s="39">
        <f>VLOOKUP($C48, State!$A$2:$C332, 3, FALSE)</f>
        <v>54449</v>
      </c>
      <c r="I48" s="40">
        <f t="shared" si="4"/>
        <v>22400373.05</v>
      </c>
    </row>
    <row r="49">
      <c r="A49" s="36" t="str">
        <f t="shared" si="1"/>
        <v>Bakersfield_CA</v>
      </c>
      <c r="B49" s="36" t="s">
        <v>132</v>
      </c>
      <c r="C49" s="36" t="s">
        <v>62</v>
      </c>
      <c r="D49" s="37" t="str">
        <f>VLOOKUP($C49, State!$A$2:$C332, 2, FALSE)</f>
        <v>CA</v>
      </c>
      <c r="E49" s="29">
        <v>407615.0</v>
      </c>
      <c r="F49" s="38">
        <f t="shared" si="2"/>
        <v>0.8575757576</v>
      </c>
      <c r="G49" s="38">
        <f t="shared" si="3"/>
        <v>11</v>
      </c>
      <c r="H49" s="39">
        <f>VLOOKUP($C49, State!$A$2:$C332, 3, FALSE)</f>
        <v>80440</v>
      </c>
      <c r="I49" s="40">
        <f t="shared" si="4"/>
        <v>32788550.6</v>
      </c>
    </row>
    <row r="50">
      <c r="A50" s="36" t="str">
        <f t="shared" si="1"/>
        <v>Wichita_KA</v>
      </c>
      <c r="B50" s="36" t="s">
        <v>133</v>
      </c>
      <c r="C50" s="36" t="s">
        <v>134</v>
      </c>
      <c r="D50" s="37" t="str">
        <f>VLOOKUP($C50, State!$A$2:$C332, 2, FALSE)</f>
        <v>KA</v>
      </c>
      <c r="E50" s="29">
        <v>395699.0</v>
      </c>
      <c r="F50" s="38">
        <f t="shared" si="2"/>
        <v>0.8545454545</v>
      </c>
      <c r="G50" s="38">
        <f t="shared" si="3"/>
        <v>11</v>
      </c>
      <c r="H50" s="39">
        <f>VLOOKUP($C50, State!$A$2:$C332, 3, FALSE)</f>
        <v>62087</v>
      </c>
      <c r="I50" s="40">
        <f t="shared" si="4"/>
        <v>24567763.81</v>
      </c>
    </row>
    <row r="51">
      <c r="A51" s="36" t="str">
        <f t="shared" si="1"/>
        <v>Arlington_TX</v>
      </c>
      <c r="B51" s="36" t="s">
        <v>135</v>
      </c>
      <c r="C51" s="36" t="s">
        <v>66</v>
      </c>
      <c r="D51" s="37" t="str">
        <f>VLOOKUP($C51, State!$A$2:$C332, 2, FALSE)</f>
        <v>TX</v>
      </c>
      <c r="E51" s="29">
        <v>392786.0</v>
      </c>
      <c r="F51" s="38">
        <f t="shared" si="2"/>
        <v>0.8515151515</v>
      </c>
      <c r="G51" s="38">
        <f t="shared" si="3"/>
        <v>11</v>
      </c>
      <c r="H51" s="39">
        <f>VLOOKUP($C51, State!$A$2:$C332, 3, FALSE)</f>
        <v>64034</v>
      </c>
      <c r="I51" s="40">
        <f t="shared" si="4"/>
        <v>25151658.72</v>
      </c>
    </row>
    <row r="52">
      <c r="A52" s="36" t="str">
        <f t="shared" si="1"/>
        <v>Aurora_CO</v>
      </c>
      <c r="B52" s="36" t="s">
        <v>136</v>
      </c>
      <c r="C52" s="36" t="s">
        <v>88</v>
      </c>
      <c r="D52" s="37" t="str">
        <f>VLOOKUP($C52, State!$A$2:$C332, 2, FALSE)</f>
        <v>CO</v>
      </c>
      <c r="E52" s="29">
        <v>389347.0</v>
      </c>
      <c r="F52" s="38">
        <f t="shared" si="2"/>
        <v>0.8484848485</v>
      </c>
      <c r="G52" s="38">
        <f t="shared" si="3"/>
        <v>11</v>
      </c>
      <c r="H52" s="39">
        <f>VLOOKUP($C52, State!$A$2:$C332, 3, FALSE)</f>
        <v>77127</v>
      </c>
      <c r="I52" s="40">
        <f t="shared" si="4"/>
        <v>30029166.07</v>
      </c>
    </row>
    <row r="53">
      <c r="A53" s="36" t="str">
        <f t="shared" si="1"/>
        <v>Tampa_FL</v>
      </c>
      <c r="B53" s="36" t="s">
        <v>137</v>
      </c>
      <c r="C53" s="36" t="s">
        <v>77</v>
      </c>
      <c r="D53" s="37" t="str">
        <f>VLOOKUP($C53, State!$A$2:$C332, 2, FALSE)</f>
        <v>FL</v>
      </c>
      <c r="E53" s="29">
        <v>387050.0</v>
      </c>
      <c r="F53" s="38">
        <f t="shared" si="2"/>
        <v>0.8454545455</v>
      </c>
      <c r="G53" s="38">
        <f t="shared" si="3"/>
        <v>11</v>
      </c>
      <c r="H53" s="39">
        <f>VLOOKUP($C53, State!$A$2:$C332, 3, FALSE)</f>
        <v>59227</v>
      </c>
      <c r="I53" s="40">
        <f t="shared" si="4"/>
        <v>22923810.35</v>
      </c>
    </row>
    <row r="54">
      <c r="A54" s="36" t="str">
        <f t="shared" si="1"/>
        <v>NewOrleans_LA</v>
      </c>
      <c r="B54" s="36" t="s">
        <v>138</v>
      </c>
      <c r="C54" s="36" t="s">
        <v>139</v>
      </c>
      <c r="D54" s="37" t="str">
        <f>VLOOKUP($C54, State!$A$2:$C332, 2, FALSE)</f>
        <v>LA</v>
      </c>
      <c r="E54" s="29">
        <v>376971.0</v>
      </c>
      <c r="F54" s="38">
        <f t="shared" si="2"/>
        <v>0.8424242424</v>
      </c>
      <c r="G54" s="38">
        <f t="shared" si="3"/>
        <v>11</v>
      </c>
      <c r="H54" s="39">
        <f>VLOOKUP($C54, State!$A$2:$C332, 3, FALSE)</f>
        <v>51073</v>
      </c>
      <c r="I54" s="40">
        <f t="shared" si="4"/>
        <v>19253039.88</v>
      </c>
    </row>
    <row r="55">
      <c r="A55" s="36" t="str">
        <f t="shared" si="1"/>
        <v>Cleveland_OH</v>
      </c>
      <c r="B55" s="36" t="s">
        <v>140</v>
      </c>
      <c r="C55" s="36" t="s">
        <v>80</v>
      </c>
      <c r="D55" s="37" t="str">
        <f>VLOOKUP($C55, State!$A$2:$C332, 2, FALSE)</f>
        <v>OH</v>
      </c>
      <c r="E55" s="29">
        <v>367991.0</v>
      </c>
      <c r="F55" s="38">
        <f t="shared" si="2"/>
        <v>0.8393939394</v>
      </c>
      <c r="G55" s="38">
        <f t="shared" si="3"/>
        <v>11</v>
      </c>
      <c r="H55" s="39">
        <f>VLOOKUP($C55, State!$A$2:$C332, 3, FALSE)</f>
        <v>58642</v>
      </c>
      <c r="I55" s="40">
        <f t="shared" si="4"/>
        <v>21579728.22</v>
      </c>
    </row>
    <row r="56">
      <c r="A56" s="36" t="str">
        <f t="shared" si="1"/>
        <v>Anaheim_CA</v>
      </c>
      <c r="B56" s="36" t="s">
        <v>141</v>
      </c>
      <c r="C56" s="36" t="s">
        <v>62</v>
      </c>
      <c r="D56" s="37" t="str">
        <f>VLOOKUP($C56, State!$A$2:$C332, 2, FALSE)</f>
        <v>CA</v>
      </c>
      <c r="E56" s="29">
        <v>345940.0</v>
      </c>
      <c r="F56" s="38">
        <f t="shared" si="2"/>
        <v>0.8363636364</v>
      </c>
      <c r="G56" s="38">
        <f t="shared" si="3"/>
        <v>11</v>
      </c>
      <c r="H56" s="39">
        <f>VLOOKUP($C56, State!$A$2:$C332, 3, FALSE)</f>
        <v>80440</v>
      </c>
      <c r="I56" s="40">
        <f t="shared" si="4"/>
        <v>27827413.6</v>
      </c>
    </row>
    <row r="57">
      <c r="A57" s="36" t="str">
        <f t="shared" si="1"/>
        <v>Honolulu_HI</v>
      </c>
      <c r="B57" s="36" t="s">
        <v>142</v>
      </c>
      <c r="C57" s="36" t="s">
        <v>143</v>
      </c>
      <c r="D57" s="37" t="str">
        <f>VLOOKUP($C57, State!$A$2:$C332, 2, FALSE)</f>
        <v>HI</v>
      </c>
      <c r="E57" s="29">
        <v>345510.0</v>
      </c>
      <c r="F57" s="38">
        <f t="shared" si="2"/>
        <v>0.8333333333</v>
      </c>
      <c r="G57" s="38">
        <f t="shared" si="3"/>
        <v>11</v>
      </c>
      <c r="H57" s="39">
        <f>VLOOKUP($C57, State!$A$2:$C332, 3, FALSE)</f>
        <v>83102</v>
      </c>
      <c r="I57" s="40">
        <f t="shared" si="4"/>
        <v>28712572.02</v>
      </c>
    </row>
    <row r="58">
      <c r="A58" s="36" t="str">
        <f t="shared" si="1"/>
        <v>Henderson_NV</v>
      </c>
      <c r="B58" s="36" t="s">
        <v>144</v>
      </c>
      <c r="C58" s="36" t="s">
        <v>98</v>
      </c>
      <c r="D58" s="37" t="str">
        <f>VLOOKUP($C58, State!$A$2:$C332, 2, FALSE)</f>
        <v>NV</v>
      </c>
      <c r="E58" s="29">
        <v>322178.0</v>
      </c>
      <c r="F58" s="38">
        <f t="shared" si="2"/>
        <v>0.8303030303</v>
      </c>
      <c r="G58" s="38">
        <f t="shared" si="3"/>
        <v>11</v>
      </c>
      <c r="H58" s="39">
        <f>VLOOKUP($C58, State!$A$2:$C332, 3, FALSE)</f>
        <v>63276</v>
      </c>
      <c r="I58" s="40">
        <f t="shared" si="4"/>
        <v>20386135.13</v>
      </c>
    </row>
    <row r="59">
      <c r="A59" s="36" t="str">
        <f t="shared" si="1"/>
        <v>Stockton_CA</v>
      </c>
      <c r="B59" s="36" t="s">
        <v>145</v>
      </c>
      <c r="C59" s="36" t="s">
        <v>62</v>
      </c>
      <c r="D59" s="37" t="str">
        <f>VLOOKUP($C59, State!$A$2:$C332, 2, FALSE)</f>
        <v>CA</v>
      </c>
      <c r="E59" s="29">
        <v>322120.0</v>
      </c>
      <c r="F59" s="38">
        <f t="shared" si="2"/>
        <v>0.8272727273</v>
      </c>
      <c r="G59" s="38">
        <f t="shared" si="3"/>
        <v>11</v>
      </c>
      <c r="H59" s="39">
        <f>VLOOKUP($C59, State!$A$2:$C332, 3, FALSE)</f>
        <v>80440</v>
      </c>
      <c r="I59" s="40">
        <f t="shared" si="4"/>
        <v>25911332.8</v>
      </c>
    </row>
    <row r="60">
      <c r="A60" s="36" t="str">
        <f t="shared" si="1"/>
        <v>Lexington_KY</v>
      </c>
      <c r="B60" s="36" t="s">
        <v>146</v>
      </c>
      <c r="C60" s="36" t="s">
        <v>104</v>
      </c>
      <c r="D60" s="37" t="str">
        <f>VLOOKUP($C60, State!$A$2:$C332, 2, FALSE)</f>
        <v>KY</v>
      </c>
      <c r="E60" s="29">
        <v>321793.0</v>
      </c>
      <c r="F60" s="38">
        <f t="shared" si="2"/>
        <v>0.8242424242</v>
      </c>
      <c r="G60" s="38">
        <f t="shared" si="3"/>
        <v>11</v>
      </c>
      <c r="H60" s="39">
        <f>VLOOKUP($C60, State!$A$2:$C332, 3, FALSE)</f>
        <v>52295</v>
      </c>
      <c r="I60" s="40">
        <f t="shared" si="4"/>
        <v>16828164.94</v>
      </c>
    </row>
    <row r="61">
      <c r="A61" s="36" t="str">
        <f t="shared" si="1"/>
        <v>CorpusChristi_TX</v>
      </c>
      <c r="B61" s="36" t="s">
        <v>147</v>
      </c>
      <c r="C61" s="36" t="s">
        <v>66</v>
      </c>
      <c r="D61" s="37" t="str">
        <f>VLOOKUP($C61, State!$A$2:$C332, 2, FALSE)</f>
        <v>TX</v>
      </c>
      <c r="E61" s="29">
        <v>317773.0</v>
      </c>
      <c r="F61" s="38">
        <f t="shared" si="2"/>
        <v>0.8212121212</v>
      </c>
      <c r="G61" s="38">
        <f t="shared" si="3"/>
        <v>11</v>
      </c>
      <c r="H61" s="39">
        <f>VLOOKUP($C61, State!$A$2:$C332, 3, FALSE)</f>
        <v>64034</v>
      </c>
      <c r="I61" s="40">
        <f t="shared" si="4"/>
        <v>20348276.28</v>
      </c>
    </row>
    <row r="62">
      <c r="A62" s="36" t="str">
        <f t="shared" si="1"/>
        <v>Riverside_CA</v>
      </c>
      <c r="B62" s="36" t="s">
        <v>148</v>
      </c>
      <c r="C62" s="36" t="s">
        <v>62</v>
      </c>
      <c r="D62" s="37" t="str">
        <f>VLOOKUP($C62, State!$A$2:$C332, 2, FALSE)</f>
        <v>CA</v>
      </c>
      <c r="E62" s="29">
        <v>317261.0</v>
      </c>
      <c r="F62" s="38">
        <f t="shared" si="2"/>
        <v>0.8181818182</v>
      </c>
      <c r="G62" s="38">
        <f t="shared" si="3"/>
        <v>10</v>
      </c>
      <c r="H62" s="39">
        <f>VLOOKUP($C62, State!$A$2:$C332, 3, FALSE)</f>
        <v>80440</v>
      </c>
      <c r="I62" s="40">
        <f t="shared" si="4"/>
        <v>25520474.84</v>
      </c>
    </row>
    <row r="63">
      <c r="A63" s="36" t="str">
        <f t="shared" si="1"/>
        <v>SantaAna_CA</v>
      </c>
      <c r="B63" s="36" t="s">
        <v>149</v>
      </c>
      <c r="C63" s="36" t="s">
        <v>62</v>
      </c>
      <c r="D63" s="37" t="str">
        <f>VLOOKUP($C63, State!$A$2:$C332, 2, FALSE)</f>
        <v>CA</v>
      </c>
      <c r="E63" s="29">
        <v>309441.0</v>
      </c>
      <c r="F63" s="38">
        <f t="shared" si="2"/>
        <v>0.8151515152</v>
      </c>
      <c r="G63" s="38">
        <f t="shared" si="3"/>
        <v>10</v>
      </c>
      <c r="H63" s="39">
        <f>VLOOKUP($C63, State!$A$2:$C332, 3, FALSE)</f>
        <v>80440</v>
      </c>
      <c r="I63" s="40">
        <f t="shared" si="4"/>
        <v>24891434.04</v>
      </c>
    </row>
    <row r="64">
      <c r="A64" s="36" t="str">
        <f t="shared" si="1"/>
        <v>Orlando_FL</v>
      </c>
      <c r="B64" s="36" t="s">
        <v>150</v>
      </c>
      <c r="C64" s="36" t="s">
        <v>77</v>
      </c>
      <c r="D64" s="37" t="str">
        <f>VLOOKUP($C64, State!$A$2:$C332, 2, FALSE)</f>
        <v>FL</v>
      </c>
      <c r="E64" s="29">
        <v>309154.0</v>
      </c>
      <c r="F64" s="38">
        <f t="shared" si="2"/>
        <v>0.8121212121</v>
      </c>
      <c r="G64" s="38">
        <f t="shared" si="3"/>
        <v>10</v>
      </c>
      <c r="H64" s="39">
        <f>VLOOKUP($C64, State!$A$2:$C332, 3, FALSE)</f>
        <v>59227</v>
      </c>
      <c r="I64" s="40">
        <f t="shared" si="4"/>
        <v>18310263.96</v>
      </c>
    </row>
    <row r="65">
      <c r="A65" s="36" t="str">
        <f t="shared" si="1"/>
        <v>Irvine_CA</v>
      </c>
      <c r="B65" s="36" t="s">
        <v>151</v>
      </c>
      <c r="C65" s="36" t="s">
        <v>62</v>
      </c>
      <c r="D65" s="37" t="str">
        <f>VLOOKUP($C65, State!$A$2:$C332, 2, FALSE)</f>
        <v>CA</v>
      </c>
      <c r="E65" s="29">
        <v>309031.0</v>
      </c>
      <c r="F65" s="38">
        <f t="shared" si="2"/>
        <v>0.8090909091</v>
      </c>
      <c r="G65" s="38">
        <f t="shared" si="3"/>
        <v>10</v>
      </c>
      <c r="H65" s="39">
        <f>VLOOKUP($C65, State!$A$2:$C332, 3, FALSE)</f>
        <v>80440</v>
      </c>
      <c r="I65" s="40">
        <f t="shared" si="4"/>
        <v>24858453.64</v>
      </c>
    </row>
    <row r="66">
      <c r="A66" s="36" t="str">
        <f t="shared" si="1"/>
        <v>Cincinnati_OH</v>
      </c>
      <c r="B66" s="36" t="s">
        <v>152</v>
      </c>
      <c r="C66" s="36" t="s">
        <v>80</v>
      </c>
      <c r="D66" s="37" t="str">
        <f>VLOOKUP($C66, State!$A$2:$C332, 2, FALSE)</f>
        <v>OH</v>
      </c>
      <c r="E66" s="29">
        <v>308935.0</v>
      </c>
      <c r="F66" s="38">
        <f t="shared" si="2"/>
        <v>0.8060606061</v>
      </c>
      <c r="G66" s="38">
        <f t="shared" si="3"/>
        <v>10</v>
      </c>
      <c r="H66" s="39">
        <f>VLOOKUP($C66, State!$A$2:$C332, 3, FALSE)</f>
        <v>58642</v>
      </c>
      <c r="I66" s="40">
        <f t="shared" si="4"/>
        <v>18116566.27</v>
      </c>
    </row>
    <row r="67">
      <c r="A67" s="36" t="str">
        <f t="shared" si="1"/>
        <v>Newark_NJ</v>
      </c>
      <c r="B67" s="36" t="s">
        <v>153</v>
      </c>
      <c r="C67" s="36" t="s">
        <v>154</v>
      </c>
      <c r="D67" s="37" t="str">
        <f>VLOOKUP($C67, State!$A$2:$C332, 2, FALSE)</f>
        <v>NJ</v>
      </c>
      <c r="E67" s="29">
        <v>307220.0</v>
      </c>
      <c r="F67" s="38">
        <f t="shared" si="2"/>
        <v>0.803030303</v>
      </c>
      <c r="G67" s="38">
        <f t="shared" si="3"/>
        <v>10</v>
      </c>
      <c r="H67" s="39">
        <f>VLOOKUP($C67, State!$A$2:$C332, 3, FALSE)</f>
        <v>85751</v>
      </c>
      <c r="I67" s="40">
        <f t="shared" si="4"/>
        <v>26344422.22</v>
      </c>
    </row>
    <row r="68">
      <c r="A68" s="36" t="str">
        <f t="shared" si="1"/>
        <v>SaintPaul_MN</v>
      </c>
      <c r="B68" s="36" t="s">
        <v>155</v>
      </c>
      <c r="C68" s="36" t="s">
        <v>130</v>
      </c>
      <c r="D68" s="37" t="str">
        <f>VLOOKUP($C68, State!$A$2:$C332, 2, FALSE)</f>
        <v>MN</v>
      </c>
      <c r="E68" s="29">
        <v>307193.0</v>
      </c>
      <c r="F68" s="38">
        <f t="shared" si="2"/>
        <v>0.8</v>
      </c>
      <c r="G68" s="38">
        <f t="shared" si="3"/>
        <v>10</v>
      </c>
      <c r="H68" s="39">
        <f>VLOOKUP($C68, State!$A$2:$C332, 3, FALSE)</f>
        <v>74593</v>
      </c>
      <c r="I68" s="40">
        <f t="shared" si="4"/>
        <v>22914447.45</v>
      </c>
    </row>
    <row r="69">
      <c r="A69" s="36" t="str">
        <f t="shared" si="1"/>
        <v>Pittsburgh_PA</v>
      </c>
      <c r="B69" s="36" t="s">
        <v>156</v>
      </c>
      <c r="C69" s="36" t="s">
        <v>70</v>
      </c>
      <c r="D69" s="37" t="str">
        <f>VLOOKUP($C69, State!$A$2:$C332, 2, FALSE)</f>
        <v>PA</v>
      </c>
      <c r="E69" s="29">
        <v>300431.0</v>
      </c>
      <c r="F69" s="38">
        <f t="shared" si="2"/>
        <v>0.796969697</v>
      </c>
      <c r="G69" s="38">
        <f t="shared" si="3"/>
        <v>10</v>
      </c>
      <c r="H69" s="39">
        <f>VLOOKUP($C69, State!$A$2:$C332, 3, FALSE)</f>
        <v>63463</v>
      </c>
      <c r="I69" s="40">
        <f t="shared" si="4"/>
        <v>19066252.55</v>
      </c>
    </row>
    <row r="70">
      <c r="A70" s="36" t="str">
        <f t="shared" si="1"/>
        <v>Greensboro_NC</v>
      </c>
      <c r="B70" s="36" t="s">
        <v>157</v>
      </c>
      <c r="C70" s="36" t="s">
        <v>84</v>
      </c>
      <c r="D70" s="37" t="str">
        <f>VLOOKUP($C70, State!$A$2:$C332, 2, FALSE)</f>
        <v>NC</v>
      </c>
      <c r="E70" s="29">
        <v>298263.0</v>
      </c>
      <c r="F70" s="38">
        <f t="shared" si="2"/>
        <v>0.7939393939</v>
      </c>
      <c r="G70" s="38">
        <f t="shared" si="3"/>
        <v>10</v>
      </c>
      <c r="H70" s="39">
        <f>VLOOKUP($C70, State!$A$2:$C332, 3, FALSE)</f>
        <v>57341</v>
      </c>
      <c r="I70" s="40">
        <f t="shared" si="4"/>
        <v>17102698.68</v>
      </c>
    </row>
    <row r="71">
      <c r="A71" s="36" t="str">
        <f t="shared" si="1"/>
        <v>St.Louis_MO</v>
      </c>
      <c r="B71" s="36" t="s">
        <v>158</v>
      </c>
      <c r="C71" s="36" t="s">
        <v>117</v>
      </c>
      <c r="D71" s="37" t="str">
        <f>VLOOKUP($C71, State!$A$2:$C332, 2, FALSE)</f>
        <v>MO</v>
      </c>
      <c r="E71" s="29">
        <v>293310.0</v>
      </c>
      <c r="F71" s="38">
        <f t="shared" si="2"/>
        <v>0.7909090909</v>
      </c>
      <c r="G71" s="38">
        <f t="shared" si="3"/>
        <v>10</v>
      </c>
      <c r="H71" s="39">
        <f>VLOOKUP($C71, State!$A$2:$C332, 3, FALSE)</f>
        <v>57409</v>
      </c>
      <c r="I71" s="40">
        <f t="shared" si="4"/>
        <v>16838633.79</v>
      </c>
    </row>
    <row r="72">
      <c r="A72" s="36" t="str">
        <f t="shared" si="1"/>
        <v>Lincoln_NE</v>
      </c>
      <c r="B72" s="36" t="s">
        <v>159</v>
      </c>
      <c r="C72" s="36" t="s">
        <v>121</v>
      </c>
      <c r="D72" s="37" t="str">
        <f>VLOOKUP($C72, State!$A$2:$C332, 2, FALSE)</f>
        <v>NE</v>
      </c>
      <c r="E72" s="29">
        <v>292657.0</v>
      </c>
      <c r="F72" s="38">
        <f t="shared" si="2"/>
        <v>0.7878787879</v>
      </c>
      <c r="G72" s="38">
        <f t="shared" si="3"/>
        <v>10</v>
      </c>
      <c r="H72" s="39">
        <f>VLOOKUP($C72, State!$A$2:$C332, 3, FALSE)</f>
        <v>63229</v>
      </c>
      <c r="I72" s="40">
        <f t="shared" si="4"/>
        <v>18504409.45</v>
      </c>
    </row>
    <row r="73">
      <c r="A73" s="36" t="str">
        <f t="shared" si="1"/>
        <v>Plano_TX</v>
      </c>
      <c r="B73" s="36" t="s">
        <v>160</v>
      </c>
      <c r="C73" s="36" t="s">
        <v>66</v>
      </c>
      <c r="D73" s="37" t="str">
        <f>VLOOKUP($C73, State!$A$2:$C332, 2, FALSE)</f>
        <v>TX</v>
      </c>
      <c r="E73" s="29">
        <v>288253.0</v>
      </c>
      <c r="F73" s="38">
        <f t="shared" si="2"/>
        <v>0.7848484848</v>
      </c>
      <c r="G73" s="38">
        <f t="shared" si="3"/>
        <v>10</v>
      </c>
      <c r="H73" s="39">
        <f>VLOOKUP($C73, State!$A$2:$C332, 3, FALSE)</f>
        <v>64034</v>
      </c>
      <c r="I73" s="40">
        <f t="shared" si="4"/>
        <v>18457992.6</v>
      </c>
    </row>
    <row r="74">
      <c r="A74" s="36" t="str">
        <f t="shared" si="1"/>
        <v>Anchorage_AK</v>
      </c>
      <c r="B74" s="36" t="s">
        <v>161</v>
      </c>
      <c r="C74" s="36" t="s">
        <v>162</v>
      </c>
      <c r="D74" s="37" t="str">
        <f>VLOOKUP($C74, State!$A$2:$C332, 2, FALSE)</f>
        <v>AK</v>
      </c>
      <c r="E74" s="29">
        <v>288121.0</v>
      </c>
      <c r="F74" s="38">
        <f t="shared" si="2"/>
        <v>0.7818181818</v>
      </c>
      <c r="G74" s="38">
        <f t="shared" si="3"/>
        <v>10</v>
      </c>
      <c r="H74" s="39">
        <f>VLOOKUP($C74, State!$A$2:$C332, 3, FALSE)</f>
        <v>75463</v>
      </c>
      <c r="I74" s="40">
        <f t="shared" si="4"/>
        <v>21742475.02</v>
      </c>
    </row>
    <row r="75">
      <c r="A75" s="36" t="str">
        <f t="shared" si="1"/>
        <v>Durham_NC</v>
      </c>
      <c r="B75" s="36" t="s">
        <v>163</v>
      </c>
      <c r="C75" s="36" t="s">
        <v>84</v>
      </c>
      <c r="D75" s="37" t="str">
        <f>VLOOKUP($C75, State!$A$2:$C332, 2, FALSE)</f>
        <v>NC</v>
      </c>
      <c r="E75" s="29">
        <v>285527.0</v>
      </c>
      <c r="F75" s="38">
        <f t="shared" si="2"/>
        <v>0.7787878788</v>
      </c>
      <c r="G75" s="38">
        <f t="shared" si="3"/>
        <v>10</v>
      </c>
      <c r="H75" s="39">
        <f>VLOOKUP($C75, State!$A$2:$C332, 3, FALSE)</f>
        <v>57341</v>
      </c>
      <c r="I75" s="40">
        <f t="shared" si="4"/>
        <v>16372403.71</v>
      </c>
    </row>
    <row r="76">
      <c r="A76" s="36" t="str">
        <f t="shared" si="1"/>
        <v>JerseyCity_NJ</v>
      </c>
      <c r="B76" s="36" t="s">
        <v>164</v>
      </c>
      <c r="C76" s="36" t="s">
        <v>154</v>
      </c>
      <c r="D76" s="37" t="str">
        <f>VLOOKUP($C76, State!$A$2:$C332, 2, FALSE)</f>
        <v>NJ</v>
      </c>
      <c r="E76" s="29">
        <v>283927.0</v>
      </c>
      <c r="F76" s="38">
        <f t="shared" si="2"/>
        <v>0.7757575758</v>
      </c>
      <c r="G76" s="38">
        <f t="shared" si="3"/>
        <v>10</v>
      </c>
      <c r="H76" s="39">
        <f>VLOOKUP($C76, State!$A$2:$C332, 3, FALSE)</f>
        <v>85751</v>
      </c>
      <c r="I76" s="40">
        <f t="shared" si="4"/>
        <v>24347024.18</v>
      </c>
    </row>
    <row r="77">
      <c r="A77" s="36" t="str">
        <f t="shared" si="1"/>
        <v>Chandler_AZ</v>
      </c>
      <c r="B77" s="36" t="s">
        <v>165</v>
      </c>
      <c r="C77" s="36" t="s">
        <v>68</v>
      </c>
      <c r="D77" s="37" t="str">
        <f>VLOOKUP($C77, State!$A$2:$C332, 2, FALSE)</f>
        <v>AZ</v>
      </c>
      <c r="E77" s="29">
        <v>279458.0</v>
      </c>
      <c r="F77" s="38">
        <f t="shared" si="2"/>
        <v>0.7727272727</v>
      </c>
      <c r="G77" s="38">
        <f t="shared" si="3"/>
        <v>10</v>
      </c>
      <c r="H77" s="39">
        <f>VLOOKUP($C77, State!$A$2:$C332, 3, FALSE)</f>
        <v>62055</v>
      </c>
      <c r="I77" s="40">
        <f t="shared" si="4"/>
        <v>17341766.19</v>
      </c>
    </row>
    <row r="78">
      <c r="A78" s="36" t="str">
        <f t="shared" si="1"/>
        <v>ChulaVista_CA</v>
      </c>
      <c r="B78" s="36" t="s">
        <v>166</v>
      </c>
      <c r="C78" s="36" t="s">
        <v>62</v>
      </c>
      <c r="D78" s="37" t="str">
        <f>VLOOKUP($C78, State!$A$2:$C332, 2, FALSE)</f>
        <v>CA</v>
      </c>
      <c r="E78" s="29">
        <v>277220.0</v>
      </c>
      <c r="F78" s="38">
        <f t="shared" si="2"/>
        <v>0.7696969697</v>
      </c>
      <c r="G78" s="38">
        <f t="shared" si="3"/>
        <v>10</v>
      </c>
      <c r="H78" s="39">
        <f>VLOOKUP($C78, State!$A$2:$C332, 3, FALSE)</f>
        <v>80440</v>
      </c>
      <c r="I78" s="40">
        <f t="shared" si="4"/>
        <v>22299576.8</v>
      </c>
    </row>
    <row r="79">
      <c r="A79" s="36" t="str">
        <f t="shared" si="1"/>
        <v>Buffalo_NY</v>
      </c>
      <c r="B79" s="36" t="s">
        <v>167</v>
      </c>
      <c r="C79" s="36" t="s">
        <v>60</v>
      </c>
      <c r="D79" s="37" t="str">
        <f>VLOOKUP($C79, State!$A$2:$C332, 2, FALSE)</f>
        <v>NY</v>
      </c>
      <c r="E79" s="29">
        <v>276807.0</v>
      </c>
      <c r="F79" s="38">
        <f t="shared" si="2"/>
        <v>0.7666666667</v>
      </c>
      <c r="G79" s="38">
        <f t="shared" si="3"/>
        <v>10</v>
      </c>
      <c r="H79" s="39">
        <f>VLOOKUP($C79, State!$A$2:$C332, 3, FALSE)</f>
        <v>72108</v>
      </c>
      <c r="I79" s="40">
        <f t="shared" si="4"/>
        <v>19959999.16</v>
      </c>
    </row>
    <row r="80">
      <c r="A80" s="36" t="str">
        <f t="shared" si="1"/>
        <v>NorthLasVegas_NV</v>
      </c>
      <c r="B80" s="36" t="s">
        <v>168</v>
      </c>
      <c r="C80" s="36" t="s">
        <v>98</v>
      </c>
      <c r="D80" s="37" t="str">
        <f>VLOOKUP($C80, State!$A$2:$C332, 2, FALSE)</f>
        <v>NV</v>
      </c>
      <c r="E80" s="29">
        <v>274133.0</v>
      </c>
      <c r="F80" s="38">
        <f t="shared" si="2"/>
        <v>0.7636363636</v>
      </c>
      <c r="G80" s="38">
        <f t="shared" si="3"/>
        <v>10</v>
      </c>
      <c r="H80" s="39">
        <f>VLOOKUP($C80, State!$A$2:$C332, 3, FALSE)</f>
        <v>63276</v>
      </c>
      <c r="I80" s="40">
        <f t="shared" si="4"/>
        <v>17346039.71</v>
      </c>
    </row>
    <row r="81">
      <c r="A81" s="36" t="str">
        <f t="shared" si="1"/>
        <v>Gilbert_AZ</v>
      </c>
      <c r="B81" s="36" t="s">
        <v>169</v>
      </c>
      <c r="C81" s="36" t="s">
        <v>68</v>
      </c>
      <c r="D81" s="37" t="str">
        <f>VLOOKUP($C81, State!$A$2:$C332, 2, FALSE)</f>
        <v>AZ</v>
      </c>
      <c r="E81" s="29">
        <v>273136.0</v>
      </c>
      <c r="F81" s="38">
        <f t="shared" si="2"/>
        <v>0.7606060606</v>
      </c>
      <c r="G81" s="38">
        <f t="shared" si="3"/>
        <v>10</v>
      </c>
      <c r="H81" s="39">
        <f>VLOOKUP($C81, State!$A$2:$C332, 3, FALSE)</f>
        <v>62055</v>
      </c>
      <c r="I81" s="40">
        <f t="shared" si="4"/>
        <v>16949454.48</v>
      </c>
    </row>
    <row r="82">
      <c r="A82" s="36" t="str">
        <f t="shared" si="1"/>
        <v>Madison_WI</v>
      </c>
      <c r="B82" s="36" t="s">
        <v>170</v>
      </c>
      <c r="C82" s="36" t="s">
        <v>109</v>
      </c>
      <c r="D82" s="37" t="str">
        <f>VLOOKUP($C82, State!$A$2:$C332, 2, FALSE)</f>
        <v>WI</v>
      </c>
      <c r="E82" s="29">
        <v>269196.0</v>
      </c>
      <c r="F82" s="38">
        <f t="shared" si="2"/>
        <v>0.7575757576</v>
      </c>
      <c r="G82" s="38">
        <f t="shared" si="3"/>
        <v>10</v>
      </c>
      <c r="H82" s="39">
        <f>VLOOKUP($C82, State!$A$2:$C332, 3, FALSE)</f>
        <v>64168</v>
      </c>
      <c r="I82" s="40">
        <f t="shared" si="4"/>
        <v>17273768.93</v>
      </c>
    </row>
    <row r="83">
      <c r="A83" s="36" t="str">
        <f t="shared" si="1"/>
        <v>Reno_NV</v>
      </c>
      <c r="B83" s="36" t="s">
        <v>171</v>
      </c>
      <c r="C83" s="36" t="s">
        <v>98</v>
      </c>
      <c r="D83" s="37" t="str">
        <f>VLOOKUP($C83, State!$A$2:$C332, 2, FALSE)</f>
        <v>NV</v>
      </c>
      <c r="E83" s="29">
        <v>268851.0</v>
      </c>
      <c r="F83" s="38">
        <f t="shared" si="2"/>
        <v>0.7545454545</v>
      </c>
      <c r="G83" s="38">
        <f t="shared" si="3"/>
        <v>10</v>
      </c>
      <c r="H83" s="39">
        <f>VLOOKUP($C83, State!$A$2:$C332, 3, FALSE)</f>
        <v>63276</v>
      </c>
      <c r="I83" s="40">
        <f t="shared" si="4"/>
        <v>17011815.88</v>
      </c>
    </row>
    <row r="84">
      <c r="A84" s="36" t="str">
        <f t="shared" si="1"/>
        <v>Toledo_OH</v>
      </c>
      <c r="B84" s="36" t="s">
        <v>172</v>
      </c>
      <c r="C84" s="36" t="s">
        <v>80</v>
      </c>
      <c r="D84" s="37" t="str">
        <f>VLOOKUP($C84, State!$A$2:$C332, 2, FALSE)</f>
        <v>OH</v>
      </c>
      <c r="E84" s="29">
        <v>268508.0</v>
      </c>
      <c r="F84" s="38">
        <f t="shared" si="2"/>
        <v>0.7515151515</v>
      </c>
      <c r="G84" s="38">
        <f t="shared" si="3"/>
        <v>10</v>
      </c>
      <c r="H84" s="39">
        <f>VLOOKUP($C84, State!$A$2:$C332, 3, FALSE)</f>
        <v>58642</v>
      </c>
      <c r="I84" s="40">
        <f t="shared" si="4"/>
        <v>15745846.14</v>
      </c>
    </row>
    <row r="85">
      <c r="A85" s="36" t="str">
        <f t="shared" si="1"/>
        <v>FortWayne_IN</v>
      </c>
      <c r="B85" s="36" t="s">
        <v>173</v>
      </c>
      <c r="C85" s="36" t="s">
        <v>82</v>
      </c>
      <c r="D85" s="37" t="str">
        <f>VLOOKUP($C85, State!$A$2:$C332, 2, FALSE)</f>
        <v>IN</v>
      </c>
      <c r="E85" s="29">
        <v>265974.0</v>
      </c>
      <c r="F85" s="38">
        <f t="shared" si="2"/>
        <v>0.7484848485</v>
      </c>
      <c r="G85" s="38">
        <f t="shared" si="3"/>
        <v>10</v>
      </c>
      <c r="H85" s="39">
        <f>VLOOKUP($C85, State!$A$2:$C332, 3, FALSE)</f>
        <v>57603</v>
      </c>
      <c r="I85" s="40">
        <f t="shared" si="4"/>
        <v>15320900.32</v>
      </c>
    </row>
    <row r="86">
      <c r="A86" s="36" t="str">
        <f t="shared" si="1"/>
        <v>Lubbock_TX</v>
      </c>
      <c r="B86" s="36" t="s">
        <v>174</v>
      </c>
      <c r="C86" s="36" t="s">
        <v>66</v>
      </c>
      <c r="D86" s="37" t="str">
        <f>VLOOKUP($C86, State!$A$2:$C332, 2, FALSE)</f>
        <v>TX</v>
      </c>
      <c r="E86" s="29">
        <v>260993.0</v>
      </c>
      <c r="F86" s="38">
        <f t="shared" si="2"/>
        <v>0.7454545455</v>
      </c>
      <c r="G86" s="38">
        <f t="shared" si="3"/>
        <v>10</v>
      </c>
      <c r="H86" s="39">
        <f>VLOOKUP($C86, State!$A$2:$C332, 3, FALSE)</f>
        <v>64034</v>
      </c>
      <c r="I86" s="40">
        <f t="shared" si="4"/>
        <v>16712425.76</v>
      </c>
    </row>
    <row r="87">
      <c r="A87" s="36" t="str">
        <f t="shared" si="1"/>
        <v>St.Petersburg_FL</v>
      </c>
      <c r="B87" s="36" t="s">
        <v>175</v>
      </c>
      <c r="C87" s="36" t="s">
        <v>77</v>
      </c>
      <c r="D87" s="37" t="str">
        <f>VLOOKUP($C87, State!$A$2:$C332, 2, FALSE)</f>
        <v>FL</v>
      </c>
      <c r="E87" s="29">
        <v>258201.0</v>
      </c>
      <c r="F87" s="38">
        <f t="shared" si="2"/>
        <v>0.7424242424</v>
      </c>
      <c r="G87" s="38">
        <f t="shared" si="3"/>
        <v>10</v>
      </c>
      <c r="H87" s="39">
        <f>VLOOKUP($C87, State!$A$2:$C332, 3, FALSE)</f>
        <v>59227</v>
      </c>
      <c r="I87" s="40">
        <f t="shared" si="4"/>
        <v>15292470.63</v>
      </c>
    </row>
    <row r="88">
      <c r="A88" s="36" t="str">
        <f t="shared" si="1"/>
        <v>Laredo_TX</v>
      </c>
      <c r="B88" s="36" t="s">
        <v>176</v>
      </c>
      <c r="C88" s="36" t="s">
        <v>66</v>
      </c>
      <c r="D88" s="37" t="str">
        <f>VLOOKUP($C88, State!$A$2:$C332, 2, FALSE)</f>
        <v>TX</v>
      </c>
      <c r="E88" s="29">
        <v>256153.0</v>
      </c>
      <c r="F88" s="38">
        <f t="shared" si="2"/>
        <v>0.7393939394</v>
      </c>
      <c r="G88" s="38">
        <f t="shared" si="3"/>
        <v>10</v>
      </c>
      <c r="H88" s="39">
        <f>VLOOKUP($C88, State!$A$2:$C332, 3, FALSE)</f>
        <v>64034</v>
      </c>
      <c r="I88" s="40">
        <f t="shared" si="4"/>
        <v>16402501.2</v>
      </c>
    </row>
    <row r="89">
      <c r="A89" s="36" t="str">
        <f t="shared" si="1"/>
        <v>Irving_TX</v>
      </c>
      <c r="B89" s="36" t="s">
        <v>177</v>
      </c>
      <c r="C89" s="36" t="s">
        <v>66</v>
      </c>
      <c r="D89" s="37" t="str">
        <f>VLOOKUP($C89, State!$A$2:$C332, 2, FALSE)</f>
        <v>TX</v>
      </c>
      <c r="E89" s="29">
        <v>254198.0</v>
      </c>
      <c r="F89" s="38">
        <f t="shared" si="2"/>
        <v>0.7363636364</v>
      </c>
      <c r="G89" s="38">
        <f t="shared" si="3"/>
        <v>10</v>
      </c>
      <c r="H89" s="39">
        <f>VLOOKUP($C89, State!$A$2:$C332, 3, FALSE)</f>
        <v>64034</v>
      </c>
      <c r="I89" s="40">
        <f t="shared" si="4"/>
        <v>16277314.73</v>
      </c>
    </row>
    <row r="90">
      <c r="A90" s="36" t="str">
        <f t="shared" si="1"/>
        <v>Chesapeake_VA</v>
      </c>
      <c r="B90" s="36" t="s">
        <v>178</v>
      </c>
      <c r="C90" s="36" t="s">
        <v>125</v>
      </c>
      <c r="D90" s="37" t="str">
        <f>VLOOKUP($C90, State!$A$2:$C332, 2, FALSE)</f>
        <v>VA</v>
      </c>
      <c r="E90" s="29">
        <v>251269.0</v>
      </c>
      <c r="F90" s="38">
        <f t="shared" si="2"/>
        <v>0.7333333333</v>
      </c>
      <c r="G90" s="38">
        <f t="shared" si="3"/>
        <v>10</v>
      </c>
      <c r="H90" s="39">
        <f>VLOOKUP($C90, State!$A$2:$C332, 3, FALSE)</f>
        <v>76456</v>
      </c>
      <c r="I90" s="40">
        <f t="shared" si="4"/>
        <v>19211022.66</v>
      </c>
    </row>
    <row r="91">
      <c r="A91" s="36" t="str">
        <f t="shared" si="1"/>
        <v>Winston–Salem_NC</v>
      </c>
      <c r="B91" s="36" t="s">
        <v>179</v>
      </c>
      <c r="C91" s="36" t="s">
        <v>84</v>
      </c>
      <c r="D91" s="37" t="str">
        <f>VLOOKUP($C91, State!$A$2:$C332, 2, FALSE)</f>
        <v>NC</v>
      </c>
      <c r="E91" s="29">
        <v>250320.0</v>
      </c>
      <c r="F91" s="38">
        <f t="shared" si="2"/>
        <v>0.7303030303</v>
      </c>
      <c r="G91" s="38">
        <f t="shared" si="3"/>
        <v>10</v>
      </c>
      <c r="H91" s="39">
        <f>VLOOKUP($C91, State!$A$2:$C332, 3, FALSE)</f>
        <v>57341</v>
      </c>
      <c r="I91" s="40">
        <f t="shared" si="4"/>
        <v>14353599.12</v>
      </c>
    </row>
    <row r="92">
      <c r="A92" s="36" t="str">
        <f t="shared" si="1"/>
        <v>Glendale_AZ</v>
      </c>
      <c r="B92" s="36" t="s">
        <v>180</v>
      </c>
      <c r="C92" s="36" t="s">
        <v>68</v>
      </c>
      <c r="D92" s="37" t="str">
        <f>VLOOKUP($C92, State!$A$2:$C332, 2, FALSE)</f>
        <v>AZ</v>
      </c>
      <c r="E92" s="29">
        <v>249630.0</v>
      </c>
      <c r="F92" s="38">
        <f t="shared" si="2"/>
        <v>0.7272727273</v>
      </c>
      <c r="G92" s="38">
        <f t="shared" si="3"/>
        <v>9</v>
      </c>
      <c r="H92" s="39">
        <f>VLOOKUP($C92, State!$A$2:$C332, 3, FALSE)</f>
        <v>62055</v>
      </c>
      <c r="I92" s="40">
        <f t="shared" si="4"/>
        <v>15490789.65</v>
      </c>
    </row>
    <row r="93">
      <c r="A93" s="36" t="str">
        <f t="shared" si="1"/>
        <v>Scottsdale_AZ</v>
      </c>
      <c r="B93" s="36" t="s">
        <v>181</v>
      </c>
      <c r="C93" s="36" t="s">
        <v>68</v>
      </c>
      <c r="D93" s="37" t="str">
        <f>VLOOKUP($C93, State!$A$2:$C332, 2, FALSE)</f>
        <v>AZ</v>
      </c>
      <c r="E93" s="29">
        <v>242753.0</v>
      </c>
      <c r="F93" s="38">
        <f t="shared" si="2"/>
        <v>0.7242424242</v>
      </c>
      <c r="G93" s="38">
        <f t="shared" si="3"/>
        <v>9</v>
      </c>
      <c r="H93" s="39">
        <f>VLOOKUP($C93, State!$A$2:$C332, 3, FALSE)</f>
        <v>62055</v>
      </c>
      <c r="I93" s="40">
        <f t="shared" si="4"/>
        <v>15064037.42</v>
      </c>
    </row>
    <row r="94">
      <c r="A94" s="36" t="str">
        <f t="shared" si="1"/>
        <v>Garland_TX</v>
      </c>
      <c r="B94" s="36" t="s">
        <v>182</v>
      </c>
      <c r="C94" s="36" t="s">
        <v>66</v>
      </c>
      <c r="D94" s="37" t="str">
        <f>VLOOKUP($C94, State!$A$2:$C332, 2, FALSE)</f>
        <v>TX</v>
      </c>
      <c r="E94" s="29">
        <v>242035.0</v>
      </c>
      <c r="F94" s="38">
        <f t="shared" si="2"/>
        <v>0.7212121212</v>
      </c>
      <c r="G94" s="38">
        <f t="shared" si="3"/>
        <v>9</v>
      </c>
      <c r="H94" s="39">
        <f>VLOOKUP($C94, State!$A$2:$C332, 3, FALSE)</f>
        <v>64034</v>
      </c>
      <c r="I94" s="40">
        <f t="shared" si="4"/>
        <v>15498469.19</v>
      </c>
    </row>
    <row r="95">
      <c r="A95" s="36" t="str">
        <f t="shared" si="1"/>
        <v>Boise_ID</v>
      </c>
      <c r="B95" s="36" t="s">
        <v>183</v>
      </c>
      <c r="C95" s="36" t="s">
        <v>184</v>
      </c>
      <c r="D95" s="37" t="str">
        <f>VLOOKUP($C95, State!$A$2:$C332, 2, FALSE)</f>
        <v>ID</v>
      </c>
      <c r="E95" s="29">
        <v>237446.0</v>
      </c>
      <c r="F95" s="38">
        <f t="shared" si="2"/>
        <v>0.7181818182</v>
      </c>
      <c r="G95" s="38">
        <f t="shared" si="3"/>
        <v>9</v>
      </c>
      <c r="H95" s="39">
        <f>VLOOKUP($C95, State!$A$2:$C332, 3, FALSE)</f>
        <v>60999</v>
      </c>
      <c r="I95" s="40">
        <f t="shared" si="4"/>
        <v>14483968.55</v>
      </c>
    </row>
    <row r="96">
      <c r="A96" s="36" t="str">
        <f t="shared" si="1"/>
        <v>Norfolk_VA</v>
      </c>
      <c r="B96" s="36" t="s">
        <v>185</v>
      </c>
      <c r="C96" s="36" t="s">
        <v>125</v>
      </c>
      <c r="D96" s="37" t="str">
        <f>VLOOKUP($C96, State!$A$2:$C332, 2, FALSE)</f>
        <v>VA</v>
      </c>
      <c r="E96" s="29">
        <v>235089.0</v>
      </c>
      <c r="F96" s="38">
        <f t="shared" si="2"/>
        <v>0.7151515152</v>
      </c>
      <c r="G96" s="38">
        <f t="shared" si="3"/>
        <v>9</v>
      </c>
      <c r="H96" s="39">
        <f>VLOOKUP($C96, State!$A$2:$C332, 3, FALSE)</f>
        <v>76456</v>
      </c>
      <c r="I96" s="40">
        <f t="shared" si="4"/>
        <v>17973964.58</v>
      </c>
    </row>
    <row r="97">
      <c r="A97" s="36" t="str">
        <f t="shared" si="1"/>
        <v>Spokane_WA</v>
      </c>
      <c r="B97" s="36" t="s">
        <v>186</v>
      </c>
      <c r="C97" s="36" t="s">
        <v>87</v>
      </c>
      <c r="D97" s="37" t="str">
        <f>VLOOKUP($C97, State!$A$2:$C332, 2, FALSE)</f>
        <v>WA</v>
      </c>
      <c r="E97" s="29">
        <v>229071.0</v>
      </c>
      <c r="F97" s="38">
        <f t="shared" si="2"/>
        <v>0.7121212121</v>
      </c>
      <c r="G97" s="38">
        <f t="shared" si="3"/>
        <v>9</v>
      </c>
      <c r="H97" s="39">
        <f>VLOOKUP($C97, State!$A$2:$C332, 3, FALSE)</f>
        <v>78687</v>
      </c>
      <c r="I97" s="40">
        <f t="shared" si="4"/>
        <v>18024909.78</v>
      </c>
    </row>
    <row r="98">
      <c r="A98" s="36" t="str">
        <f t="shared" si="1"/>
        <v>Fremont_CA</v>
      </c>
      <c r="B98" s="36" t="s">
        <v>187</v>
      </c>
      <c r="C98" s="36" t="s">
        <v>62</v>
      </c>
      <c r="D98" s="37" t="str">
        <f>VLOOKUP($C98, State!$A$2:$C332, 2, FALSE)</f>
        <v>CA</v>
      </c>
      <c r="E98" s="29">
        <v>227514.0</v>
      </c>
      <c r="F98" s="38">
        <f t="shared" si="2"/>
        <v>0.7090909091</v>
      </c>
      <c r="G98" s="38">
        <f t="shared" si="3"/>
        <v>9</v>
      </c>
      <c r="H98" s="39">
        <f>VLOOKUP($C98, State!$A$2:$C332, 3, FALSE)</f>
        <v>80440</v>
      </c>
      <c r="I98" s="40">
        <f t="shared" si="4"/>
        <v>18301226.16</v>
      </c>
    </row>
    <row r="99">
      <c r="A99" s="36" t="str">
        <f t="shared" si="1"/>
        <v>Richmond_VA</v>
      </c>
      <c r="B99" s="36" t="s">
        <v>188</v>
      </c>
      <c r="C99" s="36" t="s">
        <v>125</v>
      </c>
      <c r="D99" s="37" t="str">
        <f>VLOOKUP($C99, State!$A$2:$C332, 2, FALSE)</f>
        <v>VA</v>
      </c>
      <c r="E99" s="29">
        <v>226604.0</v>
      </c>
      <c r="F99" s="38">
        <f t="shared" si="2"/>
        <v>0.7060606061</v>
      </c>
      <c r="G99" s="38">
        <f t="shared" si="3"/>
        <v>9</v>
      </c>
      <c r="H99" s="39">
        <f>VLOOKUP($C99, State!$A$2:$C332, 3, FALSE)</f>
        <v>76456</v>
      </c>
      <c r="I99" s="40">
        <f t="shared" si="4"/>
        <v>17325235.42</v>
      </c>
    </row>
    <row r="100">
      <c r="A100" s="36" t="str">
        <f t="shared" si="1"/>
        <v>SantaClarita_CA</v>
      </c>
      <c r="B100" s="36" t="s">
        <v>189</v>
      </c>
      <c r="C100" s="36" t="s">
        <v>62</v>
      </c>
      <c r="D100" s="37" t="str">
        <f>VLOOKUP($C100, State!$A$2:$C332, 2, FALSE)</f>
        <v>CA</v>
      </c>
      <c r="E100" s="29">
        <v>224593.0</v>
      </c>
      <c r="F100" s="38">
        <f t="shared" si="2"/>
        <v>0.703030303</v>
      </c>
      <c r="G100" s="38">
        <f t="shared" si="3"/>
        <v>9</v>
      </c>
      <c r="H100" s="39">
        <f>VLOOKUP($C100, State!$A$2:$C332, 3, FALSE)</f>
        <v>80440</v>
      </c>
      <c r="I100" s="40">
        <f t="shared" si="4"/>
        <v>18066260.92</v>
      </c>
    </row>
    <row r="101">
      <c r="A101" s="36" t="str">
        <f t="shared" si="1"/>
        <v>SanBernardino_CA</v>
      </c>
      <c r="B101" s="36" t="s">
        <v>190</v>
      </c>
      <c r="C101" s="36" t="s">
        <v>62</v>
      </c>
      <c r="D101" s="37" t="str">
        <f>VLOOKUP($C101, State!$A$2:$C332, 2, FALSE)</f>
        <v>CA</v>
      </c>
      <c r="E101" s="29">
        <v>222203.0</v>
      </c>
      <c r="F101" s="38">
        <f t="shared" si="2"/>
        <v>0.7</v>
      </c>
      <c r="G101" s="38">
        <f t="shared" si="3"/>
        <v>9</v>
      </c>
      <c r="H101" s="39">
        <f>VLOOKUP($C101, State!$A$2:$C332, 3, FALSE)</f>
        <v>80440</v>
      </c>
      <c r="I101" s="40">
        <f t="shared" si="4"/>
        <v>17874009.32</v>
      </c>
    </row>
    <row r="102">
      <c r="A102" s="36" t="str">
        <f t="shared" si="1"/>
        <v>BatonRouge_LA</v>
      </c>
      <c r="B102" s="36" t="s">
        <v>191</v>
      </c>
      <c r="C102" s="36" t="s">
        <v>139</v>
      </c>
      <c r="D102" s="37" t="str">
        <f>VLOOKUP($C102, State!$A$2:$C332, 2, FALSE)</f>
        <v>LA</v>
      </c>
      <c r="E102" s="29">
        <v>222185.0</v>
      </c>
      <c r="F102" s="38">
        <f t="shared" si="2"/>
        <v>0.696969697</v>
      </c>
      <c r="G102" s="38">
        <f t="shared" si="3"/>
        <v>9</v>
      </c>
      <c r="H102" s="39">
        <f>VLOOKUP($C102, State!$A$2:$C332, 3, FALSE)</f>
        <v>51073</v>
      </c>
      <c r="I102" s="40">
        <f t="shared" si="4"/>
        <v>11347654.51</v>
      </c>
    </row>
    <row r="103">
      <c r="A103" s="36" t="str">
        <f t="shared" si="1"/>
        <v>Hialeah_FL</v>
      </c>
      <c r="B103" s="36" t="s">
        <v>192</v>
      </c>
      <c r="C103" s="36" t="s">
        <v>77</v>
      </c>
      <c r="D103" s="37" t="str">
        <f>VLOOKUP($C103, State!$A$2:$C332, 2, FALSE)</f>
        <v>FL</v>
      </c>
      <c r="E103" s="29">
        <v>220490.0</v>
      </c>
      <c r="F103" s="38">
        <f t="shared" si="2"/>
        <v>0.6939393939</v>
      </c>
      <c r="G103" s="38">
        <f t="shared" si="3"/>
        <v>9</v>
      </c>
      <c r="H103" s="39">
        <f>VLOOKUP($C103, State!$A$2:$C332, 3, FALSE)</f>
        <v>59227</v>
      </c>
      <c r="I103" s="40">
        <f t="shared" si="4"/>
        <v>13058961.23</v>
      </c>
    </row>
    <row r="104">
      <c r="A104" s="36" t="str">
        <f t="shared" si="1"/>
        <v>Tacoma_WA</v>
      </c>
      <c r="B104" s="36" t="s">
        <v>193</v>
      </c>
      <c r="C104" s="36" t="s">
        <v>87</v>
      </c>
      <c r="D104" s="37" t="str">
        <f>VLOOKUP($C104, State!$A$2:$C332, 2, FALSE)</f>
        <v>WA</v>
      </c>
      <c r="E104" s="29">
        <v>219205.0</v>
      </c>
      <c r="F104" s="38">
        <f t="shared" si="2"/>
        <v>0.6909090909</v>
      </c>
      <c r="G104" s="38">
        <f t="shared" si="3"/>
        <v>9</v>
      </c>
      <c r="H104" s="39">
        <f>VLOOKUP($C104, State!$A$2:$C332, 3, FALSE)</f>
        <v>78687</v>
      </c>
      <c r="I104" s="40">
        <f t="shared" si="4"/>
        <v>17248583.84</v>
      </c>
    </row>
    <row r="105">
      <c r="A105" s="36" t="str">
        <f t="shared" si="1"/>
        <v>Modesto_CA</v>
      </c>
      <c r="B105" s="36" t="s">
        <v>194</v>
      </c>
      <c r="C105" s="36" t="s">
        <v>62</v>
      </c>
      <c r="D105" s="37" t="str">
        <f>VLOOKUP($C105, State!$A$2:$C332, 2, FALSE)</f>
        <v>CA</v>
      </c>
      <c r="E105" s="29">
        <v>218771.0</v>
      </c>
      <c r="F105" s="38">
        <f t="shared" si="2"/>
        <v>0.6878787879</v>
      </c>
      <c r="G105" s="38">
        <f t="shared" si="3"/>
        <v>9</v>
      </c>
      <c r="H105" s="39">
        <f>VLOOKUP($C105, State!$A$2:$C332, 3, FALSE)</f>
        <v>80440</v>
      </c>
      <c r="I105" s="40">
        <f t="shared" si="4"/>
        <v>17597939.24</v>
      </c>
    </row>
    <row r="106">
      <c r="A106" s="36" t="str">
        <f t="shared" si="1"/>
        <v>PortSt.Lucie_FL</v>
      </c>
      <c r="B106" s="36" t="s">
        <v>195</v>
      </c>
      <c r="C106" s="36" t="s">
        <v>77</v>
      </c>
      <c r="D106" s="37" t="str">
        <f>VLOOKUP($C106, State!$A$2:$C332, 2, FALSE)</f>
        <v>FL</v>
      </c>
      <c r="E106" s="29">
        <v>217523.0</v>
      </c>
      <c r="F106" s="38">
        <f t="shared" si="2"/>
        <v>0.6848484848</v>
      </c>
      <c r="G106" s="38">
        <f t="shared" si="3"/>
        <v>9</v>
      </c>
      <c r="H106" s="39">
        <f>VLOOKUP($C106, State!$A$2:$C332, 3, FALSE)</f>
        <v>59227</v>
      </c>
      <c r="I106" s="40">
        <f t="shared" si="4"/>
        <v>12883234.72</v>
      </c>
    </row>
    <row r="107">
      <c r="A107" s="36" t="str">
        <f t="shared" si="1"/>
        <v>Huntsville_AL</v>
      </c>
      <c r="B107" s="36" t="s">
        <v>196</v>
      </c>
      <c r="C107" s="36" t="s">
        <v>197</v>
      </c>
      <c r="D107" s="37" t="str">
        <f>VLOOKUP($C107, State!$A$2:$C332, 2, FALSE)</f>
        <v>AL</v>
      </c>
      <c r="E107" s="29">
        <v>216963.0</v>
      </c>
      <c r="F107" s="38">
        <f t="shared" si="2"/>
        <v>0.6818181818</v>
      </c>
      <c r="G107" s="38">
        <f t="shared" si="3"/>
        <v>9</v>
      </c>
      <c r="H107" s="39">
        <f>VLOOKUP($C107, State!$A$2:$C332, 3, FALSE)</f>
        <v>51734</v>
      </c>
      <c r="I107" s="40">
        <f t="shared" si="4"/>
        <v>11224363.84</v>
      </c>
    </row>
    <row r="108">
      <c r="A108" s="36" t="str">
        <f t="shared" si="1"/>
        <v>DesMoines_IA</v>
      </c>
      <c r="B108" s="36" t="s">
        <v>198</v>
      </c>
      <c r="C108" s="36" t="s">
        <v>199</v>
      </c>
      <c r="D108" s="37" t="str">
        <f>VLOOKUP($C108, State!$A$2:$C332, 2, FALSE)</f>
        <v>IA</v>
      </c>
      <c r="E108" s="29">
        <v>212031.0</v>
      </c>
      <c r="F108" s="38">
        <f t="shared" si="2"/>
        <v>0.6787878788</v>
      </c>
      <c r="G108" s="38">
        <f t="shared" si="3"/>
        <v>9</v>
      </c>
      <c r="H108" s="39">
        <f>VLOOKUP($C108, State!$A$2:$C332, 3, FALSE)</f>
        <v>61691</v>
      </c>
      <c r="I108" s="40">
        <f t="shared" si="4"/>
        <v>13080404.42</v>
      </c>
    </row>
    <row r="109">
      <c r="A109" s="36" t="str">
        <f t="shared" si="1"/>
        <v>MorenoValley_CA</v>
      </c>
      <c r="B109" s="36" t="s">
        <v>200</v>
      </c>
      <c r="C109" s="36" t="s">
        <v>62</v>
      </c>
      <c r="D109" s="37" t="str">
        <f>VLOOKUP($C109, State!$A$2:$C332, 2, FALSE)</f>
        <v>CA</v>
      </c>
      <c r="E109" s="29">
        <v>211600.0</v>
      </c>
      <c r="F109" s="38">
        <f t="shared" si="2"/>
        <v>0.6757575758</v>
      </c>
      <c r="G109" s="38">
        <f t="shared" si="3"/>
        <v>9</v>
      </c>
      <c r="H109" s="39">
        <f>VLOOKUP($C109, State!$A$2:$C332, 3, FALSE)</f>
        <v>80440</v>
      </c>
      <c r="I109" s="40">
        <f t="shared" si="4"/>
        <v>17021104</v>
      </c>
    </row>
    <row r="110">
      <c r="A110" s="36" t="str">
        <f t="shared" si="1"/>
        <v>Fontana_CA</v>
      </c>
      <c r="B110" s="36" t="s">
        <v>201</v>
      </c>
      <c r="C110" s="36" t="s">
        <v>62</v>
      </c>
      <c r="D110" s="37" t="str">
        <f>VLOOKUP($C110, State!$A$2:$C332, 2, FALSE)</f>
        <v>CA</v>
      </c>
      <c r="E110" s="29">
        <v>210761.0</v>
      </c>
      <c r="F110" s="38">
        <f t="shared" si="2"/>
        <v>0.6727272727</v>
      </c>
      <c r="G110" s="38">
        <f t="shared" si="3"/>
        <v>9</v>
      </c>
      <c r="H110" s="39">
        <f>VLOOKUP($C110, State!$A$2:$C332, 3, FALSE)</f>
        <v>80440</v>
      </c>
      <c r="I110" s="40">
        <f t="shared" si="4"/>
        <v>16953614.84</v>
      </c>
    </row>
    <row r="111">
      <c r="A111" s="36" t="str">
        <f t="shared" si="1"/>
        <v>Frisco_TX</v>
      </c>
      <c r="B111" s="36" t="s">
        <v>202</v>
      </c>
      <c r="C111" s="36" t="s">
        <v>66</v>
      </c>
      <c r="D111" s="37" t="str">
        <f>VLOOKUP($C111, State!$A$2:$C332, 2, FALSE)</f>
        <v>TX</v>
      </c>
      <c r="E111" s="29">
        <v>210719.0</v>
      </c>
      <c r="F111" s="38">
        <f t="shared" si="2"/>
        <v>0.6696969697</v>
      </c>
      <c r="G111" s="38">
        <f t="shared" si="3"/>
        <v>9</v>
      </c>
      <c r="H111" s="39">
        <f>VLOOKUP($C111, State!$A$2:$C332, 3, FALSE)</f>
        <v>64034</v>
      </c>
      <c r="I111" s="40">
        <f t="shared" si="4"/>
        <v>13493180.45</v>
      </c>
    </row>
    <row r="112">
      <c r="A112" s="36" t="str">
        <f t="shared" si="1"/>
        <v>Rochester_NY</v>
      </c>
      <c r="B112" s="36" t="s">
        <v>203</v>
      </c>
      <c r="C112" s="36" t="s">
        <v>60</v>
      </c>
      <c r="D112" s="37" t="str">
        <f>VLOOKUP($C112, State!$A$2:$C332, 2, FALSE)</f>
        <v>NY</v>
      </c>
      <c r="E112" s="29">
        <v>210606.0</v>
      </c>
      <c r="F112" s="38">
        <f t="shared" si="2"/>
        <v>0.6666666667</v>
      </c>
      <c r="G112" s="38">
        <f t="shared" si="3"/>
        <v>9</v>
      </c>
      <c r="H112" s="39">
        <f>VLOOKUP($C112, State!$A$2:$C332, 3, FALSE)</f>
        <v>72108</v>
      </c>
      <c r="I112" s="40">
        <f t="shared" si="4"/>
        <v>15186377.45</v>
      </c>
    </row>
    <row r="113">
      <c r="A113" s="36" t="str">
        <f t="shared" si="1"/>
        <v>Yonkers_NY</v>
      </c>
      <c r="B113" s="36" t="s">
        <v>204</v>
      </c>
      <c r="C113" s="36" t="s">
        <v>60</v>
      </c>
      <c r="D113" s="37" t="str">
        <f>VLOOKUP($C113, State!$A$2:$C332, 2, FALSE)</f>
        <v>NY</v>
      </c>
      <c r="E113" s="29">
        <v>209530.0</v>
      </c>
      <c r="F113" s="38">
        <f t="shared" si="2"/>
        <v>0.6636363636</v>
      </c>
      <c r="G113" s="38">
        <f t="shared" si="3"/>
        <v>9</v>
      </c>
      <c r="H113" s="39">
        <f>VLOOKUP($C113, State!$A$2:$C332, 3, FALSE)</f>
        <v>72108</v>
      </c>
      <c r="I113" s="40">
        <f t="shared" si="4"/>
        <v>15108789.24</v>
      </c>
    </row>
    <row r="114">
      <c r="A114" s="36" t="str">
        <f t="shared" si="1"/>
        <v>Fayetteville_NC</v>
      </c>
      <c r="B114" s="36" t="s">
        <v>205</v>
      </c>
      <c r="C114" s="36" t="s">
        <v>84</v>
      </c>
      <c r="D114" s="37" t="str">
        <f>VLOOKUP($C114, State!$A$2:$C332, 2, FALSE)</f>
        <v>NC</v>
      </c>
      <c r="E114" s="29">
        <v>208778.0</v>
      </c>
      <c r="F114" s="38">
        <f t="shared" si="2"/>
        <v>0.6606060606</v>
      </c>
      <c r="G114" s="38">
        <f t="shared" si="3"/>
        <v>9</v>
      </c>
      <c r="H114" s="39">
        <f>VLOOKUP($C114, State!$A$2:$C332, 3, FALSE)</f>
        <v>57341</v>
      </c>
      <c r="I114" s="40">
        <f t="shared" si="4"/>
        <v>11971539.3</v>
      </c>
    </row>
    <row r="115">
      <c r="A115" s="36" t="str">
        <f t="shared" si="1"/>
        <v>Worcester_MA</v>
      </c>
      <c r="B115" s="36" t="s">
        <v>206</v>
      </c>
      <c r="C115" s="36" t="s">
        <v>96</v>
      </c>
      <c r="D115" s="37" t="str">
        <f>VLOOKUP($C115, State!$A$2:$C332, 2, FALSE)</f>
        <v>MA</v>
      </c>
      <c r="E115" s="29">
        <v>205918.0</v>
      </c>
      <c r="F115" s="38">
        <f t="shared" si="2"/>
        <v>0.6575757576</v>
      </c>
      <c r="G115" s="38">
        <f t="shared" si="3"/>
        <v>9</v>
      </c>
      <c r="H115" s="39">
        <f>VLOOKUP($C115, State!$A$2:$C332, 3, FALSE)</f>
        <v>85843</v>
      </c>
      <c r="I115" s="40">
        <f t="shared" si="4"/>
        <v>17676618.87</v>
      </c>
    </row>
    <row r="116">
      <c r="A116" s="36" t="str">
        <f t="shared" si="1"/>
        <v>Columbus_GA</v>
      </c>
      <c r="B116" s="36" t="s">
        <v>79</v>
      </c>
      <c r="C116" s="36" t="s">
        <v>119</v>
      </c>
      <c r="D116" s="37" t="str">
        <f>VLOOKUP($C116, State!$A$2:$C332, 2, FALSE)</f>
        <v>GA</v>
      </c>
      <c r="E116" s="29">
        <v>205617.0</v>
      </c>
      <c r="F116" s="38">
        <f t="shared" si="2"/>
        <v>0.6545454545</v>
      </c>
      <c r="G116" s="38">
        <f t="shared" si="3"/>
        <v>9</v>
      </c>
      <c r="H116" s="39">
        <f>VLOOKUP($C116, State!$A$2:$C332, 3, FALSE)</f>
        <v>61980</v>
      </c>
      <c r="I116" s="40">
        <f t="shared" si="4"/>
        <v>12744141.66</v>
      </c>
    </row>
    <row r="117">
      <c r="A117" s="36" t="str">
        <f t="shared" si="1"/>
        <v>CapeCoral_FL</v>
      </c>
      <c r="B117" s="36" t="s">
        <v>207</v>
      </c>
      <c r="C117" s="36" t="s">
        <v>77</v>
      </c>
      <c r="D117" s="37" t="str">
        <f>VLOOKUP($C117, State!$A$2:$C332, 2, FALSE)</f>
        <v>FL</v>
      </c>
      <c r="E117" s="29">
        <v>204510.0</v>
      </c>
      <c r="F117" s="38">
        <f t="shared" si="2"/>
        <v>0.6515151515</v>
      </c>
      <c r="G117" s="38">
        <f t="shared" si="3"/>
        <v>9</v>
      </c>
      <c r="H117" s="39">
        <f>VLOOKUP($C117, State!$A$2:$C332, 3, FALSE)</f>
        <v>59227</v>
      </c>
      <c r="I117" s="40">
        <f t="shared" si="4"/>
        <v>12112513.77</v>
      </c>
    </row>
    <row r="118">
      <c r="A118" s="36" t="str">
        <f t="shared" si="1"/>
        <v>McKinney_TX</v>
      </c>
      <c r="B118" s="36" t="s">
        <v>208</v>
      </c>
      <c r="C118" s="36" t="s">
        <v>66</v>
      </c>
      <c r="D118" s="37" t="str">
        <f>VLOOKUP($C118, State!$A$2:$C332, 2, FALSE)</f>
        <v>TX</v>
      </c>
      <c r="E118" s="29">
        <v>202690.0</v>
      </c>
      <c r="F118" s="38">
        <f t="shared" si="2"/>
        <v>0.6484848485</v>
      </c>
      <c r="G118" s="38">
        <f t="shared" si="3"/>
        <v>9</v>
      </c>
      <c r="H118" s="39">
        <f>VLOOKUP($C118, State!$A$2:$C332, 3, FALSE)</f>
        <v>64034</v>
      </c>
      <c r="I118" s="40">
        <f t="shared" si="4"/>
        <v>12979051.46</v>
      </c>
    </row>
    <row r="119">
      <c r="A119" s="36" t="str">
        <f t="shared" si="1"/>
        <v>LittleRock_AR</v>
      </c>
      <c r="B119" s="36" t="s">
        <v>209</v>
      </c>
      <c r="C119" s="36" t="s">
        <v>210</v>
      </c>
      <c r="D119" s="37" t="str">
        <f>VLOOKUP($C119, State!$A$2:$C332, 2, FALSE)</f>
        <v>AR</v>
      </c>
      <c r="E119" s="29">
        <v>201998.0</v>
      </c>
      <c r="F119" s="38">
        <f t="shared" si="2"/>
        <v>0.6454545455</v>
      </c>
      <c r="G119" s="38">
        <f t="shared" si="3"/>
        <v>9</v>
      </c>
      <c r="H119" s="39">
        <f>VLOOKUP($C119, State!$A$2:$C332, 3, FALSE)</f>
        <v>48952</v>
      </c>
      <c r="I119" s="40">
        <f t="shared" si="4"/>
        <v>9888206.096</v>
      </c>
    </row>
    <row r="120">
      <c r="A120" s="36" t="str">
        <f t="shared" si="1"/>
        <v>Oxnard_CA</v>
      </c>
      <c r="B120" s="36" t="s">
        <v>211</v>
      </c>
      <c r="C120" s="36" t="s">
        <v>62</v>
      </c>
      <c r="D120" s="37" t="str">
        <f>VLOOKUP($C120, State!$A$2:$C332, 2, FALSE)</f>
        <v>CA</v>
      </c>
      <c r="E120" s="29">
        <v>201879.0</v>
      </c>
      <c r="F120" s="38">
        <f t="shared" si="2"/>
        <v>0.6424242424</v>
      </c>
      <c r="G120" s="38">
        <f t="shared" si="3"/>
        <v>9</v>
      </c>
      <c r="H120" s="39">
        <f>VLOOKUP($C120, State!$A$2:$C332, 3, FALSE)</f>
        <v>80440</v>
      </c>
      <c r="I120" s="40">
        <f t="shared" si="4"/>
        <v>16239146.76</v>
      </c>
    </row>
    <row r="121">
      <c r="A121" s="36" t="str">
        <f t="shared" si="1"/>
        <v>Amarillo_TX</v>
      </c>
      <c r="B121" s="36" t="s">
        <v>212</v>
      </c>
      <c r="C121" s="36" t="s">
        <v>66</v>
      </c>
      <c r="D121" s="37" t="str">
        <f>VLOOKUP($C121, State!$A$2:$C332, 2, FALSE)</f>
        <v>TX</v>
      </c>
      <c r="E121" s="29">
        <v>201234.0</v>
      </c>
      <c r="F121" s="38">
        <f t="shared" si="2"/>
        <v>0.6393939394</v>
      </c>
      <c r="G121" s="38">
        <f t="shared" si="3"/>
        <v>9</v>
      </c>
      <c r="H121" s="39">
        <f>VLOOKUP($C121, State!$A$2:$C332, 3, FALSE)</f>
        <v>64034</v>
      </c>
      <c r="I121" s="40">
        <f t="shared" si="4"/>
        <v>12885817.96</v>
      </c>
    </row>
    <row r="122">
      <c r="A122" s="36" t="str">
        <f t="shared" si="1"/>
        <v>Augusta_GA</v>
      </c>
      <c r="B122" s="36" t="s">
        <v>213</v>
      </c>
      <c r="C122" s="36" t="s">
        <v>119</v>
      </c>
      <c r="D122" s="37" t="str">
        <f>VLOOKUP($C122, State!$A$2:$C332, 2, FALSE)</f>
        <v>GA</v>
      </c>
      <c r="E122" s="29">
        <v>201196.0</v>
      </c>
      <c r="F122" s="38">
        <f t="shared" si="2"/>
        <v>0.6363636364</v>
      </c>
      <c r="G122" s="38">
        <f t="shared" si="3"/>
        <v>8</v>
      </c>
      <c r="H122" s="39">
        <f>VLOOKUP($C122, State!$A$2:$C332, 3, FALSE)</f>
        <v>61980</v>
      </c>
      <c r="I122" s="40">
        <f t="shared" si="4"/>
        <v>12470128.08</v>
      </c>
    </row>
    <row r="123">
      <c r="A123" s="36" t="str">
        <f t="shared" si="1"/>
        <v>SaltLakeCity_UT</v>
      </c>
      <c r="B123" s="36" t="s">
        <v>214</v>
      </c>
      <c r="C123" s="36" t="s">
        <v>215</v>
      </c>
      <c r="D123" s="37" t="str">
        <f>VLOOKUP($C123, State!$A$2:$C332, 2, FALSE)</f>
        <v>UT</v>
      </c>
      <c r="E123" s="29">
        <v>200478.0</v>
      </c>
      <c r="F123" s="38">
        <f t="shared" si="2"/>
        <v>0.6333333333</v>
      </c>
      <c r="G123" s="38">
        <f t="shared" si="3"/>
        <v>8</v>
      </c>
      <c r="H123" s="39">
        <f>VLOOKUP($C123, State!$A$2:$C332, 3, FALSE)</f>
        <v>75780</v>
      </c>
      <c r="I123" s="40">
        <f t="shared" si="4"/>
        <v>15192222.84</v>
      </c>
    </row>
    <row r="124">
      <c r="A124" s="36" t="str">
        <f t="shared" si="1"/>
        <v>Montgomery_AL</v>
      </c>
      <c r="B124" s="36" t="s">
        <v>216</v>
      </c>
      <c r="C124" s="36" t="s">
        <v>197</v>
      </c>
      <c r="D124" s="37" t="str">
        <f>VLOOKUP($C124, State!$A$2:$C332, 2, FALSE)</f>
        <v>AL</v>
      </c>
      <c r="E124" s="29">
        <v>198665.0</v>
      </c>
      <c r="F124" s="38">
        <f t="shared" si="2"/>
        <v>0.6303030303</v>
      </c>
      <c r="G124" s="38">
        <f t="shared" si="3"/>
        <v>8</v>
      </c>
      <c r="H124" s="39">
        <f>VLOOKUP($C124, State!$A$2:$C332, 3, FALSE)</f>
        <v>51734</v>
      </c>
      <c r="I124" s="40">
        <f t="shared" si="4"/>
        <v>10277735.11</v>
      </c>
    </row>
    <row r="125">
      <c r="A125" s="36" t="str">
        <f t="shared" si="1"/>
        <v>Birmingham_AL</v>
      </c>
      <c r="B125" s="36" t="s">
        <v>217</v>
      </c>
      <c r="C125" s="36" t="s">
        <v>197</v>
      </c>
      <c r="D125" s="37" t="str">
        <f>VLOOKUP($C125, State!$A$2:$C332, 2, FALSE)</f>
        <v>AL</v>
      </c>
      <c r="E125" s="29">
        <v>197575.0</v>
      </c>
      <c r="F125" s="38">
        <f t="shared" si="2"/>
        <v>0.6272727273</v>
      </c>
      <c r="G125" s="38">
        <f t="shared" si="3"/>
        <v>8</v>
      </c>
      <c r="H125" s="39">
        <f>VLOOKUP($C125, State!$A$2:$C332, 3, FALSE)</f>
        <v>51734</v>
      </c>
      <c r="I125" s="40">
        <f t="shared" si="4"/>
        <v>10221345.05</v>
      </c>
    </row>
    <row r="126">
      <c r="A126" s="36" t="str">
        <f t="shared" si="1"/>
        <v>GrandRapids_MI</v>
      </c>
      <c r="B126" s="36" t="s">
        <v>218</v>
      </c>
      <c r="C126" s="36" t="s">
        <v>102</v>
      </c>
      <c r="D126" s="37" t="str">
        <f>VLOOKUP($C126, State!$A$2:$C332, 2, FALSE)</f>
        <v>MI</v>
      </c>
      <c r="E126" s="29">
        <v>197416.0</v>
      </c>
      <c r="F126" s="38">
        <f t="shared" si="2"/>
        <v>0.6242424242</v>
      </c>
      <c r="G126" s="38">
        <f t="shared" si="3"/>
        <v>8</v>
      </c>
      <c r="H126" s="39">
        <f>VLOOKUP($C126, State!$A$2:$C332, 3, FALSE)</f>
        <v>59584</v>
      </c>
      <c r="I126" s="40">
        <f t="shared" si="4"/>
        <v>11762834.94</v>
      </c>
    </row>
    <row r="127">
      <c r="A127" s="36" t="str">
        <f t="shared" si="1"/>
        <v>GrandPrairie_TX</v>
      </c>
      <c r="B127" s="36" t="s">
        <v>219</v>
      </c>
      <c r="C127" s="36" t="s">
        <v>66</v>
      </c>
      <c r="D127" s="37" t="str">
        <f>VLOOKUP($C127, State!$A$2:$C332, 2, FALSE)</f>
        <v>TX</v>
      </c>
      <c r="E127" s="29">
        <v>197347.0</v>
      </c>
      <c r="F127" s="38">
        <f t="shared" si="2"/>
        <v>0.6212121212</v>
      </c>
      <c r="G127" s="38">
        <f t="shared" si="3"/>
        <v>8</v>
      </c>
      <c r="H127" s="39">
        <f>VLOOKUP($C127, State!$A$2:$C332, 3, FALSE)</f>
        <v>64034</v>
      </c>
      <c r="I127" s="40">
        <f t="shared" si="4"/>
        <v>12636917.8</v>
      </c>
    </row>
    <row r="128">
      <c r="A128" s="36" t="str">
        <f t="shared" si="1"/>
        <v>OverlandPark_KA</v>
      </c>
      <c r="B128" s="36" t="s">
        <v>220</v>
      </c>
      <c r="C128" s="36" t="s">
        <v>134</v>
      </c>
      <c r="D128" s="37" t="str">
        <f>VLOOKUP($C128, State!$A$2:$C332, 2, FALSE)</f>
        <v>KA</v>
      </c>
      <c r="E128" s="29">
        <v>197106.0</v>
      </c>
      <c r="F128" s="38">
        <f t="shared" si="2"/>
        <v>0.6181818182</v>
      </c>
      <c r="G128" s="38">
        <f t="shared" si="3"/>
        <v>8</v>
      </c>
      <c r="H128" s="39">
        <f>VLOOKUP($C128, State!$A$2:$C332, 3, FALSE)</f>
        <v>62087</v>
      </c>
      <c r="I128" s="40">
        <f t="shared" si="4"/>
        <v>12237720.22</v>
      </c>
    </row>
    <row r="129">
      <c r="A129" s="36" t="str">
        <f t="shared" si="1"/>
        <v>Tallahassee_FL</v>
      </c>
      <c r="B129" s="36" t="s">
        <v>221</v>
      </c>
      <c r="C129" s="36" t="s">
        <v>77</v>
      </c>
      <c r="D129" s="37" t="str">
        <f>VLOOKUP($C129, State!$A$2:$C332, 2, FALSE)</f>
        <v>FL</v>
      </c>
      <c r="E129" s="29">
        <v>197102.0</v>
      </c>
      <c r="F129" s="38">
        <f t="shared" si="2"/>
        <v>0.6151515152</v>
      </c>
      <c r="G129" s="38">
        <f t="shared" si="3"/>
        <v>8</v>
      </c>
      <c r="H129" s="39">
        <f>VLOOKUP($C129, State!$A$2:$C332, 3, FALSE)</f>
        <v>59227</v>
      </c>
      <c r="I129" s="40">
        <f t="shared" si="4"/>
        <v>11673760.15</v>
      </c>
    </row>
    <row r="130">
      <c r="A130" s="36" t="str">
        <f t="shared" si="1"/>
        <v>HuntingtonBeach_CA</v>
      </c>
      <c r="B130" s="36" t="s">
        <v>222</v>
      </c>
      <c r="C130" s="36" t="s">
        <v>62</v>
      </c>
      <c r="D130" s="37" t="str">
        <f>VLOOKUP($C130, State!$A$2:$C332, 2, FALSE)</f>
        <v>CA</v>
      </c>
      <c r="E130" s="29">
        <v>196652.0</v>
      </c>
      <c r="F130" s="38">
        <f t="shared" si="2"/>
        <v>0.6121212121</v>
      </c>
      <c r="G130" s="38">
        <f t="shared" si="3"/>
        <v>8</v>
      </c>
      <c r="H130" s="39">
        <f>VLOOKUP($C130, State!$A$2:$C332, 3, FALSE)</f>
        <v>80440</v>
      </c>
      <c r="I130" s="40">
        <f t="shared" si="4"/>
        <v>15818686.88</v>
      </c>
    </row>
    <row r="131">
      <c r="A131" s="36" t="str">
        <f t="shared" si="1"/>
        <v>SiouxFalls_SD</v>
      </c>
      <c r="B131" s="36" t="s">
        <v>223</v>
      </c>
      <c r="C131" s="36" t="s">
        <v>224</v>
      </c>
      <c r="D131" s="37" t="str">
        <f>VLOOKUP($C131, State!$A$2:$C332, 2, FALSE)</f>
        <v>SD</v>
      </c>
      <c r="E131" s="29">
        <v>196528.0</v>
      </c>
      <c r="F131" s="38">
        <f t="shared" si="2"/>
        <v>0.6090909091</v>
      </c>
      <c r="G131" s="38">
        <f t="shared" si="3"/>
        <v>8</v>
      </c>
      <c r="H131" s="39">
        <f>VLOOKUP($C131, State!$A$2:$C332, 3, FALSE)</f>
        <v>59533</v>
      </c>
      <c r="I131" s="40">
        <f t="shared" si="4"/>
        <v>11699901.42</v>
      </c>
    </row>
    <row r="132">
      <c r="A132" s="36" t="str">
        <f t="shared" si="1"/>
        <v>Peoria_AZ</v>
      </c>
      <c r="B132" s="36" t="s">
        <v>225</v>
      </c>
      <c r="C132" s="36" t="s">
        <v>68</v>
      </c>
      <c r="D132" s="37" t="str">
        <f>VLOOKUP($C132, State!$A$2:$C332, 2, FALSE)</f>
        <v>AZ</v>
      </c>
      <c r="E132" s="29">
        <v>194917.0</v>
      </c>
      <c r="F132" s="38">
        <f t="shared" si="2"/>
        <v>0.6060606061</v>
      </c>
      <c r="G132" s="38">
        <f t="shared" si="3"/>
        <v>8</v>
      </c>
      <c r="H132" s="39">
        <f>VLOOKUP($C132, State!$A$2:$C332, 3, FALSE)</f>
        <v>62055</v>
      </c>
      <c r="I132" s="40">
        <f t="shared" si="4"/>
        <v>12095574.44</v>
      </c>
    </row>
    <row r="133">
      <c r="A133" s="36" t="str">
        <f t="shared" si="1"/>
        <v>Knoxville_TN</v>
      </c>
      <c r="B133" s="36" t="s">
        <v>226</v>
      </c>
      <c r="C133" s="36" t="s">
        <v>92</v>
      </c>
      <c r="D133" s="37" t="str">
        <f>VLOOKUP($C133, State!$A$2:$C332, 2, FALSE)</f>
        <v>TN</v>
      </c>
      <c r="E133" s="29">
        <v>192648.0</v>
      </c>
      <c r="F133" s="38">
        <f t="shared" si="2"/>
        <v>0.603030303</v>
      </c>
      <c r="G133" s="38">
        <f t="shared" si="3"/>
        <v>8</v>
      </c>
      <c r="H133" s="39">
        <f>VLOOKUP($C133, State!$A$2:$C332, 3, FALSE)</f>
        <v>56071</v>
      </c>
      <c r="I133" s="40">
        <f t="shared" si="4"/>
        <v>10801966.01</v>
      </c>
    </row>
    <row r="134">
      <c r="A134" s="36" t="str">
        <f t="shared" si="1"/>
        <v>Glendale_CA</v>
      </c>
      <c r="B134" s="36" t="s">
        <v>180</v>
      </c>
      <c r="C134" s="36" t="s">
        <v>62</v>
      </c>
      <c r="D134" s="37" t="str">
        <f>VLOOKUP($C134, State!$A$2:$C332, 2, FALSE)</f>
        <v>CA</v>
      </c>
      <c r="E134" s="29">
        <v>192366.0</v>
      </c>
      <c r="F134" s="38">
        <f t="shared" si="2"/>
        <v>0.6</v>
      </c>
      <c r="G134" s="38">
        <f t="shared" si="3"/>
        <v>8</v>
      </c>
      <c r="H134" s="39">
        <f>VLOOKUP($C134, State!$A$2:$C332, 3, FALSE)</f>
        <v>80440</v>
      </c>
      <c r="I134" s="40">
        <f t="shared" si="4"/>
        <v>15473921.04</v>
      </c>
    </row>
    <row r="135">
      <c r="A135" s="36" t="str">
        <f t="shared" si="1"/>
        <v>Vancouver_WA</v>
      </c>
      <c r="B135" s="36" t="s">
        <v>227</v>
      </c>
      <c r="C135" s="36" t="s">
        <v>87</v>
      </c>
      <c r="D135" s="37" t="str">
        <f>VLOOKUP($C135, State!$A$2:$C332, 2, FALSE)</f>
        <v>WA</v>
      </c>
      <c r="E135" s="29">
        <v>192169.0</v>
      </c>
      <c r="F135" s="38">
        <f t="shared" si="2"/>
        <v>0.596969697</v>
      </c>
      <c r="G135" s="38">
        <f t="shared" si="3"/>
        <v>8</v>
      </c>
      <c r="H135" s="39">
        <f>VLOOKUP($C135, State!$A$2:$C332, 3, FALSE)</f>
        <v>78687</v>
      </c>
      <c r="I135" s="40">
        <f t="shared" si="4"/>
        <v>15121202.1</v>
      </c>
    </row>
    <row r="136">
      <c r="A136" s="36" t="str">
        <f t="shared" si="1"/>
        <v>Providence_RI</v>
      </c>
      <c r="B136" s="36" t="s">
        <v>228</v>
      </c>
      <c r="C136" s="36" t="s">
        <v>229</v>
      </c>
      <c r="D136" s="37" t="str">
        <f>VLOOKUP($C136, State!$A$2:$C332, 2, FALSE)</f>
        <v>RI</v>
      </c>
      <c r="E136" s="29">
        <v>189692.0</v>
      </c>
      <c r="F136" s="38">
        <f t="shared" si="2"/>
        <v>0.5939393939</v>
      </c>
      <c r="G136" s="38">
        <f t="shared" si="3"/>
        <v>8</v>
      </c>
      <c r="H136" s="39">
        <f>VLOOKUP($C136, State!$A$2:$C332, 3, FALSE)</f>
        <v>71169</v>
      </c>
      <c r="I136" s="40">
        <f t="shared" si="4"/>
        <v>13500189.95</v>
      </c>
    </row>
    <row r="137">
      <c r="A137" s="36" t="str">
        <f t="shared" si="1"/>
        <v>Akron_OH</v>
      </c>
      <c r="B137" s="36" t="s">
        <v>230</v>
      </c>
      <c r="C137" s="36" t="s">
        <v>80</v>
      </c>
      <c r="D137" s="37" t="str">
        <f>VLOOKUP($C137, State!$A$2:$C332, 2, FALSE)</f>
        <v>OH</v>
      </c>
      <c r="E137" s="29">
        <v>189347.0</v>
      </c>
      <c r="F137" s="38">
        <f t="shared" si="2"/>
        <v>0.5909090909</v>
      </c>
      <c r="G137" s="38">
        <f t="shared" si="3"/>
        <v>8</v>
      </c>
      <c r="H137" s="39">
        <f>VLOOKUP($C137, State!$A$2:$C332, 3, FALSE)</f>
        <v>58642</v>
      </c>
      <c r="I137" s="40">
        <f t="shared" si="4"/>
        <v>11103686.77</v>
      </c>
    </row>
    <row r="138">
      <c r="A138" s="36" t="str">
        <f t="shared" si="1"/>
        <v>Brownsville_TX</v>
      </c>
      <c r="B138" s="36" t="s">
        <v>231</v>
      </c>
      <c r="C138" s="36" t="s">
        <v>66</v>
      </c>
      <c r="D138" s="37" t="str">
        <f>VLOOKUP($C138, State!$A$2:$C332, 2, FALSE)</f>
        <v>TX</v>
      </c>
      <c r="E138" s="29">
        <v>187831.0</v>
      </c>
      <c r="F138" s="38">
        <f t="shared" si="2"/>
        <v>0.5878787879</v>
      </c>
      <c r="G138" s="38">
        <f t="shared" si="3"/>
        <v>8</v>
      </c>
      <c r="H138" s="39">
        <f>VLOOKUP($C138, State!$A$2:$C332, 3, FALSE)</f>
        <v>64034</v>
      </c>
      <c r="I138" s="40">
        <f t="shared" si="4"/>
        <v>12027570.25</v>
      </c>
    </row>
    <row r="139">
      <c r="A139" s="36" t="str">
        <f t="shared" si="1"/>
        <v>Mobile_AL</v>
      </c>
      <c r="B139" s="36" t="s">
        <v>232</v>
      </c>
      <c r="C139" s="36" t="s">
        <v>197</v>
      </c>
      <c r="D139" s="37" t="str">
        <f>VLOOKUP($C139, State!$A$2:$C332, 2, FALSE)</f>
        <v>AL</v>
      </c>
      <c r="E139" s="29">
        <v>184952.0</v>
      </c>
      <c r="F139" s="38">
        <f t="shared" si="2"/>
        <v>0.5848484848</v>
      </c>
      <c r="G139" s="38">
        <f t="shared" si="3"/>
        <v>8</v>
      </c>
      <c r="H139" s="39">
        <f>VLOOKUP($C139, State!$A$2:$C332, 3, FALSE)</f>
        <v>51734</v>
      </c>
      <c r="I139" s="40">
        <f t="shared" si="4"/>
        <v>9568306.768</v>
      </c>
    </row>
    <row r="140">
      <c r="A140" s="36" t="str">
        <f t="shared" si="1"/>
        <v>NewportNews_VA</v>
      </c>
      <c r="B140" s="36" t="s">
        <v>233</v>
      </c>
      <c r="C140" s="36" t="s">
        <v>125</v>
      </c>
      <c r="D140" s="37" t="str">
        <f>VLOOKUP($C140, State!$A$2:$C332, 2, FALSE)</f>
        <v>VA</v>
      </c>
      <c r="E140" s="29">
        <v>184587.0</v>
      </c>
      <c r="F140" s="38">
        <f t="shared" si="2"/>
        <v>0.5818181818</v>
      </c>
      <c r="G140" s="38">
        <f t="shared" si="3"/>
        <v>8</v>
      </c>
      <c r="H140" s="39">
        <f>VLOOKUP($C140, State!$A$2:$C332, 3, FALSE)</f>
        <v>76456</v>
      </c>
      <c r="I140" s="40">
        <f t="shared" si="4"/>
        <v>14112783.67</v>
      </c>
    </row>
    <row r="141">
      <c r="A141" s="36" t="str">
        <f t="shared" si="1"/>
        <v>Tempe_AZ</v>
      </c>
      <c r="B141" s="36" t="s">
        <v>234</v>
      </c>
      <c r="C141" s="36" t="s">
        <v>68</v>
      </c>
      <c r="D141" s="37" t="str">
        <f>VLOOKUP($C141, State!$A$2:$C332, 2, FALSE)</f>
        <v>AZ</v>
      </c>
      <c r="E141" s="29">
        <v>184118.0</v>
      </c>
      <c r="F141" s="38">
        <f t="shared" si="2"/>
        <v>0.5787878788</v>
      </c>
      <c r="G141" s="38">
        <f t="shared" si="3"/>
        <v>8</v>
      </c>
      <c r="H141" s="39">
        <f>VLOOKUP($C141, State!$A$2:$C332, 3, FALSE)</f>
        <v>62055</v>
      </c>
      <c r="I141" s="40">
        <f t="shared" si="4"/>
        <v>11425442.49</v>
      </c>
    </row>
    <row r="142">
      <c r="A142" s="36" t="str">
        <f t="shared" si="1"/>
        <v>Shreveport_LA</v>
      </c>
      <c r="B142" s="36" t="s">
        <v>235</v>
      </c>
      <c r="C142" s="36" t="s">
        <v>139</v>
      </c>
      <c r="D142" s="37" t="str">
        <f>VLOOKUP($C142, State!$A$2:$C332, 2, FALSE)</f>
        <v>LA</v>
      </c>
      <c r="E142" s="29">
        <v>184021.0</v>
      </c>
      <c r="F142" s="38">
        <f t="shared" si="2"/>
        <v>0.5757575758</v>
      </c>
      <c r="G142" s="38">
        <f t="shared" si="3"/>
        <v>8</v>
      </c>
      <c r="H142" s="39">
        <f>VLOOKUP($C142, State!$A$2:$C332, 3, FALSE)</f>
        <v>51073</v>
      </c>
      <c r="I142" s="40">
        <f t="shared" si="4"/>
        <v>9398504.533</v>
      </c>
    </row>
    <row r="143">
      <c r="A143" s="36" t="str">
        <f t="shared" si="1"/>
        <v>Chattanooga_TN</v>
      </c>
      <c r="B143" s="36" t="s">
        <v>236</v>
      </c>
      <c r="C143" s="36" t="s">
        <v>92</v>
      </c>
      <c r="D143" s="37" t="str">
        <f>VLOOKUP($C143, State!$A$2:$C332, 2, FALSE)</f>
        <v>TN</v>
      </c>
      <c r="E143" s="29">
        <v>182113.0</v>
      </c>
      <c r="F143" s="38">
        <f t="shared" si="2"/>
        <v>0.5727272727</v>
      </c>
      <c r="G143" s="38">
        <f t="shared" si="3"/>
        <v>8</v>
      </c>
      <c r="H143" s="39">
        <f>VLOOKUP($C143, State!$A$2:$C332, 3, FALSE)</f>
        <v>56071</v>
      </c>
      <c r="I143" s="40">
        <f t="shared" si="4"/>
        <v>10211258.02</v>
      </c>
    </row>
    <row r="144">
      <c r="A144" s="36" t="str">
        <f t="shared" si="1"/>
        <v>FortLauderdale_FL</v>
      </c>
      <c r="B144" s="36" t="s">
        <v>237</v>
      </c>
      <c r="C144" s="36" t="s">
        <v>77</v>
      </c>
      <c r="D144" s="37" t="str">
        <f>VLOOKUP($C144, State!$A$2:$C332, 2, FALSE)</f>
        <v>FL</v>
      </c>
      <c r="E144" s="29">
        <v>181668.0</v>
      </c>
      <c r="F144" s="38">
        <f t="shared" si="2"/>
        <v>0.5696969697</v>
      </c>
      <c r="G144" s="38">
        <f t="shared" si="3"/>
        <v>8</v>
      </c>
      <c r="H144" s="39">
        <f>VLOOKUP($C144, State!$A$2:$C332, 3, FALSE)</f>
        <v>59227</v>
      </c>
      <c r="I144" s="40">
        <f t="shared" si="4"/>
        <v>10759650.64</v>
      </c>
    </row>
    <row r="145">
      <c r="A145" s="36" t="str">
        <f t="shared" si="1"/>
        <v>Aurora_IL</v>
      </c>
      <c r="B145" s="36" t="s">
        <v>136</v>
      </c>
      <c r="C145" s="36" t="s">
        <v>64</v>
      </c>
      <c r="D145" s="37" t="str">
        <f>VLOOKUP($C145, State!$A$2:$C332, 2, FALSE)</f>
        <v>IL</v>
      </c>
      <c r="E145" s="29">
        <v>179266.0</v>
      </c>
      <c r="F145" s="38">
        <f t="shared" si="2"/>
        <v>0.5666666667</v>
      </c>
      <c r="G145" s="38">
        <f t="shared" si="3"/>
        <v>8</v>
      </c>
      <c r="H145" s="39">
        <f>VLOOKUP($C145, State!$A$2:$C332, 3, FALSE)</f>
        <v>69187</v>
      </c>
      <c r="I145" s="40">
        <f t="shared" si="4"/>
        <v>12402876.74</v>
      </c>
    </row>
    <row r="146">
      <c r="A146" s="36" t="str">
        <f t="shared" si="1"/>
        <v>ElkGrove_CA</v>
      </c>
      <c r="B146" s="36" t="s">
        <v>238</v>
      </c>
      <c r="C146" s="36" t="s">
        <v>62</v>
      </c>
      <c r="D146" s="37" t="str">
        <f>VLOOKUP($C146, State!$A$2:$C332, 2, FALSE)</f>
        <v>CA</v>
      </c>
      <c r="E146" s="29">
        <v>178997.0</v>
      </c>
      <c r="F146" s="38">
        <f t="shared" si="2"/>
        <v>0.5636363636</v>
      </c>
      <c r="G146" s="38">
        <f t="shared" si="3"/>
        <v>8</v>
      </c>
      <c r="H146" s="39">
        <f>VLOOKUP($C146, State!$A$2:$C332, 3, FALSE)</f>
        <v>80440</v>
      </c>
      <c r="I146" s="40">
        <f t="shared" si="4"/>
        <v>14398518.68</v>
      </c>
    </row>
    <row r="147">
      <c r="A147" s="36" t="str">
        <f t="shared" si="1"/>
        <v>Ontario_CA</v>
      </c>
      <c r="B147" s="36" t="s">
        <v>239</v>
      </c>
      <c r="C147" s="36" t="s">
        <v>62</v>
      </c>
      <c r="D147" s="37" t="str">
        <f>VLOOKUP($C147, State!$A$2:$C332, 2, FALSE)</f>
        <v>CA</v>
      </c>
      <c r="E147" s="29">
        <v>177963.0</v>
      </c>
      <c r="F147" s="38">
        <f t="shared" si="2"/>
        <v>0.5606060606</v>
      </c>
      <c r="G147" s="38">
        <f t="shared" si="3"/>
        <v>8</v>
      </c>
      <c r="H147" s="39">
        <f>VLOOKUP($C147, State!$A$2:$C332, 3, FALSE)</f>
        <v>80440</v>
      </c>
      <c r="I147" s="40">
        <f t="shared" si="4"/>
        <v>14315343.72</v>
      </c>
    </row>
    <row r="148">
      <c r="A148" s="36" t="str">
        <f t="shared" si="1"/>
        <v>Salem_OR</v>
      </c>
      <c r="B148" s="36" t="s">
        <v>240</v>
      </c>
      <c r="C148" s="36" t="s">
        <v>100</v>
      </c>
      <c r="D148" s="37" t="str">
        <f>VLOOKUP($C148, State!$A$2:$C332, 2, FALSE)</f>
        <v>OR</v>
      </c>
      <c r="E148" s="29">
        <v>177723.0</v>
      </c>
      <c r="F148" s="38">
        <f t="shared" si="2"/>
        <v>0.5575757576</v>
      </c>
      <c r="G148" s="38">
        <f t="shared" si="3"/>
        <v>8</v>
      </c>
      <c r="H148" s="39">
        <f>VLOOKUP($C148, State!$A$2:$C332, 3, FALSE)</f>
        <v>67058</v>
      </c>
      <c r="I148" s="40">
        <f t="shared" si="4"/>
        <v>11917748.93</v>
      </c>
    </row>
    <row r="149">
      <c r="A149" s="36" t="str">
        <f t="shared" si="1"/>
        <v>Cary_NC</v>
      </c>
      <c r="B149" s="36" t="s">
        <v>241</v>
      </c>
      <c r="C149" s="36" t="s">
        <v>84</v>
      </c>
      <c r="D149" s="37" t="str">
        <f>VLOOKUP($C149, State!$A$2:$C332, 2, FALSE)</f>
        <v>NC</v>
      </c>
      <c r="E149" s="29">
        <v>176987.0</v>
      </c>
      <c r="F149" s="38">
        <f t="shared" si="2"/>
        <v>0.5545454545</v>
      </c>
      <c r="G149" s="38">
        <f t="shared" si="3"/>
        <v>8</v>
      </c>
      <c r="H149" s="39">
        <f>VLOOKUP($C149, State!$A$2:$C332, 3, FALSE)</f>
        <v>57341</v>
      </c>
      <c r="I149" s="40">
        <f t="shared" si="4"/>
        <v>10148611.57</v>
      </c>
    </row>
    <row r="150">
      <c r="A150" s="36" t="str">
        <f t="shared" si="1"/>
        <v>SantaRosa_CA</v>
      </c>
      <c r="B150" s="36" t="s">
        <v>242</v>
      </c>
      <c r="C150" s="36" t="s">
        <v>62</v>
      </c>
      <c r="D150" s="37" t="str">
        <f>VLOOKUP($C150, State!$A$2:$C332, 2, FALSE)</f>
        <v>CA</v>
      </c>
      <c r="E150" s="29">
        <v>176938.0</v>
      </c>
      <c r="F150" s="38">
        <f t="shared" si="2"/>
        <v>0.5515151515</v>
      </c>
      <c r="G150" s="38">
        <f t="shared" si="3"/>
        <v>8</v>
      </c>
      <c r="H150" s="39">
        <f>VLOOKUP($C150, State!$A$2:$C332, 3, FALSE)</f>
        <v>80440</v>
      </c>
      <c r="I150" s="40">
        <f t="shared" si="4"/>
        <v>14232892.72</v>
      </c>
    </row>
    <row r="151">
      <c r="A151" s="36" t="str">
        <f t="shared" si="1"/>
        <v>RanchoCucamonga_CA</v>
      </c>
      <c r="B151" s="36" t="s">
        <v>243</v>
      </c>
      <c r="C151" s="36" t="s">
        <v>62</v>
      </c>
      <c r="D151" s="37" t="str">
        <f>VLOOKUP($C151, State!$A$2:$C332, 2, FALSE)</f>
        <v>CA</v>
      </c>
      <c r="E151" s="29">
        <v>175142.0</v>
      </c>
      <c r="F151" s="38">
        <f t="shared" si="2"/>
        <v>0.5484848485</v>
      </c>
      <c r="G151" s="38">
        <f t="shared" si="3"/>
        <v>8</v>
      </c>
      <c r="H151" s="39">
        <f>VLOOKUP($C151, State!$A$2:$C332, 3, FALSE)</f>
        <v>80440</v>
      </c>
      <c r="I151" s="40">
        <f t="shared" si="4"/>
        <v>14088422.48</v>
      </c>
    </row>
    <row r="152">
      <c r="A152" s="36" t="str">
        <f t="shared" si="1"/>
        <v>Eugene_OR</v>
      </c>
      <c r="B152" s="36" t="s">
        <v>244</v>
      </c>
      <c r="C152" s="36" t="s">
        <v>100</v>
      </c>
      <c r="D152" s="37" t="str">
        <f>VLOOKUP($C152, State!$A$2:$C332, 2, FALSE)</f>
        <v>OR</v>
      </c>
      <c r="E152" s="29">
        <v>175096.0</v>
      </c>
      <c r="F152" s="38">
        <f t="shared" si="2"/>
        <v>0.5454545455</v>
      </c>
      <c r="G152" s="38">
        <f t="shared" si="3"/>
        <v>7</v>
      </c>
      <c r="H152" s="39">
        <f>VLOOKUP($C152, State!$A$2:$C332, 3, FALSE)</f>
        <v>67058</v>
      </c>
      <c r="I152" s="40">
        <f t="shared" si="4"/>
        <v>11741587.57</v>
      </c>
    </row>
    <row r="153">
      <c r="A153" s="36" t="str">
        <f t="shared" si="1"/>
        <v>Oceanside_CA</v>
      </c>
      <c r="B153" s="36" t="s">
        <v>245</v>
      </c>
      <c r="C153" s="36" t="s">
        <v>62</v>
      </c>
      <c r="D153" s="37" t="str">
        <f>VLOOKUP($C153, State!$A$2:$C332, 2, FALSE)</f>
        <v>CA</v>
      </c>
      <c r="E153" s="29">
        <v>172982.0</v>
      </c>
      <c r="F153" s="38">
        <f t="shared" si="2"/>
        <v>0.5424242424</v>
      </c>
      <c r="G153" s="38">
        <f t="shared" si="3"/>
        <v>7</v>
      </c>
      <c r="H153" s="39">
        <f>VLOOKUP($C153, State!$A$2:$C332, 3, FALSE)</f>
        <v>80440</v>
      </c>
      <c r="I153" s="40">
        <f t="shared" si="4"/>
        <v>13914672.08</v>
      </c>
    </row>
    <row r="154">
      <c r="A154" s="36" t="str">
        <f t="shared" si="1"/>
        <v>Clarksville_TN</v>
      </c>
      <c r="B154" s="36" t="s">
        <v>246</v>
      </c>
      <c r="C154" s="36" t="s">
        <v>92</v>
      </c>
      <c r="D154" s="37" t="str">
        <f>VLOOKUP($C154, State!$A$2:$C332, 2, FALSE)</f>
        <v>TN</v>
      </c>
      <c r="E154" s="29">
        <v>170957.0</v>
      </c>
      <c r="F154" s="38">
        <f t="shared" si="2"/>
        <v>0.5393939394</v>
      </c>
      <c r="G154" s="38">
        <f t="shared" si="3"/>
        <v>7</v>
      </c>
      <c r="H154" s="39">
        <f>VLOOKUP($C154, State!$A$2:$C332, 3, FALSE)</f>
        <v>56071</v>
      </c>
      <c r="I154" s="40">
        <f t="shared" si="4"/>
        <v>9585729.947</v>
      </c>
    </row>
    <row r="155">
      <c r="A155" s="36" t="str">
        <f t="shared" si="1"/>
        <v>GardenGrove_CA</v>
      </c>
      <c r="B155" s="36" t="s">
        <v>247</v>
      </c>
      <c r="C155" s="36" t="s">
        <v>62</v>
      </c>
      <c r="D155" s="37" t="str">
        <f>VLOOKUP($C155, State!$A$2:$C332, 2, FALSE)</f>
        <v>CA</v>
      </c>
      <c r="E155" s="29">
        <v>170488.0</v>
      </c>
      <c r="F155" s="38">
        <f t="shared" si="2"/>
        <v>0.5363636364</v>
      </c>
      <c r="G155" s="38">
        <f t="shared" si="3"/>
        <v>7</v>
      </c>
      <c r="H155" s="39">
        <f>VLOOKUP($C155, State!$A$2:$C332, 3, FALSE)</f>
        <v>80440</v>
      </c>
      <c r="I155" s="40">
        <f t="shared" si="4"/>
        <v>13714054.72</v>
      </c>
    </row>
    <row r="156">
      <c r="A156" s="36" t="str">
        <f t="shared" si="1"/>
        <v>Lancaster_CA</v>
      </c>
      <c r="B156" s="36" t="s">
        <v>248</v>
      </c>
      <c r="C156" s="36" t="s">
        <v>62</v>
      </c>
      <c r="D156" s="37" t="str">
        <f>VLOOKUP($C156, State!$A$2:$C332, 2, FALSE)</f>
        <v>CA</v>
      </c>
      <c r="E156" s="29">
        <v>170150.0</v>
      </c>
      <c r="F156" s="38">
        <f t="shared" si="2"/>
        <v>0.5333333333</v>
      </c>
      <c r="G156" s="38">
        <f t="shared" si="3"/>
        <v>7</v>
      </c>
      <c r="H156" s="39">
        <f>VLOOKUP($C156, State!$A$2:$C332, 3, FALSE)</f>
        <v>80440</v>
      </c>
      <c r="I156" s="40">
        <f t="shared" si="4"/>
        <v>13686866</v>
      </c>
    </row>
    <row r="157">
      <c r="A157" s="36" t="str">
        <f t="shared" si="1"/>
        <v>Springfield_MO</v>
      </c>
      <c r="B157" s="36" t="s">
        <v>249</v>
      </c>
      <c r="C157" s="36" t="s">
        <v>117</v>
      </c>
      <c r="D157" s="37" t="str">
        <f>VLOOKUP($C157, State!$A$2:$C332, 2, FALSE)</f>
        <v>MO</v>
      </c>
      <c r="E157" s="29">
        <v>169724.0</v>
      </c>
      <c r="F157" s="38">
        <f t="shared" si="2"/>
        <v>0.5303030303</v>
      </c>
      <c r="G157" s="38">
        <f t="shared" si="3"/>
        <v>7</v>
      </c>
      <c r="H157" s="39">
        <f>VLOOKUP($C157, State!$A$2:$C332, 3, FALSE)</f>
        <v>57409</v>
      </c>
      <c r="I157" s="40">
        <f t="shared" si="4"/>
        <v>9743685.116</v>
      </c>
    </row>
    <row r="158">
      <c r="A158" s="36" t="str">
        <f t="shared" si="1"/>
        <v>PembrokePines_FL</v>
      </c>
      <c r="B158" s="36" t="s">
        <v>250</v>
      </c>
      <c r="C158" s="36" t="s">
        <v>77</v>
      </c>
      <c r="D158" s="37" t="str">
        <f>VLOOKUP($C158, State!$A$2:$C332, 2, FALSE)</f>
        <v>FL</v>
      </c>
      <c r="E158" s="29">
        <v>169391.0</v>
      </c>
      <c r="F158" s="38">
        <f t="shared" si="2"/>
        <v>0.5272727273</v>
      </c>
      <c r="G158" s="38">
        <f t="shared" si="3"/>
        <v>7</v>
      </c>
      <c r="H158" s="39">
        <f>VLOOKUP($C158, State!$A$2:$C332, 3, FALSE)</f>
        <v>59227</v>
      </c>
      <c r="I158" s="40">
        <f t="shared" si="4"/>
        <v>10032520.76</v>
      </c>
    </row>
    <row r="159">
      <c r="A159" s="36" t="str">
        <f t="shared" si="1"/>
        <v>FortCollins_CO</v>
      </c>
      <c r="B159" s="36" t="s">
        <v>251</v>
      </c>
      <c r="C159" s="36" t="s">
        <v>88</v>
      </c>
      <c r="D159" s="37" t="str">
        <f>VLOOKUP($C159, State!$A$2:$C332, 2, FALSE)</f>
        <v>CO</v>
      </c>
      <c r="E159" s="29">
        <v>168538.0</v>
      </c>
      <c r="F159" s="38">
        <f t="shared" si="2"/>
        <v>0.5242424242</v>
      </c>
      <c r="G159" s="38">
        <f t="shared" si="3"/>
        <v>7</v>
      </c>
      <c r="H159" s="39">
        <f>VLOOKUP($C159, State!$A$2:$C332, 3, FALSE)</f>
        <v>77127</v>
      </c>
      <c r="I159" s="40">
        <f t="shared" si="4"/>
        <v>12998830.33</v>
      </c>
    </row>
    <row r="160">
      <c r="A160" s="36" t="str">
        <f t="shared" si="1"/>
        <v>Palmdale_CA</v>
      </c>
      <c r="B160" s="36" t="s">
        <v>252</v>
      </c>
      <c r="C160" s="36" t="s">
        <v>62</v>
      </c>
      <c r="D160" s="37" t="str">
        <f>VLOOKUP($C160, State!$A$2:$C332, 2, FALSE)</f>
        <v>CA</v>
      </c>
      <c r="E160" s="29">
        <v>165761.0</v>
      </c>
      <c r="F160" s="38">
        <f t="shared" si="2"/>
        <v>0.5212121212</v>
      </c>
      <c r="G160" s="38">
        <f t="shared" si="3"/>
        <v>7</v>
      </c>
      <c r="H160" s="39">
        <f>VLOOKUP($C160, State!$A$2:$C332, 3, FALSE)</f>
        <v>80440</v>
      </c>
      <c r="I160" s="40">
        <f t="shared" si="4"/>
        <v>13333814.84</v>
      </c>
    </row>
    <row r="161">
      <c r="A161" s="36" t="str">
        <f t="shared" si="1"/>
        <v>Salinas_CA</v>
      </c>
      <c r="B161" s="36" t="s">
        <v>253</v>
      </c>
      <c r="C161" s="36" t="s">
        <v>62</v>
      </c>
      <c r="D161" s="37" t="str">
        <f>VLOOKUP($C161, State!$A$2:$C332, 2, FALSE)</f>
        <v>CA</v>
      </c>
      <c r="E161" s="29">
        <v>162791.0</v>
      </c>
      <c r="F161" s="38">
        <f t="shared" si="2"/>
        <v>0.5181818182</v>
      </c>
      <c r="G161" s="38">
        <f t="shared" si="3"/>
        <v>7</v>
      </c>
      <c r="H161" s="39">
        <f>VLOOKUP($C161, State!$A$2:$C332, 3, FALSE)</f>
        <v>80440</v>
      </c>
      <c r="I161" s="40">
        <f t="shared" si="4"/>
        <v>13094908.04</v>
      </c>
    </row>
    <row r="162">
      <c r="A162" s="36" t="str">
        <f t="shared" si="1"/>
        <v>Hayward_CA</v>
      </c>
      <c r="B162" s="36" t="s">
        <v>254</v>
      </c>
      <c r="C162" s="36" t="s">
        <v>62</v>
      </c>
      <c r="D162" s="37" t="str">
        <f>VLOOKUP($C162, State!$A$2:$C332, 2, FALSE)</f>
        <v>CA</v>
      </c>
      <c r="E162" s="29">
        <v>159827.0</v>
      </c>
      <c r="F162" s="38">
        <f t="shared" si="2"/>
        <v>0.5151515152</v>
      </c>
      <c r="G162" s="38">
        <f t="shared" si="3"/>
        <v>7</v>
      </c>
      <c r="H162" s="39">
        <f>VLOOKUP($C162, State!$A$2:$C332, 3, FALSE)</f>
        <v>80440</v>
      </c>
      <c r="I162" s="40">
        <f t="shared" si="4"/>
        <v>12856483.88</v>
      </c>
    </row>
    <row r="163">
      <c r="A163" s="36" t="str">
        <f t="shared" si="1"/>
        <v>Corona_CA</v>
      </c>
      <c r="B163" s="36" t="s">
        <v>255</v>
      </c>
      <c r="C163" s="36" t="s">
        <v>62</v>
      </c>
      <c r="D163" s="37" t="str">
        <f>VLOOKUP($C163, State!$A$2:$C332, 2, FALSE)</f>
        <v>CA</v>
      </c>
      <c r="E163" s="29">
        <v>159743.0</v>
      </c>
      <c r="F163" s="38">
        <f t="shared" si="2"/>
        <v>0.5121212121</v>
      </c>
      <c r="G163" s="38">
        <f t="shared" si="3"/>
        <v>7</v>
      </c>
      <c r="H163" s="39">
        <f>VLOOKUP($C163, State!$A$2:$C332, 3, FALSE)</f>
        <v>80440</v>
      </c>
      <c r="I163" s="40">
        <f t="shared" si="4"/>
        <v>12849726.92</v>
      </c>
    </row>
    <row r="164">
      <c r="A164" s="36" t="str">
        <f t="shared" si="1"/>
        <v>Paterson_NJ</v>
      </c>
      <c r="B164" s="36" t="s">
        <v>256</v>
      </c>
      <c r="C164" s="36" t="s">
        <v>154</v>
      </c>
      <c r="D164" s="37" t="str">
        <f>VLOOKUP($C164, State!$A$2:$C332, 2, FALSE)</f>
        <v>NJ</v>
      </c>
      <c r="E164" s="29">
        <v>157794.0</v>
      </c>
      <c r="F164" s="38">
        <f t="shared" si="2"/>
        <v>0.5090909091</v>
      </c>
      <c r="G164" s="38">
        <f t="shared" si="3"/>
        <v>7</v>
      </c>
      <c r="H164" s="39">
        <f>VLOOKUP($C164, State!$A$2:$C332, 3, FALSE)</f>
        <v>85751</v>
      </c>
      <c r="I164" s="40">
        <f t="shared" si="4"/>
        <v>13530993.29</v>
      </c>
    </row>
    <row r="165">
      <c r="A165" s="36" t="str">
        <f t="shared" si="1"/>
        <v>Murfreesboro_TN</v>
      </c>
      <c r="B165" s="36" t="s">
        <v>257</v>
      </c>
      <c r="C165" s="36" t="s">
        <v>92</v>
      </c>
      <c r="D165" s="37" t="str">
        <f>VLOOKUP($C165, State!$A$2:$C332, 2, FALSE)</f>
        <v>TN</v>
      </c>
      <c r="E165" s="29">
        <v>157519.0</v>
      </c>
      <c r="F165" s="38">
        <f t="shared" si="2"/>
        <v>0.5060606061</v>
      </c>
      <c r="G165" s="38">
        <f t="shared" si="3"/>
        <v>7</v>
      </c>
      <c r="H165" s="39">
        <f>VLOOKUP($C165, State!$A$2:$C332, 3, FALSE)</f>
        <v>56071</v>
      </c>
      <c r="I165" s="40">
        <f t="shared" si="4"/>
        <v>8832247.849</v>
      </c>
    </row>
    <row r="166">
      <c r="A166" s="36" t="str">
        <f t="shared" si="1"/>
        <v>Macon_GA</v>
      </c>
      <c r="B166" s="36" t="s">
        <v>258</v>
      </c>
      <c r="C166" s="36" t="s">
        <v>119</v>
      </c>
      <c r="D166" s="37" t="str">
        <f>VLOOKUP($C166, State!$A$2:$C332, 2, FALSE)</f>
        <v>GA</v>
      </c>
      <c r="E166" s="29">
        <v>156762.0</v>
      </c>
      <c r="F166" s="38">
        <f t="shared" si="2"/>
        <v>0.503030303</v>
      </c>
      <c r="G166" s="38">
        <f t="shared" si="3"/>
        <v>7</v>
      </c>
      <c r="H166" s="39">
        <f>VLOOKUP($C166, State!$A$2:$C332, 3, FALSE)</f>
        <v>61980</v>
      </c>
      <c r="I166" s="40">
        <f t="shared" si="4"/>
        <v>9716108.76</v>
      </c>
    </row>
    <row r="167">
      <c r="A167" s="36" t="str">
        <f t="shared" si="1"/>
        <v>Lakewood_CO</v>
      </c>
      <c r="B167" s="36" t="s">
        <v>259</v>
      </c>
      <c r="C167" s="36" t="s">
        <v>88</v>
      </c>
      <c r="D167" s="37" t="str">
        <f>VLOOKUP($C167, State!$A$2:$C332, 2, FALSE)</f>
        <v>CO</v>
      </c>
      <c r="E167" s="29">
        <v>156605.0</v>
      </c>
      <c r="F167" s="38">
        <f t="shared" si="2"/>
        <v>0.5</v>
      </c>
      <c r="G167" s="38">
        <f t="shared" si="3"/>
        <v>7</v>
      </c>
      <c r="H167" s="39">
        <f>VLOOKUP($C167, State!$A$2:$C332, 3, FALSE)</f>
        <v>77127</v>
      </c>
      <c r="I167" s="40">
        <f t="shared" si="4"/>
        <v>12078473.84</v>
      </c>
    </row>
    <row r="168">
      <c r="A168" s="36" t="str">
        <f t="shared" si="1"/>
        <v>Killeen_TX</v>
      </c>
      <c r="B168" s="36" t="s">
        <v>260</v>
      </c>
      <c r="C168" s="36" t="s">
        <v>66</v>
      </c>
      <c r="D168" s="37" t="str">
        <f>VLOOKUP($C168, State!$A$2:$C332, 2, FALSE)</f>
        <v>TX</v>
      </c>
      <c r="E168" s="29">
        <v>156261.0</v>
      </c>
      <c r="F168" s="38">
        <f t="shared" si="2"/>
        <v>0.496969697</v>
      </c>
      <c r="G168" s="38">
        <f t="shared" si="3"/>
        <v>7</v>
      </c>
      <c r="H168" s="39">
        <f>VLOOKUP($C168, State!$A$2:$C332, 3, FALSE)</f>
        <v>64034</v>
      </c>
      <c r="I168" s="40">
        <f t="shared" si="4"/>
        <v>10006016.87</v>
      </c>
    </row>
    <row r="169">
      <c r="A169" s="36" t="str">
        <f t="shared" si="1"/>
        <v>Springfield_MA</v>
      </c>
      <c r="B169" s="36" t="s">
        <v>249</v>
      </c>
      <c r="C169" s="36" t="s">
        <v>96</v>
      </c>
      <c r="D169" s="37" t="str">
        <f>VLOOKUP($C169, State!$A$2:$C332, 2, FALSE)</f>
        <v>MA</v>
      </c>
      <c r="E169" s="29">
        <v>154789.0</v>
      </c>
      <c r="F169" s="38">
        <f t="shared" si="2"/>
        <v>0.4939393939</v>
      </c>
      <c r="G169" s="38">
        <f t="shared" si="3"/>
        <v>7</v>
      </c>
      <c r="H169" s="39">
        <f>VLOOKUP($C169, State!$A$2:$C332, 3, FALSE)</f>
        <v>85843</v>
      </c>
      <c r="I169" s="40">
        <f t="shared" si="4"/>
        <v>13287552.13</v>
      </c>
    </row>
    <row r="170">
      <c r="A170" s="36" t="str">
        <f t="shared" si="1"/>
        <v>Alexandria_VA</v>
      </c>
      <c r="B170" s="36" t="s">
        <v>261</v>
      </c>
      <c r="C170" s="36" t="s">
        <v>125</v>
      </c>
      <c r="D170" s="37" t="str">
        <f>VLOOKUP($C170, State!$A$2:$C332, 2, FALSE)</f>
        <v>VA</v>
      </c>
      <c r="E170" s="29">
        <v>154706.0</v>
      </c>
      <c r="F170" s="38">
        <f t="shared" si="2"/>
        <v>0.4909090909</v>
      </c>
      <c r="G170" s="38">
        <f t="shared" si="3"/>
        <v>7</v>
      </c>
      <c r="H170" s="39">
        <f>VLOOKUP($C170, State!$A$2:$C332, 3, FALSE)</f>
        <v>76456</v>
      </c>
      <c r="I170" s="40">
        <f t="shared" si="4"/>
        <v>11828201.94</v>
      </c>
    </row>
    <row r="171">
      <c r="A171" s="36" t="str">
        <f t="shared" si="1"/>
        <v>KansasCity_KA</v>
      </c>
      <c r="B171" s="36" t="s">
        <v>116</v>
      </c>
      <c r="C171" s="36" t="s">
        <v>134</v>
      </c>
      <c r="D171" s="37" t="str">
        <f>VLOOKUP($C171, State!$A$2:$C332, 2, FALSE)</f>
        <v>KA</v>
      </c>
      <c r="E171" s="29">
        <v>154545.0</v>
      </c>
      <c r="F171" s="38">
        <f t="shared" si="2"/>
        <v>0.4878787879</v>
      </c>
      <c r="G171" s="38">
        <f t="shared" si="3"/>
        <v>7</v>
      </c>
      <c r="H171" s="39">
        <f>VLOOKUP($C171, State!$A$2:$C332, 3, FALSE)</f>
        <v>62087</v>
      </c>
      <c r="I171" s="40">
        <f t="shared" si="4"/>
        <v>9595235.415</v>
      </c>
    </row>
    <row r="172">
      <c r="A172" s="36" t="str">
        <f t="shared" si="1"/>
        <v>Sunnyvale_CA</v>
      </c>
      <c r="B172" s="36" t="s">
        <v>262</v>
      </c>
      <c r="C172" s="36" t="s">
        <v>62</v>
      </c>
      <c r="D172" s="37" t="str">
        <f>VLOOKUP($C172, State!$A$2:$C332, 2, FALSE)</f>
        <v>CA</v>
      </c>
      <c r="E172" s="29">
        <v>152258.0</v>
      </c>
      <c r="F172" s="38">
        <f t="shared" si="2"/>
        <v>0.4848484848</v>
      </c>
      <c r="G172" s="38">
        <f t="shared" si="3"/>
        <v>7</v>
      </c>
      <c r="H172" s="39">
        <f>VLOOKUP($C172, State!$A$2:$C332, 3, FALSE)</f>
        <v>80440</v>
      </c>
      <c r="I172" s="40">
        <f t="shared" si="4"/>
        <v>12247633.52</v>
      </c>
    </row>
    <row r="173">
      <c r="A173" s="36" t="str">
        <f t="shared" si="1"/>
        <v>Hollywood_FL</v>
      </c>
      <c r="B173" s="36" t="s">
        <v>263</v>
      </c>
      <c r="C173" s="36" t="s">
        <v>77</v>
      </c>
      <c r="D173" s="37" t="str">
        <f>VLOOKUP($C173, State!$A$2:$C332, 2, FALSE)</f>
        <v>FL</v>
      </c>
      <c r="E173" s="29">
        <v>152131.0</v>
      </c>
      <c r="F173" s="38">
        <f t="shared" si="2"/>
        <v>0.4818181818</v>
      </c>
      <c r="G173" s="38">
        <f t="shared" si="3"/>
        <v>7</v>
      </c>
      <c r="H173" s="39">
        <f>VLOOKUP($C173, State!$A$2:$C332, 3, FALSE)</f>
        <v>59227</v>
      </c>
      <c r="I173" s="40">
        <f t="shared" si="4"/>
        <v>9010262.737</v>
      </c>
    </row>
    <row r="174">
      <c r="A174" s="36" t="str">
        <f t="shared" si="1"/>
        <v>Roseville_CA</v>
      </c>
      <c r="B174" s="36" t="s">
        <v>264</v>
      </c>
      <c r="C174" s="36" t="s">
        <v>62</v>
      </c>
      <c r="D174" s="37" t="str">
        <f>VLOOKUP($C174, State!$A$2:$C332, 2, FALSE)</f>
        <v>CA</v>
      </c>
      <c r="E174" s="29">
        <v>151901.0</v>
      </c>
      <c r="F174" s="38">
        <f t="shared" si="2"/>
        <v>0.4787878788</v>
      </c>
      <c r="G174" s="38">
        <f t="shared" si="3"/>
        <v>7</v>
      </c>
      <c r="H174" s="39">
        <f>VLOOKUP($C174, State!$A$2:$C332, 3, FALSE)</f>
        <v>80440</v>
      </c>
      <c r="I174" s="40">
        <f t="shared" si="4"/>
        <v>12218916.44</v>
      </c>
    </row>
    <row r="175">
      <c r="A175" s="36" t="str">
        <f t="shared" si="1"/>
        <v>Charleston_SC</v>
      </c>
      <c r="B175" s="36" t="s">
        <v>265</v>
      </c>
      <c r="C175" s="36" t="s">
        <v>266</v>
      </c>
      <c r="D175" s="37" t="str">
        <f>VLOOKUP($C175, State!$A$2:$C332, 2, FALSE)</f>
        <v>SC</v>
      </c>
      <c r="E175" s="29">
        <v>151612.0</v>
      </c>
      <c r="F175" s="38">
        <f t="shared" si="2"/>
        <v>0.4757575758</v>
      </c>
      <c r="G175" s="38">
        <f t="shared" si="3"/>
        <v>7</v>
      </c>
      <c r="H175" s="39">
        <f>VLOOKUP($C175, State!$A$2:$C332, 3, FALSE)</f>
        <v>56227</v>
      </c>
      <c r="I175" s="40">
        <f t="shared" si="4"/>
        <v>8524687.924</v>
      </c>
    </row>
    <row r="176">
      <c r="A176" s="36" t="str">
        <f t="shared" si="1"/>
        <v>Escondido_CA</v>
      </c>
      <c r="B176" s="36" t="s">
        <v>267</v>
      </c>
      <c r="C176" s="36" t="s">
        <v>62</v>
      </c>
      <c r="D176" s="37" t="str">
        <f>VLOOKUP($C176, State!$A$2:$C332, 2, FALSE)</f>
        <v>CA</v>
      </c>
      <c r="E176" s="29">
        <v>150665.0</v>
      </c>
      <c r="F176" s="38">
        <f t="shared" si="2"/>
        <v>0.4727272727</v>
      </c>
      <c r="G176" s="38">
        <f t="shared" si="3"/>
        <v>7</v>
      </c>
      <c r="H176" s="39">
        <f>VLOOKUP($C176, State!$A$2:$C332, 3, FALSE)</f>
        <v>80440</v>
      </c>
      <c r="I176" s="40">
        <f t="shared" si="4"/>
        <v>12119492.6</v>
      </c>
    </row>
    <row r="177">
      <c r="A177" s="36" t="str">
        <f t="shared" si="1"/>
        <v>Joliet_IL</v>
      </c>
      <c r="B177" s="36" t="s">
        <v>268</v>
      </c>
      <c r="C177" s="36" t="s">
        <v>64</v>
      </c>
      <c r="D177" s="37" t="str">
        <f>VLOOKUP($C177, State!$A$2:$C332, 2, FALSE)</f>
        <v>IL</v>
      </c>
      <c r="E177" s="29">
        <v>150372.0</v>
      </c>
      <c r="F177" s="38">
        <f t="shared" si="2"/>
        <v>0.4696969697</v>
      </c>
      <c r="G177" s="38">
        <f t="shared" si="3"/>
        <v>7</v>
      </c>
      <c r="H177" s="39">
        <f>VLOOKUP($C177, State!$A$2:$C332, 3, FALSE)</f>
        <v>69187</v>
      </c>
      <c r="I177" s="40">
        <f t="shared" si="4"/>
        <v>10403787.56</v>
      </c>
    </row>
    <row r="178">
      <c r="A178" s="36" t="str">
        <f t="shared" si="1"/>
        <v>Jackson_MS</v>
      </c>
      <c r="B178" s="36" t="s">
        <v>269</v>
      </c>
      <c r="C178" s="36" t="s">
        <v>270</v>
      </c>
      <c r="D178" s="37" t="str">
        <f>VLOOKUP($C178, State!$A$2:$C332, 2, FALSE)</f>
        <v>MS</v>
      </c>
      <c r="E178" s="29">
        <v>149761.0</v>
      </c>
      <c r="F178" s="38">
        <f t="shared" si="2"/>
        <v>0.4666666667</v>
      </c>
      <c r="G178" s="38">
        <f t="shared" si="3"/>
        <v>7</v>
      </c>
      <c r="H178" s="39">
        <f>VLOOKUP($C178, State!$A$2:$C332, 3, FALSE)</f>
        <v>45792</v>
      </c>
      <c r="I178" s="40">
        <f t="shared" si="4"/>
        <v>6857855.712</v>
      </c>
    </row>
    <row r="179">
      <c r="A179" s="36" t="str">
        <f t="shared" si="1"/>
        <v>Bellevue_WA</v>
      </c>
      <c r="B179" s="36" t="s">
        <v>271</v>
      </c>
      <c r="C179" s="36" t="s">
        <v>87</v>
      </c>
      <c r="D179" s="37" t="str">
        <f>VLOOKUP($C179, State!$A$2:$C332, 2, FALSE)</f>
        <v>WA</v>
      </c>
      <c r="E179" s="29">
        <v>149440.0</v>
      </c>
      <c r="F179" s="38">
        <f t="shared" si="2"/>
        <v>0.4636363636</v>
      </c>
      <c r="G179" s="38">
        <f t="shared" si="3"/>
        <v>7</v>
      </c>
      <c r="H179" s="39">
        <f>VLOOKUP($C179, State!$A$2:$C332, 3, FALSE)</f>
        <v>78687</v>
      </c>
      <c r="I179" s="40">
        <f t="shared" si="4"/>
        <v>11758985.28</v>
      </c>
    </row>
    <row r="180">
      <c r="A180" s="36" t="str">
        <f t="shared" si="1"/>
        <v>Surprise_AZ</v>
      </c>
      <c r="B180" s="36" t="s">
        <v>272</v>
      </c>
      <c r="C180" s="36" t="s">
        <v>68</v>
      </c>
      <c r="D180" s="37" t="str">
        <f>VLOOKUP($C180, State!$A$2:$C332, 2, FALSE)</f>
        <v>AZ</v>
      </c>
      <c r="E180" s="29">
        <v>149191.0</v>
      </c>
      <c r="F180" s="38">
        <f t="shared" si="2"/>
        <v>0.4606060606</v>
      </c>
      <c r="G180" s="38">
        <f t="shared" si="3"/>
        <v>7</v>
      </c>
      <c r="H180" s="39">
        <f>VLOOKUP($C180, State!$A$2:$C332, 3, FALSE)</f>
        <v>62055</v>
      </c>
      <c r="I180" s="40">
        <f t="shared" si="4"/>
        <v>9258047.505</v>
      </c>
    </row>
    <row r="181">
      <c r="A181" s="36" t="str">
        <f t="shared" si="1"/>
        <v>Naperville_IL</v>
      </c>
      <c r="B181" s="36" t="s">
        <v>273</v>
      </c>
      <c r="C181" s="36" t="s">
        <v>64</v>
      </c>
      <c r="D181" s="37" t="str">
        <f>VLOOKUP($C181, State!$A$2:$C332, 2, FALSE)</f>
        <v>IL</v>
      </c>
      <c r="E181" s="29">
        <v>149104.0</v>
      </c>
      <c r="F181" s="38">
        <f t="shared" si="2"/>
        <v>0.4575757576</v>
      </c>
      <c r="G181" s="38">
        <f t="shared" si="3"/>
        <v>7</v>
      </c>
      <c r="H181" s="39">
        <f>VLOOKUP($C181, State!$A$2:$C332, 3, FALSE)</f>
        <v>69187</v>
      </c>
      <c r="I181" s="40">
        <f t="shared" si="4"/>
        <v>10316058.45</v>
      </c>
    </row>
    <row r="182">
      <c r="A182" s="36" t="str">
        <f t="shared" si="1"/>
        <v>Pasadena_TX</v>
      </c>
      <c r="B182" s="36" t="s">
        <v>274</v>
      </c>
      <c r="C182" s="36" t="s">
        <v>66</v>
      </c>
      <c r="D182" s="37" t="str">
        <f>VLOOKUP($C182, State!$A$2:$C332, 2, FALSE)</f>
        <v>TX</v>
      </c>
      <c r="E182" s="29">
        <v>148626.0</v>
      </c>
      <c r="F182" s="38">
        <f t="shared" si="2"/>
        <v>0.4545454545</v>
      </c>
      <c r="G182" s="38">
        <f t="shared" si="3"/>
        <v>6</v>
      </c>
      <c r="H182" s="39">
        <f>VLOOKUP($C182, State!$A$2:$C332, 3, FALSE)</f>
        <v>64034</v>
      </c>
      <c r="I182" s="40">
        <f t="shared" si="4"/>
        <v>9517117.284</v>
      </c>
    </row>
    <row r="183">
      <c r="A183" s="36" t="str">
        <f t="shared" si="1"/>
        <v>Pomona_CA</v>
      </c>
      <c r="B183" s="36" t="s">
        <v>275</v>
      </c>
      <c r="C183" s="36" t="s">
        <v>62</v>
      </c>
      <c r="D183" s="37" t="str">
        <f>VLOOKUP($C183, State!$A$2:$C332, 2, FALSE)</f>
        <v>CA</v>
      </c>
      <c r="E183" s="29">
        <v>148338.0</v>
      </c>
      <c r="F183" s="38">
        <f t="shared" si="2"/>
        <v>0.4515151515</v>
      </c>
      <c r="G183" s="38">
        <f t="shared" si="3"/>
        <v>6</v>
      </c>
      <c r="H183" s="39">
        <f>VLOOKUP($C183, State!$A$2:$C332, 3, FALSE)</f>
        <v>80440</v>
      </c>
      <c r="I183" s="40">
        <f t="shared" si="4"/>
        <v>11932308.72</v>
      </c>
    </row>
    <row r="184">
      <c r="A184" s="36" t="str">
        <f t="shared" si="1"/>
        <v>Bridgeport_CT</v>
      </c>
      <c r="B184" s="36" t="s">
        <v>276</v>
      </c>
      <c r="C184" s="36" t="s">
        <v>277</v>
      </c>
      <c r="D184" s="37" t="str">
        <f>VLOOKUP($C184, State!$A$2:$C332, 2, FALSE)</f>
        <v>CT</v>
      </c>
      <c r="E184" s="29">
        <v>148333.0</v>
      </c>
      <c r="F184" s="38">
        <f t="shared" si="2"/>
        <v>0.4484848485</v>
      </c>
      <c r="G184" s="38">
        <f t="shared" si="3"/>
        <v>6</v>
      </c>
      <c r="H184" s="39">
        <f>VLOOKUP($C184, State!$A$2:$C332, 3, FALSE)</f>
        <v>78833</v>
      </c>
      <c r="I184" s="40">
        <f t="shared" si="4"/>
        <v>11693535.39</v>
      </c>
    </row>
    <row r="185">
      <c r="A185" s="36" t="str">
        <f t="shared" si="1"/>
        <v>Denton_TX</v>
      </c>
      <c r="B185" s="36" t="s">
        <v>278</v>
      </c>
      <c r="C185" s="36" t="s">
        <v>66</v>
      </c>
      <c r="D185" s="37" t="str">
        <f>VLOOKUP($C185, State!$A$2:$C332, 2, FALSE)</f>
        <v>TX</v>
      </c>
      <c r="E185" s="29">
        <v>148146.0</v>
      </c>
      <c r="F185" s="38">
        <f t="shared" si="2"/>
        <v>0.4454545455</v>
      </c>
      <c r="G185" s="38">
        <f t="shared" si="3"/>
        <v>6</v>
      </c>
      <c r="H185" s="39">
        <f>VLOOKUP($C185, State!$A$2:$C332, 3, FALSE)</f>
        <v>64034</v>
      </c>
      <c r="I185" s="40">
        <f t="shared" si="4"/>
        <v>9486380.964</v>
      </c>
    </row>
    <row r="186">
      <c r="A186" s="36" t="str">
        <f t="shared" si="1"/>
        <v>Rockford_IL</v>
      </c>
      <c r="B186" s="36" t="s">
        <v>279</v>
      </c>
      <c r="C186" s="36" t="s">
        <v>64</v>
      </c>
      <c r="D186" s="37" t="str">
        <f>VLOOKUP($C186, State!$A$2:$C332, 2, FALSE)</f>
        <v>IL</v>
      </c>
      <c r="E186" s="29">
        <v>147711.0</v>
      </c>
      <c r="F186" s="38">
        <f t="shared" si="2"/>
        <v>0.4424242424</v>
      </c>
      <c r="G186" s="38">
        <f t="shared" si="3"/>
        <v>6</v>
      </c>
      <c r="H186" s="39">
        <f>VLOOKUP($C186, State!$A$2:$C332, 3, FALSE)</f>
        <v>69187</v>
      </c>
      <c r="I186" s="40">
        <f t="shared" si="4"/>
        <v>10219680.96</v>
      </c>
    </row>
    <row r="187">
      <c r="A187" s="36" t="str">
        <f t="shared" si="1"/>
        <v>Mesquite_TX</v>
      </c>
      <c r="B187" s="36" t="s">
        <v>280</v>
      </c>
      <c r="C187" s="36" t="s">
        <v>66</v>
      </c>
      <c r="D187" s="37" t="str">
        <f>VLOOKUP($C187, State!$A$2:$C332, 2, FALSE)</f>
        <v>TX</v>
      </c>
      <c r="E187" s="29">
        <v>147691.0</v>
      </c>
      <c r="F187" s="38">
        <f t="shared" si="2"/>
        <v>0.4393939394</v>
      </c>
      <c r="G187" s="38">
        <f t="shared" si="3"/>
        <v>6</v>
      </c>
      <c r="H187" s="39">
        <f>VLOOKUP($C187, State!$A$2:$C332, 3, FALSE)</f>
        <v>64034</v>
      </c>
      <c r="I187" s="40">
        <f t="shared" si="4"/>
        <v>9457245.494</v>
      </c>
    </row>
    <row r="188">
      <c r="A188" s="36" t="str">
        <f t="shared" si="1"/>
        <v>Savannah_GA</v>
      </c>
      <c r="B188" s="36" t="s">
        <v>281</v>
      </c>
      <c r="C188" s="36" t="s">
        <v>119</v>
      </c>
      <c r="D188" s="37" t="str">
        <f>VLOOKUP($C188, State!$A$2:$C332, 2, FALSE)</f>
        <v>GA</v>
      </c>
      <c r="E188" s="29">
        <v>147088.0</v>
      </c>
      <c r="F188" s="38">
        <f t="shared" si="2"/>
        <v>0.4363636364</v>
      </c>
      <c r="G188" s="38">
        <f t="shared" si="3"/>
        <v>6</v>
      </c>
      <c r="H188" s="39">
        <f>VLOOKUP($C188, State!$A$2:$C332, 3, FALSE)</f>
        <v>61980</v>
      </c>
      <c r="I188" s="40">
        <f t="shared" si="4"/>
        <v>9116514.24</v>
      </c>
    </row>
    <row r="189">
      <c r="A189" s="36" t="str">
        <f t="shared" si="1"/>
        <v>Syracuse_NY</v>
      </c>
      <c r="B189" s="36" t="s">
        <v>282</v>
      </c>
      <c r="C189" s="36" t="s">
        <v>60</v>
      </c>
      <c r="D189" s="37" t="str">
        <f>VLOOKUP($C189, State!$A$2:$C332, 2, FALSE)</f>
        <v>NY</v>
      </c>
      <c r="E189" s="29">
        <v>146103.0</v>
      </c>
      <c r="F189" s="38">
        <f t="shared" si="2"/>
        <v>0.4333333333</v>
      </c>
      <c r="G189" s="38">
        <f t="shared" si="3"/>
        <v>6</v>
      </c>
      <c r="H189" s="39">
        <f>VLOOKUP($C189, State!$A$2:$C332, 3, FALSE)</f>
        <v>72108</v>
      </c>
      <c r="I189" s="40">
        <f t="shared" si="4"/>
        <v>10535195.12</v>
      </c>
    </row>
    <row r="190">
      <c r="A190" s="36" t="str">
        <f t="shared" si="1"/>
        <v>McAllen_TX</v>
      </c>
      <c r="B190" s="36" t="s">
        <v>283</v>
      </c>
      <c r="C190" s="36" t="s">
        <v>66</v>
      </c>
      <c r="D190" s="37" t="str">
        <f>VLOOKUP($C190, State!$A$2:$C332, 2, FALSE)</f>
        <v>TX</v>
      </c>
      <c r="E190" s="29">
        <v>143920.0</v>
      </c>
      <c r="F190" s="38">
        <f t="shared" si="2"/>
        <v>0.4303030303</v>
      </c>
      <c r="G190" s="38">
        <f t="shared" si="3"/>
        <v>6</v>
      </c>
      <c r="H190" s="39">
        <f>VLOOKUP($C190, State!$A$2:$C332, 3, FALSE)</f>
        <v>64034</v>
      </c>
      <c r="I190" s="40">
        <f t="shared" si="4"/>
        <v>9215773.28</v>
      </c>
    </row>
    <row r="191">
      <c r="A191" s="36" t="str">
        <f t="shared" si="1"/>
        <v>Torrance_CA</v>
      </c>
      <c r="B191" s="36" t="s">
        <v>284</v>
      </c>
      <c r="C191" s="36" t="s">
        <v>62</v>
      </c>
      <c r="D191" s="37" t="str">
        <f>VLOOKUP($C191, State!$A$2:$C332, 2, FALSE)</f>
        <v>CA</v>
      </c>
      <c r="E191" s="29">
        <v>143600.0</v>
      </c>
      <c r="F191" s="38">
        <f t="shared" si="2"/>
        <v>0.4272727273</v>
      </c>
      <c r="G191" s="38">
        <f t="shared" si="3"/>
        <v>6</v>
      </c>
      <c r="H191" s="39">
        <f>VLOOKUP($C191, State!$A$2:$C332, 3, FALSE)</f>
        <v>80440</v>
      </c>
      <c r="I191" s="40">
        <f t="shared" si="4"/>
        <v>11551184</v>
      </c>
    </row>
    <row r="192">
      <c r="A192" s="36" t="str">
        <f t="shared" si="1"/>
        <v>Olathe_KA</v>
      </c>
      <c r="B192" s="36" t="s">
        <v>285</v>
      </c>
      <c r="C192" s="36" t="s">
        <v>134</v>
      </c>
      <c r="D192" s="37" t="str">
        <f>VLOOKUP($C192, State!$A$2:$C332, 2, FALSE)</f>
        <v>KA</v>
      </c>
      <c r="E192" s="29">
        <v>143014.0</v>
      </c>
      <c r="F192" s="38">
        <f t="shared" si="2"/>
        <v>0.4242424242</v>
      </c>
      <c r="G192" s="38">
        <f t="shared" si="3"/>
        <v>6</v>
      </c>
      <c r="H192" s="39">
        <f>VLOOKUP($C192, State!$A$2:$C332, 3, FALSE)</f>
        <v>62087</v>
      </c>
      <c r="I192" s="40">
        <f t="shared" si="4"/>
        <v>8879310.218</v>
      </c>
    </row>
    <row r="193">
      <c r="A193" s="36" t="str">
        <f t="shared" si="1"/>
        <v>Visalia_CA</v>
      </c>
      <c r="B193" s="36" t="s">
        <v>286</v>
      </c>
      <c r="C193" s="36" t="s">
        <v>62</v>
      </c>
      <c r="D193" s="37" t="str">
        <f>VLOOKUP($C193, State!$A$2:$C332, 2, FALSE)</f>
        <v>CA</v>
      </c>
      <c r="E193" s="29">
        <v>142978.0</v>
      </c>
      <c r="F193" s="38">
        <f t="shared" si="2"/>
        <v>0.4212121212</v>
      </c>
      <c r="G193" s="38">
        <f t="shared" si="3"/>
        <v>6</v>
      </c>
      <c r="H193" s="39">
        <f>VLOOKUP($C193, State!$A$2:$C332, 3, FALSE)</f>
        <v>80440</v>
      </c>
      <c r="I193" s="40">
        <f t="shared" si="4"/>
        <v>11501150.32</v>
      </c>
    </row>
    <row r="194">
      <c r="A194" s="36" t="str">
        <f t="shared" si="1"/>
        <v>Thornton_CO</v>
      </c>
      <c r="B194" s="36" t="s">
        <v>287</v>
      </c>
      <c r="C194" s="36" t="s">
        <v>88</v>
      </c>
      <c r="D194" s="37" t="str">
        <f>VLOOKUP($C194, State!$A$2:$C332, 2, FALSE)</f>
        <v>CO</v>
      </c>
      <c r="E194" s="29">
        <v>142610.0</v>
      </c>
      <c r="F194" s="38">
        <f t="shared" si="2"/>
        <v>0.4181818182</v>
      </c>
      <c r="G194" s="38">
        <f t="shared" si="3"/>
        <v>6</v>
      </c>
      <c r="H194" s="39">
        <f>VLOOKUP($C194, State!$A$2:$C332, 3, FALSE)</f>
        <v>77127</v>
      </c>
      <c r="I194" s="40">
        <f t="shared" si="4"/>
        <v>10999081.47</v>
      </c>
    </row>
    <row r="195">
      <c r="A195" s="36" t="str">
        <f t="shared" si="1"/>
        <v>Fullerton_CA</v>
      </c>
      <c r="B195" s="36" t="s">
        <v>288</v>
      </c>
      <c r="C195" s="36" t="s">
        <v>62</v>
      </c>
      <c r="D195" s="37" t="str">
        <f>VLOOKUP($C195, State!$A$2:$C332, 2, FALSE)</f>
        <v>CA</v>
      </c>
      <c r="E195" s="29">
        <v>141874.0</v>
      </c>
      <c r="F195" s="38">
        <f t="shared" si="2"/>
        <v>0.4151515152</v>
      </c>
      <c r="G195" s="38">
        <f t="shared" si="3"/>
        <v>6</v>
      </c>
      <c r="H195" s="39">
        <f>VLOOKUP($C195, State!$A$2:$C332, 3, FALSE)</f>
        <v>80440</v>
      </c>
      <c r="I195" s="40">
        <f t="shared" si="4"/>
        <v>11412344.56</v>
      </c>
    </row>
    <row r="196">
      <c r="A196" s="36" t="str">
        <f t="shared" si="1"/>
        <v>Gainesville_FL</v>
      </c>
      <c r="B196" s="36" t="s">
        <v>289</v>
      </c>
      <c r="C196" s="36" t="s">
        <v>77</v>
      </c>
      <c r="D196" s="37" t="str">
        <f>VLOOKUP($C196, State!$A$2:$C332, 2, FALSE)</f>
        <v>FL</v>
      </c>
      <c r="E196" s="29">
        <v>140398.0</v>
      </c>
      <c r="F196" s="38">
        <f t="shared" si="2"/>
        <v>0.4121212121</v>
      </c>
      <c r="G196" s="38">
        <f t="shared" si="3"/>
        <v>6</v>
      </c>
      <c r="H196" s="39">
        <f>VLOOKUP($C196, State!$A$2:$C332, 3, FALSE)</f>
        <v>59227</v>
      </c>
      <c r="I196" s="40">
        <f t="shared" si="4"/>
        <v>8315352.346</v>
      </c>
    </row>
    <row r="197">
      <c r="A197" s="36" t="str">
        <f t="shared" si="1"/>
        <v>Waco_TX</v>
      </c>
      <c r="B197" s="36" t="s">
        <v>290</v>
      </c>
      <c r="C197" s="36" t="s">
        <v>66</v>
      </c>
      <c r="D197" s="37" t="str">
        <f>VLOOKUP($C197, State!$A$2:$C332, 2, FALSE)</f>
        <v>TX</v>
      </c>
      <c r="E197" s="29">
        <v>139594.0</v>
      </c>
      <c r="F197" s="38">
        <f t="shared" si="2"/>
        <v>0.4090909091</v>
      </c>
      <c r="G197" s="38">
        <f t="shared" si="3"/>
        <v>6</v>
      </c>
      <c r="H197" s="39">
        <f>VLOOKUP($C197, State!$A$2:$C332, 3, FALSE)</f>
        <v>64034</v>
      </c>
      <c r="I197" s="40">
        <f t="shared" si="4"/>
        <v>8938762.196</v>
      </c>
    </row>
    <row r="198">
      <c r="A198" s="36" t="str">
        <f t="shared" si="1"/>
        <v>WestValleyCity_UT</v>
      </c>
      <c r="B198" s="36" t="s">
        <v>291</v>
      </c>
      <c r="C198" s="36" t="s">
        <v>215</v>
      </c>
      <c r="D198" s="37" t="str">
        <f>VLOOKUP($C198, State!$A$2:$C332, 2, FALSE)</f>
        <v>UT</v>
      </c>
      <c r="E198" s="29">
        <v>139110.0</v>
      </c>
      <c r="F198" s="38">
        <f t="shared" si="2"/>
        <v>0.4060606061</v>
      </c>
      <c r="G198" s="38">
        <f t="shared" si="3"/>
        <v>6</v>
      </c>
      <c r="H198" s="39">
        <f>VLOOKUP($C198, State!$A$2:$C332, 3, FALSE)</f>
        <v>75780</v>
      </c>
      <c r="I198" s="40">
        <f t="shared" si="4"/>
        <v>10541755.8</v>
      </c>
    </row>
    <row r="199">
      <c r="A199" s="36" t="str">
        <f t="shared" si="1"/>
        <v>Warren_MI</v>
      </c>
      <c r="B199" s="36" t="s">
        <v>292</v>
      </c>
      <c r="C199" s="36" t="s">
        <v>102</v>
      </c>
      <c r="D199" s="37" t="str">
        <f>VLOOKUP($C199, State!$A$2:$C332, 2, FALSE)</f>
        <v>MI</v>
      </c>
      <c r="E199" s="29">
        <v>138130.0</v>
      </c>
      <c r="F199" s="38">
        <f t="shared" si="2"/>
        <v>0.403030303</v>
      </c>
      <c r="G199" s="38">
        <f t="shared" si="3"/>
        <v>6</v>
      </c>
      <c r="H199" s="39">
        <f>VLOOKUP($C199, State!$A$2:$C332, 3, FALSE)</f>
        <v>59584</v>
      </c>
      <c r="I199" s="40">
        <f t="shared" si="4"/>
        <v>8230337.92</v>
      </c>
    </row>
    <row r="200">
      <c r="A200" s="36" t="str">
        <f t="shared" si="1"/>
        <v>Lakewood_NJ</v>
      </c>
      <c r="B200" s="36" t="s">
        <v>259</v>
      </c>
      <c r="C200" s="36" t="s">
        <v>154</v>
      </c>
      <c r="D200" s="37" t="str">
        <f>VLOOKUP($C200, State!$A$2:$C332, 2, FALSE)</f>
        <v>NJ</v>
      </c>
      <c r="E200" s="29">
        <v>138070.0</v>
      </c>
      <c r="F200" s="38">
        <f t="shared" si="2"/>
        <v>0.4</v>
      </c>
      <c r="G200" s="38">
        <f t="shared" si="3"/>
        <v>6</v>
      </c>
      <c r="H200" s="39">
        <f>VLOOKUP($C200, State!$A$2:$C332, 3, FALSE)</f>
        <v>85751</v>
      </c>
      <c r="I200" s="40">
        <f t="shared" si="4"/>
        <v>11839640.57</v>
      </c>
    </row>
    <row r="201">
      <c r="A201" s="36" t="str">
        <f t="shared" si="1"/>
        <v>Hampton_VA</v>
      </c>
      <c r="B201" s="36" t="s">
        <v>293</v>
      </c>
      <c r="C201" s="36" t="s">
        <v>125</v>
      </c>
      <c r="D201" s="37" t="str">
        <f>VLOOKUP($C201, State!$A$2:$C332, 2, FALSE)</f>
        <v>VA</v>
      </c>
      <c r="E201" s="29">
        <v>137746.0</v>
      </c>
      <c r="F201" s="38">
        <f t="shared" si="2"/>
        <v>0.396969697</v>
      </c>
      <c r="G201" s="38">
        <f t="shared" si="3"/>
        <v>6</v>
      </c>
      <c r="H201" s="39">
        <f>VLOOKUP($C201, State!$A$2:$C332, 3, FALSE)</f>
        <v>76456</v>
      </c>
      <c r="I201" s="40">
        <f t="shared" si="4"/>
        <v>10531508.18</v>
      </c>
    </row>
    <row r="202">
      <c r="A202" s="36" t="str">
        <f t="shared" si="1"/>
        <v>Dayton_OH</v>
      </c>
      <c r="B202" s="36" t="s">
        <v>294</v>
      </c>
      <c r="C202" s="36" t="s">
        <v>80</v>
      </c>
      <c r="D202" s="37" t="str">
        <f>VLOOKUP($C202, State!$A$2:$C332, 2, FALSE)</f>
        <v>OH</v>
      </c>
      <c r="E202" s="29">
        <v>137571.0</v>
      </c>
      <c r="F202" s="38">
        <f t="shared" si="2"/>
        <v>0.3939393939</v>
      </c>
      <c r="G202" s="38">
        <f t="shared" si="3"/>
        <v>6</v>
      </c>
      <c r="H202" s="39">
        <f>VLOOKUP($C202, State!$A$2:$C332, 3, FALSE)</f>
        <v>58642</v>
      </c>
      <c r="I202" s="40">
        <f t="shared" si="4"/>
        <v>8067438.582</v>
      </c>
    </row>
    <row r="203">
      <c r="A203" s="36" t="str">
        <f t="shared" si="1"/>
        <v>Columbia_SC</v>
      </c>
      <c r="B203" s="36" t="s">
        <v>295</v>
      </c>
      <c r="C203" s="36" t="s">
        <v>266</v>
      </c>
      <c r="D203" s="37" t="str">
        <f>VLOOKUP($C203, State!$A$2:$C332, 2, FALSE)</f>
        <v>SC</v>
      </c>
      <c r="E203" s="29">
        <v>137541.0</v>
      </c>
      <c r="F203" s="38">
        <f t="shared" si="2"/>
        <v>0.3909090909</v>
      </c>
      <c r="G203" s="38">
        <f t="shared" si="3"/>
        <v>6</v>
      </c>
      <c r="H203" s="39">
        <f>VLOOKUP($C203, State!$A$2:$C332, 3, FALSE)</f>
        <v>56227</v>
      </c>
      <c r="I203" s="40">
        <f t="shared" si="4"/>
        <v>7733517.807</v>
      </c>
    </row>
    <row r="204">
      <c r="A204" s="36" t="str">
        <f t="shared" si="1"/>
        <v>Orange_CA</v>
      </c>
      <c r="B204" s="36" t="s">
        <v>296</v>
      </c>
      <c r="C204" s="36" t="s">
        <v>62</v>
      </c>
      <c r="D204" s="37" t="str">
        <f>VLOOKUP($C204, State!$A$2:$C332, 2, FALSE)</f>
        <v>CA</v>
      </c>
      <c r="E204" s="29">
        <v>137264.0</v>
      </c>
      <c r="F204" s="38">
        <f t="shared" si="2"/>
        <v>0.3878787879</v>
      </c>
      <c r="G204" s="38">
        <f t="shared" si="3"/>
        <v>6</v>
      </c>
      <c r="H204" s="39">
        <f>VLOOKUP($C204, State!$A$2:$C332, 3, FALSE)</f>
        <v>80440</v>
      </c>
      <c r="I204" s="40">
        <f t="shared" si="4"/>
        <v>11041516.16</v>
      </c>
    </row>
    <row r="205">
      <c r="A205" s="36" t="str">
        <f t="shared" si="1"/>
        <v>CedarRapids_IA</v>
      </c>
      <c r="B205" s="36" t="s">
        <v>297</v>
      </c>
      <c r="C205" s="36" t="s">
        <v>199</v>
      </c>
      <c r="D205" s="37" t="str">
        <f>VLOOKUP($C205, State!$A$2:$C332, 2, FALSE)</f>
        <v>IA</v>
      </c>
      <c r="E205" s="29">
        <v>136467.0</v>
      </c>
      <c r="F205" s="38">
        <f t="shared" si="2"/>
        <v>0.3848484848</v>
      </c>
      <c r="G205" s="38">
        <f t="shared" si="3"/>
        <v>6</v>
      </c>
      <c r="H205" s="39">
        <f>VLOOKUP($C205, State!$A$2:$C332, 3, FALSE)</f>
        <v>61691</v>
      </c>
      <c r="I205" s="40">
        <f t="shared" si="4"/>
        <v>8418785.697</v>
      </c>
    </row>
    <row r="206">
      <c r="A206" s="36" t="str">
        <f t="shared" si="1"/>
        <v>Stamford_CT</v>
      </c>
      <c r="B206" s="36" t="s">
        <v>298</v>
      </c>
      <c r="C206" s="36" t="s">
        <v>277</v>
      </c>
      <c r="D206" s="37" t="str">
        <f>VLOOKUP($C206, State!$A$2:$C332, 2, FALSE)</f>
        <v>CT</v>
      </c>
      <c r="E206" s="29">
        <v>136309.0</v>
      </c>
      <c r="F206" s="38">
        <f t="shared" si="2"/>
        <v>0.3818181818</v>
      </c>
      <c r="G206" s="38">
        <f t="shared" si="3"/>
        <v>6</v>
      </c>
      <c r="H206" s="39">
        <f>VLOOKUP($C206, State!$A$2:$C332, 3, FALSE)</f>
        <v>78833</v>
      </c>
      <c r="I206" s="40">
        <f t="shared" si="4"/>
        <v>10745647.4</v>
      </c>
    </row>
    <row r="207">
      <c r="A207" s="36" t="str">
        <f t="shared" si="1"/>
        <v>Victorville_CA</v>
      </c>
      <c r="B207" s="36" t="s">
        <v>299</v>
      </c>
      <c r="C207" s="36" t="s">
        <v>62</v>
      </c>
      <c r="D207" s="37" t="str">
        <f>VLOOKUP($C207, State!$A$2:$C332, 2, FALSE)</f>
        <v>CA</v>
      </c>
      <c r="E207" s="29">
        <v>135950.0</v>
      </c>
      <c r="F207" s="38">
        <f t="shared" si="2"/>
        <v>0.3787878788</v>
      </c>
      <c r="G207" s="38">
        <f t="shared" si="3"/>
        <v>6</v>
      </c>
      <c r="H207" s="39">
        <f>VLOOKUP($C207, State!$A$2:$C332, 3, FALSE)</f>
        <v>80440</v>
      </c>
      <c r="I207" s="40">
        <f t="shared" si="4"/>
        <v>10935818</v>
      </c>
    </row>
    <row r="208">
      <c r="A208" s="36" t="str">
        <f t="shared" si="1"/>
        <v>Pasadena_CA</v>
      </c>
      <c r="B208" s="36" t="s">
        <v>274</v>
      </c>
      <c r="C208" s="36" t="s">
        <v>62</v>
      </c>
      <c r="D208" s="37" t="str">
        <f>VLOOKUP($C208, State!$A$2:$C332, 2, FALSE)</f>
        <v>CA</v>
      </c>
      <c r="E208" s="29">
        <v>135732.0</v>
      </c>
      <c r="F208" s="38">
        <f t="shared" si="2"/>
        <v>0.3757575758</v>
      </c>
      <c r="G208" s="38">
        <f t="shared" si="3"/>
        <v>6</v>
      </c>
      <c r="H208" s="39">
        <f>VLOOKUP($C208, State!$A$2:$C332, 3, FALSE)</f>
        <v>80440</v>
      </c>
      <c r="I208" s="40">
        <f t="shared" si="4"/>
        <v>10918282.08</v>
      </c>
    </row>
    <row r="209">
      <c r="A209" s="36" t="str">
        <f t="shared" si="1"/>
        <v>Elizabeth_NJ</v>
      </c>
      <c r="B209" s="36" t="s">
        <v>300</v>
      </c>
      <c r="C209" s="36" t="s">
        <v>154</v>
      </c>
      <c r="D209" s="37" t="str">
        <f>VLOOKUP($C209, State!$A$2:$C332, 2, FALSE)</f>
        <v>NJ</v>
      </c>
      <c r="E209" s="29">
        <v>135407.0</v>
      </c>
      <c r="F209" s="38">
        <f t="shared" si="2"/>
        <v>0.3727272727</v>
      </c>
      <c r="G209" s="38">
        <f t="shared" si="3"/>
        <v>6</v>
      </c>
      <c r="H209" s="39">
        <f>VLOOKUP($C209, State!$A$2:$C332, 3, FALSE)</f>
        <v>85751</v>
      </c>
      <c r="I209" s="40">
        <f t="shared" si="4"/>
        <v>11611285.66</v>
      </c>
    </row>
    <row r="210">
      <c r="A210" s="36" t="str">
        <f t="shared" si="1"/>
        <v>NewHaven_CT</v>
      </c>
      <c r="B210" s="36" t="s">
        <v>301</v>
      </c>
      <c r="C210" s="36" t="s">
        <v>277</v>
      </c>
      <c r="D210" s="37" t="str">
        <f>VLOOKUP($C210, State!$A$2:$C332, 2, FALSE)</f>
        <v>CT</v>
      </c>
      <c r="E210" s="29">
        <v>135081.0</v>
      </c>
      <c r="F210" s="38">
        <f t="shared" si="2"/>
        <v>0.3696969697</v>
      </c>
      <c r="G210" s="38">
        <f t="shared" si="3"/>
        <v>6</v>
      </c>
      <c r="H210" s="39">
        <f>VLOOKUP($C210, State!$A$2:$C332, 3, FALSE)</f>
        <v>78833</v>
      </c>
      <c r="I210" s="40">
        <f t="shared" si="4"/>
        <v>10648840.47</v>
      </c>
    </row>
    <row r="211">
      <c r="A211" s="36" t="str">
        <f t="shared" si="1"/>
        <v>Miramar_FL</v>
      </c>
      <c r="B211" s="36" t="s">
        <v>302</v>
      </c>
      <c r="C211" s="36" t="s">
        <v>77</v>
      </c>
      <c r="D211" s="37" t="str">
        <f>VLOOKUP($C211, State!$A$2:$C332, 2, FALSE)</f>
        <v>FL</v>
      </c>
      <c r="E211" s="29">
        <v>135077.0</v>
      </c>
      <c r="F211" s="38">
        <f t="shared" si="2"/>
        <v>0.3666666667</v>
      </c>
      <c r="G211" s="38">
        <f t="shared" si="3"/>
        <v>6</v>
      </c>
      <c r="H211" s="39">
        <f>VLOOKUP($C211, State!$A$2:$C332, 3, FALSE)</f>
        <v>59227</v>
      </c>
      <c r="I211" s="40">
        <f t="shared" si="4"/>
        <v>8000205.479</v>
      </c>
    </row>
    <row r="212">
      <c r="A212" s="36" t="str">
        <f t="shared" si="1"/>
        <v>Kent_WA</v>
      </c>
      <c r="B212" s="36" t="s">
        <v>303</v>
      </c>
      <c r="C212" s="36" t="s">
        <v>87</v>
      </c>
      <c r="D212" s="37" t="str">
        <f>VLOOKUP($C212, State!$A$2:$C332, 2, FALSE)</f>
        <v>WA</v>
      </c>
      <c r="E212" s="29">
        <v>134835.0</v>
      </c>
      <c r="F212" s="38">
        <f t="shared" si="2"/>
        <v>0.3636363636</v>
      </c>
      <c r="G212" s="38">
        <f t="shared" si="3"/>
        <v>5</v>
      </c>
      <c r="H212" s="39">
        <f>VLOOKUP($C212, State!$A$2:$C332, 3, FALSE)</f>
        <v>78687</v>
      </c>
      <c r="I212" s="40">
        <f t="shared" si="4"/>
        <v>10609761.65</v>
      </c>
    </row>
    <row r="213">
      <c r="A213" s="36" t="str">
        <f t="shared" si="1"/>
        <v>SterlingHeights_MI</v>
      </c>
      <c r="B213" s="36" t="s">
        <v>304</v>
      </c>
      <c r="C213" s="36" t="s">
        <v>102</v>
      </c>
      <c r="D213" s="37" t="str">
        <f>VLOOKUP($C213, State!$A$2:$C332, 2, FALSE)</f>
        <v>MI</v>
      </c>
      <c r="E213" s="29">
        <v>133269.0</v>
      </c>
      <c r="F213" s="38">
        <f t="shared" si="2"/>
        <v>0.3606060606</v>
      </c>
      <c r="G213" s="38">
        <f t="shared" si="3"/>
        <v>5</v>
      </c>
      <c r="H213" s="39">
        <f>VLOOKUP($C213, State!$A$2:$C332, 3, FALSE)</f>
        <v>59584</v>
      </c>
      <c r="I213" s="40">
        <f t="shared" si="4"/>
        <v>7940700.096</v>
      </c>
    </row>
    <row r="214">
      <c r="A214" s="36" t="str">
        <f t="shared" si="1"/>
        <v>Carrollton_TX</v>
      </c>
      <c r="B214" s="36" t="s">
        <v>305</v>
      </c>
      <c r="C214" s="36" t="s">
        <v>66</v>
      </c>
      <c r="D214" s="37" t="str">
        <f>VLOOKUP($C214, State!$A$2:$C332, 2, FALSE)</f>
        <v>TX</v>
      </c>
      <c r="E214" s="29">
        <v>133251.0</v>
      </c>
      <c r="F214" s="38">
        <f t="shared" si="2"/>
        <v>0.3575757576</v>
      </c>
      <c r="G214" s="38">
        <f t="shared" si="3"/>
        <v>5</v>
      </c>
      <c r="H214" s="39">
        <f>VLOOKUP($C214, State!$A$2:$C332, 3, FALSE)</f>
        <v>64034</v>
      </c>
      <c r="I214" s="40">
        <f t="shared" si="4"/>
        <v>8532594.534</v>
      </c>
    </row>
    <row r="215">
      <c r="A215" s="36" t="str">
        <f t="shared" si="1"/>
        <v>CoralSprings_FL</v>
      </c>
      <c r="B215" s="36" t="s">
        <v>306</v>
      </c>
      <c r="C215" s="36" t="s">
        <v>77</v>
      </c>
      <c r="D215" s="37" t="str">
        <f>VLOOKUP($C215, State!$A$2:$C332, 2, FALSE)</f>
        <v>FL</v>
      </c>
      <c r="E215" s="29">
        <v>132822.0</v>
      </c>
      <c r="F215" s="38">
        <f t="shared" si="2"/>
        <v>0.3545454545</v>
      </c>
      <c r="G215" s="38">
        <f t="shared" si="3"/>
        <v>5</v>
      </c>
      <c r="H215" s="39">
        <f>VLOOKUP($C215, State!$A$2:$C332, 3, FALSE)</f>
        <v>59227</v>
      </c>
      <c r="I215" s="40">
        <f t="shared" si="4"/>
        <v>7866648.594</v>
      </c>
    </row>
    <row r="216">
      <c r="A216" s="36" t="str">
        <f t="shared" si="1"/>
        <v>Midland_TX</v>
      </c>
      <c r="B216" s="36" t="s">
        <v>307</v>
      </c>
      <c r="C216" s="36" t="s">
        <v>66</v>
      </c>
      <c r="D216" s="37" t="str">
        <f>VLOOKUP($C216, State!$A$2:$C332, 2, FALSE)</f>
        <v>TX</v>
      </c>
      <c r="E216" s="29">
        <v>131325.0</v>
      </c>
      <c r="F216" s="38">
        <f t="shared" si="2"/>
        <v>0.3515151515</v>
      </c>
      <c r="G216" s="38">
        <f t="shared" si="3"/>
        <v>5</v>
      </c>
      <c r="H216" s="39">
        <f>VLOOKUP($C216, State!$A$2:$C332, 3, FALSE)</f>
        <v>64034</v>
      </c>
      <c r="I216" s="40">
        <f t="shared" si="4"/>
        <v>8409265.05</v>
      </c>
    </row>
    <row r="217">
      <c r="A217" s="36" t="str">
        <f t="shared" si="1"/>
        <v>Norman_OK</v>
      </c>
      <c r="B217" s="36" t="s">
        <v>308</v>
      </c>
      <c r="C217" s="36" t="s">
        <v>90</v>
      </c>
      <c r="D217" s="37" t="str">
        <f>VLOOKUP($C217, State!$A$2:$C332, 2, FALSE)</f>
        <v>OK</v>
      </c>
      <c r="E217" s="29">
        <v>128097.0</v>
      </c>
      <c r="F217" s="38">
        <f t="shared" si="2"/>
        <v>0.3484848485</v>
      </c>
      <c r="G217" s="38">
        <f t="shared" si="3"/>
        <v>5</v>
      </c>
      <c r="H217" s="39">
        <f>VLOOKUP($C217, State!$A$2:$C332, 3, FALSE)</f>
        <v>54449</v>
      </c>
      <c r="I217" s="40">
        <f t="shared" si="4"/>
        <v>6974753.553</v>
      </c>
    </row>
    <row r="218">
      <c r="A218" s="36" t="str">
        <f t="shared" si="1"/>
        <v>Athens_GA</v>
      </c>
      <c r="B218" s="36" t="s">
        <v>309</v>
      </c>
      <c r="C218" s="36" t="s">
        <v>119</v>
      </c>
      <c r="D218" s="37" t="str">
        <f>VLOOKUP($C218, State!$A$2:$C332, 2, FALSE)</f>
        <v>GA</v>
      </c>
      <c r="E218" s="29">
        <v>127358.0</v>
      </c>
      <c r="F218" s="38">
        <f t="shared" si="2"/>
        <v>0.3454545455</v>
      </c>
      <c r="G218" s="38">
        <f t="shared" si="3"/>
        <v>5</v>
      </c>
      <c r="H218" s="39">
        <f>VLOOKUP($C218, State!$A$2:$C332, 3, FALSE)</f>
        <v>61980</v>
      </c>
      <c r="I218" s="40">
        <f t="shared" si="4"/>
        <v>7893648.84</v>
      </c>
    </row>
    <row r="219">
      <c r="A219" s="36" t="str">
        <f t="shared" si="1"/>
        <v>SantaClara_CA</v>
      </c>
      <c r="B219" s="36" t="s">
        <v>310</v>
      </c>
      <c r="C219" s="36" t="s">
        <v>62</v>
      </c>
      <c r="D219" s="37" t="str">
        <f>VLOOKUP($C219, State!$A$2:$C332, 2, FALSE)</f>
        <v>CA</v>
      </c>
      <c r="E219" s="29">
        <v>127151.0</v>
      </c>
      <c r="F219" s="38">
        <f t="shared" si="2"/>
        <v>0.3424242424</v>
      </c>
      <c r="G219" s="38">
        <f t="shared" si="3"/>
        <v>5</v>
      </c>
      <c r="H219" s="39">
        <f>VLOOKUP($C219, State!$A$2:$C332, 3, FALSE)</f>
        <v>80440</v>
      </c>
      <c r="I219" s="40">
        <f t="shared" si="4"/>
        <v>10228026.44</v>
      </c>
    </row>
    <row r="220">
      <c r="A220" s="36" t="str">
        <f t="shared" si="1"/>
        <v>Columbia_MO</v>
      </c>
      <c r="B220" s="36" t="s">
        <v>295</v>
      </c>
      <c r="C220" s="36" t="s">
        <v>117</v>
      </c>
      <c r="D220" s="37" t="str">
        <f>VLOOKUP($C220, State!$A$2:$C332, 2, FALSE)</f>
        <v>MO</v>
      </c>
      <c r="E220" s="29">
        <v>126853.0</v>
      </c>
      <c r="F220" s="38">
        <f t="shared" si="2"/>
        <v>0.3393939394</v>
      </c>
      <c r="G220" s="38">
        <f t="shared" si="3"/>
        <v>5</v>
      </c>
      <c r="H220" s="39">
        <f>VLOOKUP($C220, State!$A$2:$C332, 3, FALSE)</f>
        <v>57409</v>
      </c>
      <c r="I220" s="40">
        <f t="shared" si="4"/>
        <v>7282503.877</v>
      </c>
    </row>
    <row r="221">
      <c r="A221" s="36" t="str">
        <f t="shared" si="1"/>
        <v>Fargo_ND</v>
      </c>
      <c r="B221" s="36" t="s">
        <v>311</v>
      </c>
      <c r="C221" s="36" t="s">
        <v>312</v>
      </c>
      <c r="D221" s="37" t="str">
        <f>VLOOKUP($C221, State!$A$2:$C332, 2, FALSE)</f>
        <v>ND</v>
      </c>
      <c r="E221" s="29">
        <v>126748.0</v>
      </c>
      <c r="F221" s="38">
        <f t="shared" si="2"/>
        <v>0.3363636364</v>
      </c>
      <c r="G221" s="38">
        <f t="shared" si="3"/>
        <v>5</v>
      </c>
      <c r="H221" s="39">
        <f>VLOOKUP($C221, State!$A$2:$C332, 3, FALSE)</f>
        <v>64577</v>
      </c>
      <c r="I221" s="40">
        <f t="shared" si="4"/>
        <v>8185005.596</v>
      </c>
    </row>
    <row r="222">
      <c r="A222" s="36" t="str">
        <f t="shared" si="1"/>
        <v>Pearland_TX</v>
      </c>
      <c r="B222" s="36" t="s">
        <v>313</v>
      </c>
      <c r="C222" s="36" t="s">
        <v>66</v>
      </c>
      <c r="D222" s="37" t="str">
        <f>VLOOKUP($C222, State!$A$2:$C332, 2, FALSE)</f>
        <v>TX</v>
      </c>
      <c r="E222" s="29">
        <v>125990.0</v>
      </c>
      <c r="F222" s="38">
        <f t="shared" si="2"/>
        <v>0.3333333333</v>
      </c>
      <c r="G222" s="38">
        <f t="shared" si="3"/>
        <v>5</v>
      </c>
      <c r="H222" s="39">
        <f>VLOOKUP($C222, State!$A$2:$C332, 3, FALSE)</f>
        <v>64034</v>
      </c>
      <c r="I222" s="40">
        <f t="shared" si="4"/>
        <v>8067643.66</v>
      </c>
    </row>
    <row r="223">
      <c r="A223" s="36" t="str">
        <f t="shared" si="1"/>
        <v>SimiValley_CA</v>
      </c>
      <c r="B223" s="36" t="s">
        <v>314</v>
      </c>
      <c r="C223" s="36" t="s">
        <v>62</v>
      </c>
      <c r="D223" s="37" t="str">
        <f>VLOOKUP($C223, State!$A$2:$C332, 2, FALSE)</f>
        <v>CA</v>
      </c>
      <c r="E223" s="29">
        <v>125975.0</v>
      </c>
      <c r="F223" s="38">
        <f t="shared" si="2"/>
        <v>0.3303030303</v>
      </c>
      <c r="G223" s="38">
        <f t="shared" si="3"/>
        <v>5</v>
      </c>
      <c r="H223" s="39">
        <f>VLOOKUP($C223, State!$A$2:$C332, 3, FALSE)</f>
        <v>80440</v>
      </c>
      <c r="I223" s="40">
        <f t="shared" si="4"/>
        <v>10133429</v>
      </c>
    </row>
    <row r="224">
      <c r="A224" s="36" t="str">
        <f t="shared" si="1"/>
        <v>Meridian_ID</v>
      </c>
      <c r="B224" s="36" t="s">
        <v>315</v>
      </c>
      <c r="C224" s="36" t="s">
        <v>184</v>
      </c>
      <c r="D224" s="37" t="str">
        <f>VLOOKUP($C224, State!$A$2:$C332, 2, FALSE)</f>
        <v>ID</v>
      </c>
      <c r="E224" s="29">
        <v>125963.0</v>
      </c>
      <c r="F224" s="38">
        <f t="shared" si="2"/>
        <v>0.3272727273</v>
      </c>
      <c r="G224" s="38">
        <f t="shared" si="3"/>
        <v>5</v>
      </c>
      <c r="H224" s="39">
        <f>VLOOKUP($C224, State!$A$2:$C332, 3, FALSE)</f>
        <v>60999</v>
      </c>
      <c r="I224" s="40">
        <f t="shared" si="4"/>
        <v>7683617.037</v>
      </c>
    </row>
    <row r="225">
      <c r="A225" s="36" t="str">
        <f t="shared" si="1"/>
        <v>Topeka_KA</v>
      </c>
      <c r="B225" s="36" t="s">
        <v>316</v>
      </c>
      <c r="C225" s="36" t="s">
        <v>134</v>
      </c>
      <c r="D225" s="37" t="str">
        <f>VLOOKUP($C225, State!$A$2:$C332, 2, FALSE)</f>
        <v>KA</v>
      </c>
      <c r="E225" s="29">
        <v>125963.0</v>
      </c>
      <c r="F225" s="38">
        <f t="shared" si="2"/>
        <v>0.3272727273</v>
      </c>
      <c r="G225" s="38">
        <f t="shared" si="3"/>
        <v>5</v>
      </c>
      <c r="H225" s="39">
        <f>VLOOKUP($C225, State!$A$2:$C332, 3, FALSE)</f>
        <v>62087</v>
      </c>
      <c r="I225" s="40">
        <f t="shared" si="4"/>
        <v>7820664.781</v>
      </c>
    </row>
    <row r="226">
      <c r="A226" s="36" t="str">
        <f t="shared" si="1"/>
        <v>Allentown_PA</v>
      </c>
      <c r="B226" s="36" t="s">
        <v>317</v>
      </c>
      <c r="C226" s="36" t="s">
        <v>70</v>
      </c>
      <c r="D226" s="37" t="str">
        <f>VLOOKUP($C226, State!$A$2:$C332, 2, FALSE)</f>
        <v>PA</v>
      </c>
      <c r="E226" s="29">
        <v>125944.0</v>
      </c>
      <c r="F226" s="38">
        <f t="shared" si="2"/>
        <v>0.3212121212</v>
      </c>
      <c r="G226" s="38">
        <f t="shared" si="3"/>
        <v>5</v>
      </c>
      <c r="H226" s="39">
        <f>VLOOKUP($C226, State!$A$2:$C332, 3, FALSE)</f>
        <v>63463</v>
      </c>
      <c r="I226" s="40">
        <f t="shared" si="4"/>
        <v>7992784.072</v>
      </c>
    </row>
    <row r="227">
      <c r="A227" s="36" t="str">
        <f t="shared" si="1"/>
        <v>ThousandOaks_CA</v>
      </c>
      <c r="B227" s="36" t="s">
        <v>318</v>
      </c>
      <c r="C227" s="36" t="s">
        <v>62</v>
      </c>
      <c r="D227" s="37" t="str">
        <f>VLOOKUP($C227, State!$A$2:$C332, 2, FALSE)</f>
        <v>CA</v>
      </c>
      <c r="E227" s="29">
        <v>125754.0</v>
      </c>
      <c r="F227" s="38">
        <f t="shared" si="2"/>
        <v>0.3181818182</v>
      </c>
      <c r="G227" s="38">
        <f t="shared" si="3"/>
        <v>5</v>
      </c>
      <c r="H227" s="39">
        <f>VLOOKUP($C227, State!$A$2:$C332, 3, FALSE)</f>
        <v>80440</v>
      </c>
      <c r="I227" s="40">
        <f t="shared" si="4"/>
        <v>10115651.76</v>
      </c>
    </row>
    <row r="228">
      <c r="A228" s="36" t="str">
        <f t="shared" si="1"/>
        <v>Abilene_TX</v>
      </c>
      <c r="B228" s="36" t="s">
        <v>319</v>
      </c>
      <c r="C228" s="36" t="s">
        <v>66</v>
      </c>
      <c r="D228" s="37" t="str">
        <f>VLOOKUP($C228, State!$A$2:$C332, 2, FALSE)</f>
        <v>TX</v>
      </c>
      <c r="E228" s="29">
        <v>125070.0</v>
      </c>
      <c r="F228" s="38">
        <f t="shared" si="2"/>
        <v>0.3151515152</v>
      </c>
      <c r="G228" s="38">
        <f t="shared" si="3"/>
        <v>5</v>
      </c>
      <c r="H228" s="39">
        <f>VLOOKUP($C228, State!$A$2:$C332, 3, FALSE)</f>
        <v>64034</v>
      </c>
      <c r="I228" s="40">
        <f t="shared" si="4"/>
        <v>8008732.38</v>
      </c>
    </row>
    <row r="229">
      <c r="A229" s="36" t="str">
        <f t="shared" si="1"/>
        <v>Vallejo_CA</v>
      </c>
      <c r="B229" s="36" t="s">
        <v>320</v>
      </c>
      <c r="C229" s="36" t="s">
        <v>62</v>
      </c>
      <c r="D229" s="37" t="str">
        <f>VLOOKUP($C229, State!$A$2:$C332, 2, FALSE)</f>
        <v>CA</v>
      </c>
      <c r="E229" s="29">
        <v>124886.0</v>
      </c>
      <c r="F229" s="38">
        <f t="shared" si="2"/>
        <v>0.3121212121</v>
      </c>
      <c r="G229" s="38">
        <f t="shared" si="3"/>
        <v>5</v>
      </c>
      <c r="H229" s="39">
        <f>VLOOKUP($C229, State!$A$2:$C332, 3, FALSE)</f>
        <v>80440</v>
      </c>
      <c r="I229" s="40">
        <f t="shared" si="4"/>
        <v>10045829.84</v>
      </c>
    </row>
    <row r="230">
      <c r="A230" s="36" t="str">
        <f t="shared" si="1"/>
        <v>Concord_CA</v>
      </c>
      <c r="B230" s="36" t="s">
        <v>321</v>
      </c>
      <c r="C230" s="36" t="s">
        <v>62</v>
      </c>
      <c r="D230" s="37" t="str">
        <f>VLOOKUP($C230, State!$A$2:$C332, 2, FALSE)</f>
        <v>CA</v>
      </c>
      <c r="E230" s="29">
        <v>124074.0</v>
      </c>
      <c r="F230" s="38">
        <f t="shared" si="2"/>
        <v>0.3090909091</v>
      </c>
      <c r="G230" s="38">
        <f t="shared" si="3"/>
        <v>5</v>
      </c>
      <c r="H230" s="39">
        <f>VLOOKUP($C230, State!$A$2:$C332, 3, FALSE)</f>
        <v>80440</v>
      </c>
      <c r="I230" s="40">
        <f t="shared" si="4"/>
        <v>9980512.56</v>
      </c>
    </row>
    <row r="231">
      <c r="A231" s="36" t="str">
        <f t="shared" si="1"/>
        <v>RoundRock_TX</v>
      </c>
      <c r="B231" s="36" t="s">
        <v>322</v>
      </c>
      <c r="C231" s="36" t="s">
        <v>66</v>
      </c>
      <c r="D231" s="37" t="str">
        <f>VLOOKUP($C231, State!$A$2:$C332, 2, FALSE)</f>
        <v>TX</v>
      </c>
      <c r="E231" s="29">
        <v>123876.0</v>
      </c>
      <c r="F231" s="38">
        <f t="shared" si="2"/>
        <v>0.3060606061</v>
      </c>
      <c r="G231" s="38">
        <f t="shared" si="3"/>
        <v>5</v>
      </c>
      <c r="H231" s="39">
        <f>VLOOKUP($C231, State!$A$2:$C332, 3, FALSE)</f>
        <v>64034</v>
      </c>
      <c r="I231" s="40">
        <f t="shared" si="4"/>
        <v>7932275.784</v>
      </c>
    </row>
    <row r="232">
      <c r="A232" s="36" t="str">
        <f t="shared" si="1"/>
        <v>Arvada_CO</v>
      </c>
      <c r="B232" s="36" t="s">
        <v>323</v>
      </c>
      <c r="C232" s="36" t="s">
        <v>88</v>
      </c>
      <c r="D232" s="37" t="str">
        <f>VLOOKUP($C232, State!$A$2:$C332, 2, FALSE)</f>
        <v>CO</v>
      </c>
      <c r="E232" s="29">
        <v>123436.0</v>
      </c>
      <c r="F232" s="38">
        <f t="shared" si="2"/>
        <v>0.303030303</v>
      </c>
      <c r="G232" s="38">
        <f t="shared" si="3"/>
        <v>5</v>
      </c>
      <c r="H232" s="39">
        <f>VLOOKUP($C232, State!$A$2:$C332, 3, FALSE)</f>
        <v>77127</v>
      </c>
      <c r="I232" s="40">
        <f t="shared" si="4"/>
        <v>9520248.372</v>
      </c>
    </row>
    <row r="233">
      <c r="A233" s="36" t="str">
        <f t="shared" si="1"/>
        <v>Clovis_CA</v>
      </c>
      <c r="B233" s="36" t="s">
        <v>324</v>
      </c>
      <c r="C233" s="36" t="s">
        <v>62</v>
      </c>
      <c r="D233" s="37" t="str">
        <f>VLOOKUP($C233, State!$A$2:$C332, 2, FALSE)</f>
        <v>CA</v>
      </c>
      <c r="E233" s="29">
        <v>122989.0</v>
      </c>
      <c r="F233" s="38">
        <f t="shared" si="2"/>
        <v>0.3</v>
      </c>
      <c r="G233" s="38">
        <f t="shared" si="3"/>
        <v>5</v>
      </c>
      <c r="H233" s="39">
        <f>VLOOKUP($C233, State!$A$2:$C332, 3, FALSE)</f>
        <v>80440</v>
      </c>
      <c r="I233" s="40">
        <f t="shared" si="4"/>
        <v>9893235.16</v>
      </c>
    </row>
    <row r="234">
      <c r="A234" s="36" t="str">
        <f t="shared" si="1"/>
        <v>PalmBay_FL</v>
      </c>
      <c r="B234" s="36" t="s">
        <v>325</v>
      </c>
      <c r="C234" s="36" t="s">
        <v>77</v>
      </c>
      <c r="D234" s="37" t="str">
        <f>VLOOKUP($C234, State!$A$2:$C332, 2, FALSE)</f>
        <v>FL</v>
      </c>
      <c r="E234" s="29">
        <v>122942.0</v>
      </c>
      <c r="F234" s="38">
        <f t="shared" si="2"/>
        <v>0.296969697</v>
      </c>
      <c r="G234" s="38">
        <f t="shared" si="3"/>
        <v>5</v>
      </c>
      <c r="H234" s="39">
        <f>VLOOKUP($C234, State!$A$2:$C332, 3, FALSE)</f>
        <v>59227</v>
      </c>
      <c r="I234" s="40">
        <f t="shared" si="4"/>
        <v>7281485.834</v>
      </c>
    </row>
    <row r="235">
      <c r="A235" s="36" t="str">
        <f t="shared" si="1"/>
        <v>Independence_MO</v>
      </c>
      <c r="B235" s="36" t="s">
        <v>326</v>
      </c>
      <c r="C235" s="36" t="s">
        <v>117</v>
      </c>
      <c r="D235" s="37" t="str">
        <f>VLOOKUP($C235, State!$A$2:$C332, 2, FALSE)</f>
        <v>MO</v>
      </c>
      <c r="E235" s="29">
        <v>122088.0</v>
      </c>
      <c r="F235" s="38">
        <f t="shared" si="2"/>
        <v>0.2939393939</v>
      </c>
      <c r="G235" s="38">
        <f t="shared" si="3"/>
        <v>5</v>
      </c>
      <c r="H235" s="39">
        <f>VLOOKUP($C235, State!$A$2:$C332, 3, FALSE)</f>
        <v>57409</v>
      </c>
      <c r="I235" s="40">
        <f t="shared" si="4"/>
        <v>7008949.992</v>
      </c>
    </row>
    <row r="236">
      <c r="A236" s="36" t="str">
        <f t="shared" si="1"/>
        <v>Lafayette_LA</v>
      </c>
      <c r="B236" s="36" t="s">
        <v>327</v>
      </c>
      <c r="C236" s="36" t="s">
        <v>139</v>
      </c>
      <c r="D236" s="37" t="str">
        <f>VLOOKUP($C236, State!$A$2:$C332, 2, FALSE)</f>
        <v>LA</v>
      </c>
      <c r="E236" s="29">
        <v>121771.0</v>
      </c>
      <c r="F236" s="38">
        <f t="shared" si="2"/>
        <v>0.2909090909</v>
      </c>
      <c r="G236" s="38">
        <f t="shared" si="3"/>
        <v>5</v>
      </c>
      <c r="H236" s="39">
        <f>VLOOKUP($C236, State!$A$2:$C332, 3, FALSE)</f>
        <v>51073</v>
      </c>
      <c r="I236" s="40">
        <f t="shared" si="4"/>
        <v>6219210.283</v>
      </c>
    </row>
    <row r="237">
      <c r="A237" s="36" t="str">
        <f t="shared" si="1"/>
        <v>AnnArbor_MI</v>
      </c>
      <c r="B237" s="36" t="s">
        <v>328</v>
      </c>
      <c r="C237" s="36" t="s">
        <v>102</v>
      </c>
      <c r="D237" s="37" t="str">
        <f>VLOOKUP($C237, State!$A$2:$C332, 2, FALSE)</f>
        <v>MI</v>
      </c>
      <c r="E237" s="29">
        <v>121536.0</v>
      </c>
      <c r="F237" s="38">
        <f t="shared" si="2"/>
        <v>0.2878787879</v>
      </c>
      <c r="G237" s="38">
        <f t="shared" si="3"/>
        <v>5</v>
      </c>
      <c r="H237" s="39">
        <f>VLOOKUP($C237, State!$A$2:$C332, 3, FALSE)</f>
        <v>59584</v>
      </c>
      <c r="I237" s="40">
        <f t="shared" si="4"/>
        <v>7241601.024</v>
      </c>
    </row>
    <row r="238">
      <c r="A238" s="36" t="str">
        <f t="shared" si="1"/>
        <v>Rochester_MN</v>
      </c>
      <c r="B238" s="36" t="s">
        <v>203</v>
      </c>
      <c r="C238" s="36" t="s">
        <v>130</v>
      </c>
      <c r="D238" s="37" t="str">
        <f>VLOOKUP($C238, State!$A$2:$C332, 2, FALSE)</f>
        <v>MN</v>
      </c>
      <c r="E238" s="29">
        <v>121465.0</v>
      </c>
      <c r="F238" s="38">
        <f t="shared" si="2"/>
        <v>0.2848484848</v>
      </c>
      <c r="G238" s="38">
        <f t="shared" si="3"/>
        <v>5</v>
      </c>
      <c r="H238" s="39">
        <f>VLOOKUP($C238, State!$A$2:$C332, 3, FALSE)</f>
        <v>74593</v>
      </c>
      <c r="I238" s="40">
        <f t="shared" si="4"/>
        <v>9060438.745</v>
      </c>
    </row>
    <row r="239">
      <c r="A239" s="36" t="str">
        <f t="shared" si="1"/>
        <v>Hartford_CT</v>
      </c>
      <c r="B239" s="36" t="s">
        <v>329</v>
      </c>
      <c r="C239" s="36" t="s">
        <v>277</v>
      </c>
      <c r="D239" s="37" t="str">
        <f>VLOOKUP($C239, State!$A$2:$C332, 2, FALSE)</f>
        <v>CT</v>
      </c>
      <c r="E239" s="29">
        <v>120576.0</v>
      </c>
      <c r="F239" s="38">
        <f t="shared" si="2"/>
        <v>0.2818181818</v>
      </c>
      <c r="G239" s="38">
        <f t="shared" si="3"/>
        <v>5</v>
      </c>
      <c r="H239" s="39">
        <f>VLOOKUP($C239, State!$A$2:$C332, 3, FALSE)</f>
        <v>78833</v>
      </c>
      <c r="I239" s="40">
        <f t="shared" si="4"/>
        <v>9505367.808</v>
      </c>
    </row>
    <row r="240">
      <c r="A240" s="36" t="str">
        <f t="shared" si="1"/>
        <v>CollegeStation_TX</v>
      </c>
      <c r="B240" s="36" t="s">
        <v>330</v>
      </c>
      <c r="C240" s="36" t="s">
        <v>66</v>
      </c>
      <c r="D240" s="37" t="str">
        <f>VLOOKUP($C240, State!$A$2:$C332, 2, FALSE)</f>
        <v>TX</v>
      </c>
      <c r="E240" s="29">
        <v>120019.0</v>
      </c>
      <c r="F240" s="38">
        <f t="shared" si="2"/>
        <v>0.2787878788</v>
      </c>
      <c r="G240" s="38">
        <f t="shared" si="3"/>
        <v>5</v>
      </c>
      <c r="H240" s="39">
        <f>VLOOKUP($C240, State!$A$2:$C332, 3, FALSE)</f>
        <v>64034</v>
      </c>
      <c r="I240" s="40">
        <f t="shared" si="4"/>
        <v>7685296.646</v>
      </c>
    </row>
    <row r="241">
      <c r="A241" s="36" t="str">
        <f t="shared" si="1"/>
        <v>Fairfield_CA</v>
      </c>
      <c r="B241" s="36" t="s">
        <v>331</v>
      </c>
      <c r="C241" s="36" t="s">
        <v>62</v>
      </c>
      <c r="D241" s="37" t="str">
        <f>VLOOKUP($C241, State!$A$2:$C332, 2, FALSE)</f>
        <v>CA</v>
      </c>
      <c r="E241" s="29">
        <v>119705.0</v>
      </c>
      <c r="F241" s="38">
        <f t="shared" si="2"/>
        <v>0.2757575758</v>
      </c>
      <c r="G241" s="38">
        <f t="shared" si="3"/>
        <v>5</v>
      </c>
      <c r="H241" s="39">
        <f>VLOOKUP($C241, State!$A$2:$C332, 3, FALSE)</f>
        <v>80440</v>
      </c>
      <c r="I241" s="40">
        <f t="shared" si="4"/>
        <v>9629070.2</v>
      </c>
    </row>
    <row r="242">
      <c r="A242" s="36" t="str">
        <f t="shared" si="1"/>
        <v>Wilmington_NC</v>
      </c>
      <c r="B242" s="36" t="s">
        <v>332</v>
      </c>
      <c r="C242" s="36" t="s">
        <v>84</v>
      </c>
      <c r="D242" s="37" t="str">
        <f>VLOOKUP($C242, State!$A$2:$C332, 2, FALSE)</f>
        <v>NC</v>
      </c>
      <c r="E242" s="29">
        <v>117643.0</v>
      </c>
      <c r="F242" s="38">
        <f t="shared" si="2"/>
        <v>0.2727272727</v>
      </c>
      <c r="G242" s="38">
        <f t="shared" si="3"/>
        <v>4</v>
      </c>
      <c r="H242" s="39">
        <f>VLOOKUP($C242, State!$A$2:$C332, 3, FALSE)</f>
        <v>57341</v>
      </c>
      <c r="I242" s="40">
        <f t="shared" si="4"/>
        <v>6745767.263</v>
      </c>
    </row>
    <row r="243">
      <c r="A243" s="36" t="str">
        <f t="shared" si="1"/>
        <v>NorthCharleston_SC</v>
      </c>
      <c r="B243" s="36" t="s">
        <v>333</v>
      </c>
      <c r="C243" s="36" t="s">
        <v>266</v>
      </c>
      <c r="D243" s="37" t="str">
        <f>VLOOKUP($C243, State!$A$2:$C332, 2, FALSE)</f>
        <v>SC</v>
      </c>
      <c r="E243" s="29">
        <v>117472.0</v>
      </c>
      <c r="F243" s="38">
        <f t="shared" si="2"/>
        <v>0.2696969697</v>
      </c>
      <c r="G243" s="38">
        <f t="shared" si="3"/>
        <v>4</v>
      </c>
      <c r="H243" s="39">
        <f>VLOOKUP($C243, State!$A$2:$C332, 3, FALSE)</f>
        <v>56227</v>
      </c>
      <c r="I243" s="40">
        <f t="shared" si="4"/>
        <v>6605098.144</v>
      </c>
    </row>
    <row r="244">
      <c r="A244" s="36" t="str">
        <f t="shared" si="1"/>
        <v>Billings_MT</v>
      </c>
      <c r="B244" s="36" t="s">
        <v>334</v>
      </c>
      <c r="C244" s="36" t="s">
        <v>335</v>
      </c>
      <c r="D244" s="37" t="str">
        <f>VLOOKUP($C244, State!$A$2:$C332, 2, FALSE)</f>
        <v>MT</v>
      </c>
      <c r="E244" s="29">
        <v>117445.0</v>
      </c>
      <c r="F244" s="38">
        <f t="shared" si="2"/>
        <v>0.2666666667</v>
      </c>
      <c r="G244" s="38">
        <f t="shared" si="3"/>
        <v>4</v>
      </c>
      <c r="H244" s="39">
        <f>VLOOKUP($C244, State!$A$2:$C332, 3, FALSE)</f>
        <v>57153</v>
      </c>
      <c r="I244" s="40">
        <f t="shared" si="4"/>
        <v>6712334.085</v>
      </c>
    </row>
    <row r="245">
      <c r="A245" s="36" t="str">
        <f t="shared" si="1"/>
        <v>WestPalmBeach_FL</v>
      </c>
      <c r="B245" s="36" t="s">
        <v>336</v>
      </c>
      <c r="C245" s="36" t="s">
        <v>77</v>
      </c>
      <c r="D245" s="37" t="str">
        <f>VLOOKUP($C245, State!$A$2:$C332, 2, FALSE)</f>
        <v>FL</v>
      </c>
      <c r="E245" s="29">
        <v>117286.0</v>
      </c>
      <c r="F245" s="38">
        <f t="shared" si="2"/>
        <v>0.2636363636</v>
      </c>
      <c r="G245" s="38">
        <f t="shared" si="3"/>
        <v>4</v>
      </c>
      <c r="H245" s="39">
        <f>VLOOKUP($C245, State!$A$2:$C332, 3, FALSE)</f>
        <v>59227</v>
      </c>
      <c r="I245" s="40">
        <f t="shared" si="4"/>
        <v>6946497.922</v>
      </c>
    </row>
    <row r="246">
      <c r="A246" s="36" t="str">
        <f t="shared" si="1"/>
        <v>Berkeley_CA</v>
      </c>
      <c r="B246" s="36" t="s">
        <v>337</v>
      </c>
      <c r="C246" s="36" t="s">
        <v>62</v>
      </c>
      <c r="D246" s="37" t="str">
        <f>VLOOKUP($C246, State!$A$2:$C332, 2, FALSE)</f>
        <v>CA</v>
      </c>
      <c r="E246" s="29">
        <v>117145.0</v>
      </c>
      <c r="F246" s="38">
        <f t="shared" si="2"/>
        <v>0.2606060606</v>
      </c>
      <c r="G246" s="38">
        <f t="shared" si="3"/>
        <v>4</v>
      </c>
      <c r="H246" s="39">
        <f>VLOOKUP($C246, State!$A$2:$C332, 3, FALSE)</f>
        <v>80440</v>
      </c>
      <c r="I246" s="40">
        <f t="shared" si="4"/>
        <v>9423143.8</v>
      </c>
    </row>
    <row r="247">
      <c r="A247" s="36" t="str">
        <f t="shared" si="1"/>
        <v>Cambridge_MA</v>
      </c>
      <c r="B247" s="36" t="s">
        <v>338</v>
      </c>
      <c r="C247" s="36" t="s">
        <v>96</v>
      </c>
      <c r="D247" s="37" t="str">
        <f>VLOOKUP($C247, State!$A$2:$C332, 2, FALSE)</f>
        <v>MA</v>
      </c>
      <c r="E247" s="29">
        <v>117090.0</v>
      </c>
      <c r="F247" s="38">
        <f t="shared" si="2"/>
        <v>0.2575757576</v>
      </c>
      <c r="G247" s="38">
        <f t="shared" si="3"/>
        <v>4</v>
      </c>
      <c r="H247" s="39">
        <f>VLOOKUP($C247, State!$A$2:$C332, 3, FALSE)</f>
        <v>85843</v>
      </c>
      <c r="I247" s="40">
        <f t="shared" si="4"/>
        <v>10051356.87</v>
      </c>
    </row>
    <row r="248">
      <c r="A248" s="36" t="str">
        <f t="shared" si="1"/>
        <v>Clearwater_FL</v>
      </c>
      <c r="B248" s="36" t="s">
        <v>339</v>
      </c>
      <c r="C248" s="36" t="s">
        <v>77</v>
      </c>
      <c r="D248" s="37" t="str">
        <f>VLOOKUP($C248, State!$A$2:$C332, 2, FALSE)</f>
        <v>FL</v>
      </c>
      <c r="E248" s="29">
        <v>116674.0</v>
      </c>
      <c r="F248" s="38">
        <f t="shared" si="2"/>
        <v>0.2545454545</v>
      </c>
      <c r="G248" s="38">
        <f t="shared" si="3"/>
        <v>4</v>
      </c>
      <c r="H248" s="39">
        <f>VLOOKUP($C248, State!$A$2:$C332, 3, FALSE)</f>
        <v>59227</v>
      </c>
      <c r="I248" s="40">
        <f t="shared" si="4"/>
        <v>6910250.998</v>
      </c>
    </row>
    <row r="249">
      <c r="A249" s="36" t="str">
        <f t="shared" si="1"/>
        <v>WestJordan_UT</v>
      </c>
      <c r="B249" s="36" t="s">
        <v>340</v>
      </c>
      <c r="C249" s="36" t="s">
        <v>215</v>
      </c>
      <c r="D249" s="37" t="str">
        <f>VLOOKUP($C249, State!$A$2:$C332, 2, FALSE)</f>
        <v>UT</v>
      </c>
      <c r="E249" s="29">
        <v>116541.0</v>
      </c>
      <c r="F249" s="38">
        <f t="shared" si="2"/>
        <v>0.2515151515</v>
      </c>
      <c r="G249" s="38">
        <f t="shared" si="3"/>
        <v>4</v>
      </c>
      <c r="H249" s="39">
        <f>VLOOKUP($C249, State!$A$2:$C332, 3, FALSE)</f>
        <v>75780</v>
      </c>
      <c r="I249" s="40">
        <f t="shared" si="4"/>
        <v>8831476.98</v>
      </c>
    </row>
    <row r="250">
      <c r="A250" s="36" t="str">
        <f t="shared" si="1"/>
        <v>Evansville_IN</v>
      </c>
      <c r="B250" s="36" t="s">
        <v>341</v>
      </c>
      <c r="C250" s="36" t="s">
        <v>82</v>
      </c>
      <c r="D250" s="37" t="str">
        <f>VLOOKUP($C250, State!$A$2:$C332, 2, FALSE)</f>
        <v>IN</v>
      </c>
      <c r="E250" s="29">
        <v>116486.0</v>
      </c>
      <c r="F250" s="38">
        <f t="shared" si="2"/>
        <v>0.2484848485</v>
      </c>
      <c r="G250" s="38">
        <f t="shared" si="3"/>
        <v>4</v>
      </c>
      <c r="H250" s="39">
        <f>VLOOKUP($C250, State!$A$2:$C332, 3, FALSE)</f>
        <v>57603</v>
      </c>
      <c r="I250" s="40">
        <f t="shared" si="4"/>
        <v>6709943.058</v>
      </c>
    </row>
    <row r="251">
      <c r="A251" s="36" t="str">
        <f t="shared" si="1"/>
        <v>Richardson_TX</v>
      </c>
      <c r="B251" s="36" t="s">
        <v>342</v>
      </c>
      <c r="C251" s="36" t="s">
        <v>66</v>
      </c>
      <c r="D251" s="37" t="str">
        <f>VLOOKUP($C251, State!$A$2:$C332, 2, FALSE)</f>
        <v>TX</v>
      </c>
      <c r="E251" s="29">
        <v>116382.0</v>
      </c>
      <c r="F251" s="38">
        <f t="shared" si="2"/>
        <v>0.2454545455</v>
      </c>
      <c r="G251" s="38">
        <f t="shared" si="3"/>
        <v>4</v>
      </c>
      <c r="H251" s="39">
        <f>VLOOKUP($C251, State!$A$2:$C332, 3, FALSE)</f>
        <v>64034</v>
      </c>
      <c r="I251" s="40">
        <f t="shared" si="4"/>
        <v>7452404.988</v>
      </c>
    </row>
    <row r="252">
      <c r="A252" s="36" t="str">
        <f t="shared" si="1"/>
        <v>BrokenArrow_OK</v>
      </c>
      <c r="B252" s="36" t="s">
        <v>343</v>
      </c>
      <c r="C252" s="36" t="s">
        <v>90</v>
      </c>
      <c r="D252" s="37" t="str">
        <f>VLOOKUP($C252, State!$A$2:$C332, 2, FALSE)</f>
        <v>OK</v>
      </c>
      <c r="E252" s="29">
        <v>116330.0</v>
      </c>
      <c r="F252" s="38">
        <f t="shared" si="2"/>
        <v>0.2424242424</v>
      </c>
      <c r="G252" s="38">
        <f t="shared" si="3"/>
        <v>4</v>
      </c>
      <c r="H252" s="39">
        <f>VLOOKUP($C252, State!$A$2:$C332, 3, FALSE)</f>
        <v>54449</v>
      </c>
      <c r="I252" s="40">
        <f t="shared" si="4"/>
        <v>6334052.17</v>
      </c>
    </row>
    <row r="253">
      <c r="A253" s="36" t="str">
        <f t="shared" si="1"/>
        <v>Richmond_CA</v>
      </c>
      <c r="B253" s="36" t="s">
        <v>188</v>
      </c>
      <c r="C253" s="36" t="s">
        <v>62</v>
      </c>
      <c r="D253" s="37" t="str">
        <f>VLOOKUP($C253, State!$A$2:$C332, 2, FALSE)</f>
        <v>CA</v>
      </c>
      <c r="E253" s="29">
        <v>115639.0</v>
      </c>
      <c r="F253" s="38">
        <f t="shared" si="2"/>
        <v>0.2393939394</v>
      </c>
      <c r="G253" s="38">
        <f t="shared" si="3"/>
        <v>4</v>
      </c>
      <c r="H253" s="39">
        <f>VLOOKUP($C253, State!$A$2:$C332, 3, FALSE)</f>
        <v>80440</v>
      </c>
      <c r="I253" s="40">
        <f t="shared" si="4"/>
        <v>9302001.16</v>
      </c>
    </row>
    <row r="254">
      <c r="A254" s="36" t="str">
        <f t="shared" si="1"/>
        <v>LeagueCity_TX</v>
      </c>
      <c r="B254" s="36" t="s">
        <v>344</v>
      </c>
      <c r="C254" s="36" t="s">
        <v>66</v>
      </c>
      <c r="D254" s="37" t="str">
        <f>VLOOKUP($C254, State!$A$2:$C332, 2, FALSE)</f>
        <v>TX</v>
      </c>
      <c r="E254" s="29">
        <v>115595.0</v>
      </c>
      <c r="F254" s="38">
        <f t="shared" si="2"/>
        <v>0.2363636364</v>
      </c>
      <c r="G254" s="38">
        <f t="shared" si="3"/>
        <v>4</v>
      </c>
      <c r="H254" s="39">
        <f>VLOOKUP($C254, State!$A$2:$C332, 3, FALSE)</f>
        <v>64034</v>
      </c>
      <c r="I254" s="40">
        <f t="shared" si="4"/>
        <v>7402010.23</v>
      </c>
    </row>
    <row r="255">
      <c r="A255" s="36" t="str">
        <f t="shared" si="1"/>
        <v>Manchester_NH</v>
      </c>
      <c r="B255" s="36" t="s">
        <v>345</v>
      </c>
      <c r="C255" s="36" t="s">
        <v>346</v>
      </c>
      <c r="D255" s="37" t="str">
        <f>VLOOKUP($C255, State!$A$2:$C332, 2, FALSE)</f>
        <v>NH</v>
      </c>
      <c r="E255" s="29">
        <v>115462.0</v>
      </c>
      <c r="F255" s="38">
        <f t="shared" si="2"/>
        <v>0.2333333333</v>
      </c>
      <c r="G255" s="38">
        <f t="shared" si="3"/>
        <v>4</v>
      </c>
      <c r="H255" s="39">
        <f>VLOOKUP($C255, State!$A$2:$C332, 3, FALSE)</f>
        <v>77933</v>
      </c>
      <c r="I255" s="40">
        <f t="shared" si="4"/>
        <v>8998300.046</v>
      </c>
    </row>
    <row r="256">
      <c r="A256" s="36" t="str">
        <f t="shared" si="1"/>
        <v>Lakeland_FL</v>
      </c>
      <c r="B256" s="36" t="s">
        <v>347</v>
      </c>
      <c r="C256" s="36" t="s">
        <v>77</v>
      </c>
      <c r="D256" s="37" t="str">
        <f>VLOOKUP($C256, State!$A$2:$C332, 2, FALSE)</f>
        <v>FL</v>
      </c>
      <c r="E256" s="29">
        <v>115425.0</v>
      </c>
      <c r="F256" s="38">
        <f t="shared" si="2"/>
        <v>0.2303030303</v>
      </c>
      <c r="G256" s="38">
        <f t="shared" si="3"/>
        <v>4</v>
      </c>
      <c r="H256" s="39">
        <f>VLOOKUP($C256, State!$A$2:$C332, 3, FALSE)</f>
        <v>59227</v>
      </c>
      <c r="I256" s="40">
        <f t="shared" si="4"/>
        <v>6836276.475</v>
      </c>
    </row>
    <row r="257">
      <c r="A257" s="36" t="str">
        <f t="shared" si="1"/>
        <v>Carlsbad_CA</v>
      </c>
      <c r="B257" s="36" t="s">
        <v>348</v>
      </c>
      <c r="C257" s="36" t="s">
        <v>62</v>
      </c>
      <c r="D257" s="37" t="str">
        <f>VLOOKUP($C257, State!$A$2:$C332, 2, FALSE)</f>
        <v>CA</v>
      </c>
      <c r="E257" s="29">
        <v>115302.0</v>
      </c>
      <c r="F257" s="38">
        <f t="shared" si="2"/>
        <v>0.2272727273</v>
      </c>
      <c r="G257" s="38">
        <f t="shared" si="3"/>
        <v>4</v>
      </c>
      <c r="H257" s="39">
        <f>VLOOKUP($C257, State!$A$2:$C332, 3, FALSE)</f>
        <v>80440</v>
      </c>
      <c r="I257" s="40">
        <f t="shared" si="4"/>
        <v>9274892.88</v>
      </c>
    </row>
    <row r="258">
      <c r="A258" s="36" t="str">
        <f t="shared" si="1"/>
        <v>Antioch_CA</v>
      </c>
      <c r="B258" s="36" t="s">
        <v>349</v>
      </c>
      <c r="C258" s="36" t="s">
        <v>62</v>
      </c>
      <c r="D258" s="37" t="str">
        <f>VLOOKUP($C258, State!$A$2:$C332, 2, FALSE)</f>
        <v>CA</v>
      </c>
      <c r="E258" s="29">
        <v>114794.0</v>
      </c>
      <c r="F258" s="38">
        <f t="shared" si="2"/>
        <v>0.2242424242</v>
      </c>
      <c r="G258" s="38">
        <f t="shared" si="3"/>
        <v>4</v>
      </c>
      <c r="H258" s="39">
        <f>VLOOKUP($C258, State!$A$2:$C332, 3, FALSE)</f>
        <v>80440</v>
      </c>
      <c r="I258" s="40">
        <f t="shared" si="4"/>
        <v>9234029.36</v>
      </c>
    </row>
    <row r="259">
      <c r="A259" s="36" t="str">
        <f t="shared" si="1"/>
        <v>Westminster_CO</v>
      </c>
      <c r="B259" s="36" t="s">
        <v>350</v>
      </c>
      <c r="C259" s="36" t="s">
        <v>88</v>
      </c>
      <c r="D259" s="37" t="str">
        <f>VLOOKUP($C259, State!$A$2:$C332, 2, FALSE)</f>
        <v>CO</v>
      </c>
      <c r="E259" s="29">
        <v>114561.0</v>
      </c>
      <c r="F259" s="38">
        <f t="shared" si="2"/>
        <v>0.2212121212</v>
      </c>
      <c r="G259" s="38">
        <f t="shared" si="3"/>
        <v>4</v>
      </c>
      <c r="H259" s="39">
        <f>VLOOKUP($C259, State!$A$2:$C332, 3, FALSE)</f>
        <v>77127</v>
      </c>
      <c r="I259" s="40">
        <f t="shared" si="4"/>
        <v>8835746.247</v>
      </c>
    </row>
    <row r="260">
      <c r="A260" s="36" t="str">
        <f t="shared" si="1"/>
        <v>HighPoint_NC</v>
      </c>
      <c r="B260" s="36" t="s">
        <v>351</v>
      </c>
      <c r="C260" s="36" t="s">
        <v>84</v>
      </c>
      <c r="D260" s="37" t="str">
        <f>VLOOKUP($C260, State!$A$2:$C332, 2, FALSE)</f>
        <v>NC</v>
      </c>
      <c r="E260" s="29">
        <v>114086.0</v>
      </c>
      <c r="F260" s="38">
        <f t="shared" si="2"/>
        <v>0.2181818182</v>
      </c>
      <c r="G260" s="38">
        <f t="shared" si="3"/>
        <v>4</v>
      </c>
      <c r="H260" s="39">
        <f>VLOOKUP($C260, State!$A$2:$C332, 3, FALSE)</f>
        <v>57341</v>
      </c>
      <c r="I260" s="40">
        <f t="shared" si="4"/>
        <v>6541805.326</v>
      </c>
    </row>
    <row r="261">
      <c r="A261" s="36" t="str">
        <f t="shared" si="1"/>
        <v>Provo_UT</v>
      </c>
      <c r="B261" s="36" t="s">
        <v>352</v>
      </c>
      <c r="C261" s="36" t="s">
        <v>215</v>
      </c>
      <c r="D261" s="37" t="str">
        <f>VLOOKUP($C261, State!$A$2:$C332, 2, FALSE)</f>
        <v>UT</v>
      </c>
      <c r="E261" s="29">
        <v>114084.0</v>
      </c>
      <c r="F261" s="38">
        <f t="shared" si="2"/>
        <v>0.2151515152</v>
      </c>
      <c r="G261" s="38">
        <f t="shared" si="3"/>
        <v>4</v>
      </c>
      <c r="H261" s="39">
        <f>VLOOKUP($C261, State!$A$2:$C332, 3, FALSE)</f>
        <v>75780</v>
      </c>
      <c r="I261" s="40">
        <f t="shared" si="4"/>
        <v>8645285.52</v>
      </c>
    </row>
    <row r="262">
      <c r="A262" s="36" t="str">
        <f t="shared" si="1"/>
        <v>Lowell_MA</v>
      </c>
      <c r="B262" s="36" t="s">
        <v>353</v>
      </c>
      <c r="C262" s="36" t="s">
        <v>96</v>
      </c>
      <c r="D262" s="37" t="str">
        <f>VLOOKUP($C262, State!$A$2:$C332, 2, FALSE)</f>
        <v>MA</v>
      </c>
      <c r="E262" s="29">
        <v>113994.0</v>
      </c>
      <c r="F262" s="38">
        <f t="shared" si="2"/>
        <v>0.2121212121</v>
      </c>
      <c r="G262" s="38">
        <f t="shared" si="3"/>
        <v>4</v>
      </c>
      <c r="H262" s="39">
        <f>VLOOKUP($C262, State!$A$2:$C332, 3, FALSE)</f>
        <v>85843</v>
      </c>
      <c r="I262" s="40">
        <f t="shared" si="4"/>
        <v>9785586.942</v>
      </c>
    </row>
    <row r="263">
      <c r="A263" s="36" t="str">
        <f t="shared" si="1"/>
        <v>Elgin_IL</v>
      </c>
      <c r="B263" s="36" t="s">
        <v>354</v>
      </c>
      <c r="C263" s="36" t="s">
        <v>64</v>
      </c>
      <c r="D263" s="37" t="str">
        <f>VLOOKUP($C263, State!$A$2:$C332, 2, FALSE)</f>
        <v>IL</v>
      </c>
      <c r="E263" s="29">
        <v>113911.0</v>
      </c>
      <c r="F263" s="38">
        <f t="shared" si="2"/>
        <v>0.2090909091</v>
      </c>
      <c r="G263" s="38">
        <f t="shared" si="3"/>
        <v>4</v>
      </c>
      <c r="H263" s="39">
        <f>VLOOKUP($C263, State!$A$2:$C332, 3, FALSE)</f>
        <v>69187</v>
      </c>
      <c r="I263" s="40">
        <f t="shared" si="4"/>
        <v>7881160.357</v>
      </c>
    </row>
    <row r="264">
      <c r="A264" s="36" t="str">
        <f t="shared" si="1"/>
        <v>Waterbury_CT</v>
      </c>
      <c r="B264" s="36" t="s">
        <v>355</v>
      </c>
      <c r="C264" s="36" t="s">
        <v>277</v>
      </c>
      <c r="D264" s="37" t="str">
        <f>VLOOKUP($C264, State!$A$2:$C332, 2, FALSE)</f>
        <v>CT</v>
      </c>
      <c r="E264" s="29">
        <v>113811.0</v>
      </c>
      <c r="F264" s="38">
        <f t="shared" si="2"/>
        <v>0.2060606061</v>
      </c>
      <c r="G264" s="38">
        <f t="shared" si="3"/>
        <v>4</v>
      </c>
      <c r="H264" s="39">
        <f>VLOOKUP($C264, State!$A$2:$C332, 3, FALSE)</f>
        <v>78833</v>
      </c>
      <c r="I264" s="40">
        <f t="shared" si="4"/>
        <v>8972062.563</v>
      </c>
    </row>
    <row r="265">
      <c r="A265" s="36" t="str">
        <f t="shared" si="1"/>
        <v>Springfield_IL</v>
      </c>
      <c r="B265" s="36" t="s">
        <v>249</v>
      </c>
      <c r="C265" s="36" t="s">
        <v>64</v>
      </c>
      <c r="D265" s="37" t="str">
        <f>VLOOKUP($C265, State!$A$2:$C332, 2, FALSE)</f>
        <v>IL</v>
      </c>
      <c r="E265" s="29">
        <v>113394.0</v>
      </c>
      <c r="F265" s="38">
        <f t="shared" si="2"/>
        <v>0.203030303</v>
      </c>
      <c r="G265" s="38">
        <f t="shared" si="3"/>
        <v>4</v>
      </c>
      <c r="H265" s="39">
        <f>VLOOKUP($C265, State!$A$2:$C332, 3, FALSE)</f>
        <v>69187</v>
      </c>
      <c r="I265" s="40">
        <f t="shared" si="4"/>
        <v>7845390.678</v>
      </c>
    </row>
    <row r="266">
      <c r="A266" s="36" t="str">
        <f t="shared" si="1"/>
        <v>Gresham_OR</v>
      </c>
      <c r="B266" s="36" t="s">
        <v>356</v>
      </c>
      <c r="C266" s="36" t="s">
        <v>100</v>
      </c>
      <c r="D266" s="37" t="str">
        <f>VLOOKUP($C266, State!$A$2:$C332, 2, FALSE)</f>
        <v>OR</v>
      </c>
      <c r="E266" s="29">
        <v>113103.0</v>
      </c>
      <c r="F266" s="38">
        <f t="shared" si="2"/>
        <v>0.2</v>
      </c>
      <c r="G266" s="38">
        <f t="shared" si="3"/>
        <v>4</v>
      </c>
      <c r="H266" s="39">
        <f>VLOOKUP($C266, State!$A$2:$C332, 3, FALSE)</f>
        <v>67058</v>
      </c>
      <c r="I266" s="40">
        <f t="shared" si="4"/>
        <v>7584460.974</v>
      </c>
    </row>
    <row r="267">
      <c r="A267" s="36" t="str">
        <f t="shared" si="1"/>
        <v>Murrieta_CA</v>
      </c>
      <c r="B267" s="36" t="s">
        <v>357</v>
      </c>
      <c r="C267" s="36" t="s">
        <v>62</v>
      </c>
      <c r="D267" s="37" t="str">
        <f>VLOOKUP($C267, State!$A$2:$C332, 2, FALSE)</f>
        <v>CA</v>
      </c>
      <c r="E267" s="29">
        <v>112991.0</v>
      </c>
      <c r="F267" s="38">
        <f t="shared" si="2"/>
        <v>0.196969697</v>
      </c>
      <c r="G267" s="38">
        <f t="shared" si="3"/>
        <v>4</v>
      </c>
      <c r="H267" s="39">
        <f>VLOOKUP($C267, State!$A$2:$C332, 3, FALSE)</f>
        <v>80440</v>
      </c>
      <c r="I267" s="40">
        <f t="shared" si="4"/>
        <v>9088996.04</v>
      </c>
    </row>
    <row r="268">
      <c r="A268" s="36" t="str">
        <f t="shared" si="1"/>
        <v>Lewisville_TX</v>
      </c>
      <c r="B268" s="36" t="s">
        <v>358</v>
      </c>
      <c r="C268" s="36" t="s">
        <v>66</v>
      </c>
      <c r="D268" s="37" t="str">
        <f>VLOOKUP($C268, State!$A$2:$C332, 2, FALSE)</f>
        <v>TX</v>
      </c>
      <c r="E268" s="29">
        <v>112944.0</v>
      </c>
      <c r="F268" s="38">
        <f t="shared" si="2"/>
        <v>0.1939393939</v>
      </c>
      <c r="G268" s="38">
        <f t="shared" si="3"/>
        <v>4</v>
      </c>
      <c r="H268" s="39">
        <f>VLOOKUP($C268, State!$A$2:$C332, 3, FALSE)</f>
        <v>64034</v>
      </c>
      <c r="I268" s="40">
        <f t="shared" si="4"/>
        <v>7232256.096</v>
      </c>
    </row>
    <row r="269">
      <c r="A269" s="36" t="str">
        <f t="shared" si="1"/>
        <v>LasCruces_NM</v>
      </c>
      <c r="B269" s="36" t="s">
        <v>359</v>
      </c>
      <c r="C269" s="36" t="s">
        <v>111</v>
      </c>
      <c r="D269" s="37" t="str">
        <f>VLOOKUP($C269, State!$A$2:$C332, 2, FALSE)</f>
        <v>NM</v>
      </c>
      <c r="E269" s="29">
        <v>112914.0</v>
      </c>
      <c r="F269" s="38">
        <f t="shared" si="2"/>
        <v>0.1909090909</v>
      </c>
      <c r="G269" s="38">
        <f t="shared" si="3"/>
        <v>4</v>
      </c>
      <c r="H269" s="39">
        <f>VLOOKUP($C269, State!$A$2:$C332, 3, FALSE)</f>
        <v>51945</v>
      </c>
      <c r="I269" s="40">
        <f t="shared" si="4"/>
        <v>5865317.73</v>
      </c>
    </row>
    <row r="270">
      <c r="A270" s="36" t="str">
        <f t="shared" si="1"/>
        <v>Lansing_MI</v>
      </c>
      <c r="B270" s="36" t="s">
        <v>360</v>
      </c>
      <c r="C270" s="36" t="s">
        <v>102</v>
      </c>
      <c r="D270" s="37" t="str">
        <f>VLOOKUP($C270, State!$A$2:$C332, 2, FALSE)</f>
        <v>MI</v>
      </c>
      <c r="E270" s="29">
        <v>112684.0</v>
      </c>
      <c r="F270" s="38">
        <f t="shared" si="2"/>
        <v>0.1878787879</v>
      </c>
      <c r="G270" s="38">
        <f t="shared" si="3"/>
        <v>4</v>
      </c>
      <c r="H270" s="39">
        <f>VLOOKUP($C270, State!$A$2:$C332, 3, FALSE)</f>
        <v>59584</v>
      </c>
      <c r="I270" s="40">
        <f t="shared" si="4"/>
        <v>6714163.456</v>
      </c>
    </row>
    <row r="271">
      <c r="A271" s="36" t="str">
        <f t="shared" si="1"/>
        <v>Beaumont_TX</v>
      </c>
      <c r="B271" s="36" t="s">
        <v>361</v>
      </c>
      <c r="C271" s="36" t="s">
        <v>66</v>
      </c>
      <c r="D271" s="37" t="str">
        <f>VLOOKUP($C271, State!$A$2:$C332, 2, FALSE)</f>
        <v>TX</v>
      </c>
      <c r="E271" s="29">
        <v>112556.0</v>
      </c>
      <c r="F271" s="38">
        <f t="shared" si="2"/>
        <v>0.1848484848</v>
      </c>
      <c r="G271" s="38">
        <f t="shared" si="3"/>
        <v>4</v>
      </c>
      <c r="H271" s="39">
        <f>VLOOKUP($C271, State!$A$2:$C332, 3, FALSE)</f>
        <v>64034</v>
      </c>
      <c r="I271" s="40">
        <f t="shared" si="4"/>
        <v>7207410.904</v>
      </c>
    </row>
    <row r="272">
      <c r="A272" s="36" t="str">
        <f t="shared" si="1"/>
        <v>Odessa_TX</v>
      </c>
      <c r="B272" s="36" t="s">
        <v>362</v>
      </c>
      <c r="C272" s="36" t="s">
        <v>66</v>
      </c>
      <c r="D272" s="37" t="str">
        <f>VLOOKUP($C272, State!$A$2:$C332, 2, FALSE)</f>
        <v>TX</v>
      </c>
      <c r="E272" s="29">
        <v>112483.0</v>
      </c>
      <c r="F272" s="38">
        <f t="shared" si="2"/>
        <v>0.1818181818</v>
      </c>
      <c r="G272" s="38">
        <f t="shared" si="3"/>
        <v>3</v>
      </c>
      <c r="H272" s="39">
        <f>VLOOKUP($C272, State!$A$2:$C332, 3, FALSE)</f>
        <v>64034</v>
      </c>
      <c r="I272" s="40">
        <f t="shared" si="4"/>
        <v>7202736.422</v>
      </c>
    </row>
    <row r="273">
      <c r="A273" s="36" t="str">
        <f t="shared" si="1"/>
        <v>Pueblo_CO</v>
      </c>
      <c r="B273" s="36" t="s">
        <v>363</v>
      </c>
      <c r="C273" s="36" t="s">
        <v>88</v>
      </c>
      <c r="D273" s="37" t="str">
        <f>VLOOKUP($C273, State!$A$2:$C332, 2, FALSE)</f>
        <v>CO</v>
      </c>
      <c r="E273" s="29">
        <v>112368.0</v>
      </c>
      <c r="F273" s="38">
        <f t="shared" si="2"/>
        <v>0.1787878788</v>
      </c>
      <c r="G273" s="38">
        <f t="shared" si="3"/>
        <v>3</v>
      </c>
      <c r="H273" s="39">
        <f>VLOOKUP($C273, State!$A$2:$C332, 3, FALSE)</f>
        <v>77127</v>
      </c>
      <c r="I273" s="40">
        <f t="shared" si="4"/>
        <v>8666606.736</v>
      </c>
    </row>
    <row r="274">
      <c r="A274" s="36" t="str">
        <f t="shared" si="1"/>
        <v>Peoria_IL</v>
      </c>
      <c r="B274" s="36" t="s">
        <v>225</v>
      </c>
      <c r="C274" s="36" t="s">
        <v>64</v>
      </c>
      <c r="D274" s="37" t="str">
        <f>VLOOKUP($C274, State!$A$2:$C332, 2, FALSE)</f>
        <v>IL</v>
      </c>
      <c r="E274" s="29">
        <v>111666.0</v>
      </c>
      <c r="F274" s="38">
        <f t="shared" si="2"/>
        <v>0.1757575758</v>
      </c>
      <c r="G274" s="38">
        <f t="shared" si="3"/>
        <v>3</v>
      </c>
      <c r="H274" s="39">
        <f>VLOOKUP($C274, State!$A$2:$C332, 3, FALSE)</f>
        <v>69187</v>
      </c>
      <c r="I274" s="40">
        <f t="shared" si="4"/>
        <v>7725835.542</v>
      </c>
    </row>
    <row r="275">
      <c r="A275" s="36" t="str">
        <f t="shared" si="1"/>
        <v>Downey_CA</v>
      </c>
      <c r="B275" s="36" t="s">
        <v>364</v>
      </c>
      <c r="C275" s="36" t="s">
        <v>62</v>
      </c>
      <c r="D275" s="37" t="str">
        <f>VLOOKUP($C275, State!$A$2:$C332, 2, FALSE)</f>
        <v>CA</v>
      </c>
      <c r="E275" s="29">
        <v>111645.0</v>
      </c>
      <c r="F275" s="38">
        <f t="shared" si="2"/>
        <v>0.1727272727</v>
      </c>
      <c r="G275" s="38">
        <f t="shared" si="3"/>
        <v>3</v>
      </c>
      <c r="H275" s="39">
        <f>VLOOKUP($C275, State!$A$2:$C332, 3, FALSE)</f>
        <v>80440</v>
      </c>
      <c r="I275" s="40">
        <f t="shared" si="4"/>
        <v>8980723.8</v>
      </c>
    </row>
    <row r="276">
      <c r="A276" s="36" t="str">
        <f t="shared" si="1"/>
        <v>PompanoBeach_FL</v>
      </c>
      <c r="B276" s="36" t="s">
        <v>365</v>
      </c>
      <c r="C276" s="36" t="s">
        <v>77</v>
      </c>
      <c r="D276" s="37" t="str">
        <f>VLOOKUP($C276, State!$A$2:$C332, 2, FALSE)</f>
        <v>FL</v>
      </c>
      <c r="E276" s="29">
        <v>111348.0</v>
      </c>
      <c r="F276" s="38">
        <f t="shared" si="2"/>
        <v>0.1696969697</v>
      </c>
      <c r="G276" s="38">
        <f t="shared" si="3"/>
        <v>3</v>
      </c>
      <c r="H276" s="39">
        <f>VLOOKUP($C276, State!$A$2:$C332, 3, FALSE)</f>
        <v>59227</v>
      </c>
      <c r="I276" s="40">
        <f t="shared" si="4"/>
        <v>6594807.996</v>
      </c>
    </row>
    <row r="277">
      <c r="A277" s="36" t="str">
        <f t="shared" si="1"/>
        <v>MiamiGardens_FL</v>
      </c>
      <c r="B277" s="36" t="s">
        <v>366</v>
      </c>
      <c r="C277" s="36" t="s">
        <v>77</v>
      </c>
      <c r="D277" s="37" t="str">
        <f>VLOOKUP($C277, State!$A$2:$C332, 2, FALSE)</f>
        <v>FL</v>
      </c>
      <c r="E277" s="29">
        <v>110867.0</v>
      </c>
      <c r="F277" s="38">
        <f t="shared" si="2"/>
        <v>0.1666666667</v>
      </c>
      <c r="G277" s="38">
        <f t="shared" si="3"/>
        <v>3</v>
      </c>
      <c r="H277" s="39">
        <f>VLOOKUP($C277, State!$A$2:$C332, 3, FALSE)</f>
        <v>59227</v>
      </c>
      <c r="I277" s="40">
        <f t="shared" si="4"/>
        <v>6566319.809</v>
      </c>
    </row>
    <row r="278">
      <c r="A278" s="36" t="str">
        <f t="shared" si="1"/>
        <v>Temecula_CA</v>
      </c>
      <c r="B278" s="36" t="s">
        <v>367</v>
      </c>
      <c r="C278" s="36" t="s">
        <v>62</v>
      </c>
      <c r="D278" s="37" t="str">
        <f>VLOOKUP($C278, State!$A$2:$C332, 2, FALSE)</f>
        <v>CA</v>
      </c>
      <c r="E278" s="29">
        <v>110846.0</v>
      </c>
      <c r="F278" s="38">
        <f t="shared" si="2"/>
        <v>0.1636363636</v>
      </c>
      <c r="G278" s="38">
        <f t="shared" si="3"/>
        <v>3</v>
      </c>
      <c r="H278" s="39">
        <f>VLOOKUP($C278, State!$A$2:$C332, 3, FALSE)</f>
        <v>80440</v>
      </c>
      <c r="I278" s="40">
        <f t="shared" si="4"/>
        <v>8916452.24</v>
      </c>
    </row>
    <row r="279">
      <c r="A279" s="36" t="str">
        <f t="shared" si="1"/>
        <v>Everett_WA</v>
      </c>
      <c r="B279" s="36" t="s">
        <v>368</v>
      </c>
      <c r="C279" s="36" t="s">
        <v>87</v>
      </c>
      <c r="D279" s="37" t="str">
        <f>VLOOKUP($C279, State!$A$2:$C332, 2, FALSE)</f>
        <v>WA</v>
      </c>
      <c r="E279" s="29">
        <v>110812.0</v>
      </c>
      <c r="F279" s="38">
        <f t="shared" si="2"/>
        <v>0.1606060606</v>
      </c>
      <c r="G279" s="38">
        <f t="shared" si="3"/>
        <v>3</v>
      </c>
      <c r="H279" s="39">
        <f>VLOOKUP($C279, State!$A$2:$C332, 3, FALSE)</f>
        <v>78687</v>
      </c>
      <c r="I279" s="40">
        <f t="shared" si="4"/>
        <v>8719463.844</v>
      </c>
    </row>
    <row r="280">
      <c r="A280" s="36" t="str">
        <f t="shared" si="1"/>
        <v>CostaMesa_CA</v>
      </c>
      <c r="B280" s="36" t="s">
        <v>369</v>
      </c>
      <c r="C280" s="36" t="s">
        <v>62</v>
      </c>
      <c r="D280" s="37" t="str">
        <f>VLOOKUP($C280, State!$A$2:$C332, 2, FALSE)</f>
        <v>CA</v>
      </c>
      <c r="E280" s="29">
        <v>110750.0</v>
      </c>
      <c r="F280" s="38">
        <f t="shared" si="2"/>
        <v>0.1575757576</v>
      </c>
      <c r="G280" s="38">
        <f t="shared" si="3"/>
        <v>3</v>
      </c>
      <c r="H280" s="39">
        <f>VLOOKUP($C280, State!$A$2:$C332, 3, FALSE)</f>
        <v>80440</v>
      </c>
      <c r="I280" s="40">
        <f t="shared" si="4"/>
        <v>8908730</v>
      </c>
    </row>
    <row r="281">
      <c r="A281" s="36" t="str">
        <f t="shared" si="1"/>
        <v>Ventura_CA</v>
      </c>
      <c r="B281" s="36" t="s">
        <v>370</v>
      </c>
      <c r="C281" s="36" t="s">
        <v>62</v>
      </c>
      <c r="D281" s="37" t="str">
        <f>VLOOKUP($C281, State!$A$2:$C332, 2, FALSE)</f>
        <v>CA</v>
      </c>
      <c r="E281" s="29">
        <v>109925.0</v>
      </c>
      <c r="F281" s="38">
        <f t="shared" si="2"/>
        <v>0.1545454545</v>
      </c>
      <c r="G281" s="38">
        <f t="shared" si="3"/>
        <v>3</v>
      </c>
      <c r="H281" s="39">
        <f>VLOOKUP($C281, State!$A$2:$C332, 3, FALSE)</f>
        <v>80440</v>
      </c>
      <c r="I281" s="40">
        <f t="shared" si="4"/>
        <v>8842367</v>
      </c>
    </row>
    <row r="282">
      <c r="A282" s="36" t="str">
        <f t="shared" si="1"/>
        <v>Sparks_NV</v>
      </c>
      <c r="B282" s="36" t="s">
        <v>371</v>
      </c>
      <c r="C282" s="36" t="s">
        <v>98</v>
      </c>
      <c r="D282" s="37" t="str">
        <f>VLOOKUP($C282, State!$A$2:$C332, 2, FALSE)</f>
        <v>NV</v>
      </c>
      <c r="E282" s="29">
        <v>109796.0</v>
      </c>
      <c r="F282" s="38">
        <f t="shared" si="2"/>
        <v>0.1515151515</v>
      </c>
      <c r="G282" s="38">
        <f t="shared" si="3"/>
        <v>3</v>
      </c>
      <c r="H282" s="39">
        <f>VLOOKUP($C282, State!$A$2:$C332, 3, FALSE)</f>
        <v>63276</v>
      </c>
      <c r="I282" s="40">
        <f t="shared" si="4"/>
        <v>6947451.696</v>
      </c>
    </row>
    <row r="283">
      <c r="A283" s="36" t="str">
        <f t="shared" si="1"/>
        <v>SantaMaria_CA</v>
      </c>
      <c r="B283" s="36" t="s">
        <v>372</v>
      </c>
      <c r="C283" s="36" t="s">
        <v>62</v>
      </c>
      <c r="D283" s="37" t="str">
        <f>VLOOKUP($C283, State!$A$2:$C332, 2, FALSE)</f>
        <v>CA</v>
      </c>
      <c r="E283" s="29">
        <v>109711.0</v>
      </c>
      <c r="F283" s="38">
        <f t="shared" si="2"/>
        <v>0.1484848485</v>
      </c>
      <c r="G283" s="38">
        <f t="shared" si="3"/>
        <v>3</v>
      </c>
      <c r="H283" s="39">
        <f>VLOOKUP($C283, State!$A$2:$C332, 3, FALSE)</f>
        <v>80440</v>
      </c>
      <c r="I283" s="40">
        <f t="shared" si="4"/>
        <v>8825152.84</v>
      </c>
    </row>
    <row r="284">
      <c r="A284" s="36" t="str">
        <f t="shared" si="1"/>
        <v>SugarLand_TX</v>
      </c>
      <c r="B284" s="36" t="s">
        <v>373</v>
      </c>
      <c r="C284" s="36" t="s">
        <v>66</v>
      </c>
      <c r="D284" s="37" t="str">
        <f>VLOOKUP($C284, State!$A$2:$C332, 2, FALSE)</f>
        <v>TX</v>
      </c>
      <c r="E284" s="29">
        <v>109373.0</v>
      </c>
      <c r="F284" s="38">
        <f t="shared" si="2"/>
        <v>0.1454545455</v>
      </c>
      <c r="G284" s="38">
        <f t="shared" si="3"/>
        <v>3</v>
      </c>
      <c r="H284" s="39">
        <f>VLOOKUP($C284, State!$A$2:$C332, 3, FALSE)</f>
        <v>64034</v>
      </c>
      <c r="I284" s="40">
        <f t="shared" si="4"/>
        <v>7003590.682</v>
      </c>
    </row>
    <row r="285">
      <c r="A285" s="36" t="str">
        <f t="shared" si="1"/>
        <v>Greeley_CO</v>
      </c>
      <c r="B285" s="36" t="s">
        <v>374</v>
      </c>
      <c r="C285" s="36" t="s">
        <v>88</v>
      </c>
      <c r="D285" s="37" t="str">
        <f>VLOOKUP($C285, State!$A$2:$C332, 2, FALSE)</f>
        <v>CO</v>
      </c>
      <c r="E285" s="29">
        <v>109323.0</v>
      </c>
      <c r="F285" s="38">
        <f t="shared" si="2"/>
        <v>0.1424242424</v>
      </c>
      <c r="G285" s="38">
        <f t="shared" si="3"/>
        <v>3</v>
      </c>
      <c r="H285" s="39">
        <f>VLOOKUP($C285, State!$A$2:$C332, 3, FALSE)</f>
        <v>77127</v>
      </c>
      <c r="I285" s="40">
        <f t="shared" si="4"/>
        <v>8431755.021</v>
      </c>
    </row>
    <row r="286">
      <c r="A286" s="36" t="str">
        <f t="shared" si="1"/>
        <v>SouthFulton_GA</v>
      </c>
      <c r="B286" s="36" t="s">
        <v>375</v>
      </c>
      <c r="C286" s="36" t="s">
        <v>119</v>
      </c>
      <c r="D286" s="37" t="str">
        <f>VLOOKUP($C286, State!$A$2:$C332, 2, FALSE)</f>
        <v>GA</v>
      </c>
      <c r="E286" s="29">
        <v>108575.0</v>
      </c>
      <c r="F286" s="38">
        <f t="shared" si="2"/>
        <v>0.1393939394</v>
      </c>
      <c r="G286" s="38">
        <f t="shared" si="3"/>
        <v>3</v>
      </c>
      <c r="H286" s="39">
        <f>VLOOKUP($C286, State!$A$2:$C332, 3, FALSE)</f>
        <v>61980</v>
      </c>
      <c r="I286" s="40">
        <f t="shared" si="4"/>
        <v>6729478.5</v>
      </c>
    </row>
    <row r="287">
      <c r="A287" s="36" t="str">
        <f t="shared" si="1"/>
        <v>Dearborn_MI</v>
      </c>
      <c r="B287" s="36" t="s">
        <v>376</v>
      </c>
      <c r="C287" s="36" t="s">
        <v>102</v>
      </c>
      <c r="D287" s="37" t="str">
        <f>VLOOKUP($C287, State!$A$2:$C332, 2, FALSE)</f>
        <v>MI</v>
      </c>
      <c r="E287" s="29">
        <v>108420.0</v>
      </c>
      <c r="F287" s="38">
        <f t="shared" si="2"/>
        <v>0.1363636364</v>
      </c>
      <c r="G287" s="38">
        <f t="shared" si="3"/>
        <v>3</v>
      </c>
      <c r="H287" s="39">
        <f>VLOOKUP($C287, State!$A$2:$C332, 3, FALSE)</f>
        <v>59584</v>
      </c>
      <c r="I287" s="40">
        <f t="shared" si="4"/>
        <v>6460097.28</v>
      </c>
    </row>
    <row r="288">
      <c r="A288" s="36" t="str">
        <f t="shared" si="1"/>
        <v>Concord_NC</v>
      </c>
      <c r="B288" s="36" t="s">
        <v>321</v>
      </c>
      <c r="C288" s="36" t="s">
        <v>84</v>
      </c>
      <c r="D288" s="37" t="str">
        <f>VLOOKUP($C288, State!$A$2:$C332, 2, FALSE)</f>
        <v>NC</v>
      </c>
      <c r="E288" s="29">
        <v>107697.0</v>
      </c>
      <c r="F288" s="38">
        <f t="shared" si="2"/>
        <v>0.1333333333</v>
      </c>
      <c r="G288" s="38">
        <f t="shared" si="3"/>
        <v>3</v>
      </c>
      <c r="H288" s="39">
        <f>VLOOKUP($C288, State!$A$2:$C332, 3, FALSE)</f>
        <v>57341</v>
      </c>
      <c r="I288" s="40">
        <f t="shared" si="4"/>
        <v>6175453.677</v>
      </c>
    </row>
    <row r="289">
      <c r="A289" s="36" t="str">
        <f t="shared" si="1"/>
        <v>Edison_NJ</v>
      </c>
      <c r="B289" s="36" t="s">
        <v>377</v>
      </c>
      <c r="C289" s="36" t="s">
        <v>154</v>
      </c>
      <c r="D289" s="37" t="str">
        <f>VLOOKUP($C289, State!$A$2:$C332, 2, FALSE)</f>
        <v>NJ</v>
      </c>
      <c r="E289" s="29">
        <v>107626.0</v>
      </c>
      <c r="F289" s="38">
        <f t="shared" si="2"/>
        <v>0.1303030303</v>
      </c>
      <c r="G289" s="38">
        <f t="shared" si="3"/>
        <v>3</v>
      </c>
      <c r="H289" s="39">
        <f>VLOOKUP($C289, State!$A$2:$C332, 3, FALSE)</f>
        <v>85751</v>
      </c>
      <c r="I289" s="40">
        <f t="shared" si="4"/>
        <v>9229037.126</v>
      </c>
    </row>
    <row r="290">
      <c r="A290" s="36" t="str">
        <f t="shared" si="1"/>
        <v>Tyler_TX</v>
      </c>
      <c r="B290" s="36" t="s">
        <v>378</v>
      </c>
      <c r="C290" s="36" t="s">
        <v>66</v>
      </c>
      <c r="D290" s="37" t="str">
        <f>VLOOKUP($C290, State!$A$2:$C332, 2, FALSE)</f>
        <v>TX</v>
      </c>
      <c r="E290" s="29">
        <v>107192.0</v>
      </c>
      <c r="F290" s="38">
        <f t="shared" si="2"/>
        <v>0.1272727273</v>
      </c>
      <c r="G290" s="38">
        <f t="shared" si="3"/>
        <v>3</v>
      </c>
      <c r="H290" s="39">
        <f>VLOOKUP($C290, State!$A$2:$C332, 3, FALSE)</f>
        <v>64034</v>
      </c>
      <c r="I290" s="40">
        <f t="shared" si="4"/>
        <v>6863932.528</v>
      </c>
    </row>
    <row r="291">
      <c r="A291" s="36" t="str">
        <f t="shared" si="1"/>
        <v>SandySprings_GA</v>
      </c>
      <c r="B291" s="36" t="s">
        <v>379</v>
      </c>
      <c r="C291" s="36" t="s">
        <v>119</v>
      </c>
      <c r="D291" s="37" t="str">
        <f>VLOOKUP($C291, State!$A$2:$C332, 2, FALSE)</f>
        <v>GA</v>
      </c>
      <c r="E291" s="29">
        <v>107180.0</v>
      </c>
      <c r="F291" s="38">
        <f t="shared" si="2"/>
        <v>0.1242424242</v>
      </c>
      <c r="G291" s="38">
        <f t="shared" si="3"/>
        <v>3</v>
      </c>
      <c r="H291" s="39">
        <f>VLOOKUP($C291, State!$A$2:$C332, 3, FALSE)</f>
        <v>61980</v>
      </c>
      <c r="I291" s="40">
        <f t="shared" si="4"/>
        <v>6643016.4</v>
      </c>
    </row>
    <row r="292">
      <c r="A292" s="36" t="str">
        <f t="shared" si="1"/>
        <v>WestCovina_CA</v>
      </c>
      <c r="B292" s="36" t="s">
        <v>380</v>
      </c>
      <c r="C292" s="36" t="s">
        <v>62</v>
      </c>
      <c r="D292" s="37" t="str">
        <f>VLOOKUP($C292, State!$A$2:$C332, 2, FALSE)</f>
        <v>CA</v>
      </c>
      <c r="E292" s="29">
        <v>107017.0</v>
      </c>
      <c r="F292" s="38">
        <f t="shared" si="2"/>
        <v>0.1212121212</v>
      </c>
      <c r="G292" s="38">
        <f t="shared" si="3"/>
        <v>3</v>
      </c>
      <c r="H292" s="39">
        <f>VLOOKUP($C292, State!$A$2:$C332, 3, FALSE)</f>
        <v>80440</v>
      </c>
      <c r="I292" s="40">
        <f t="shared" si="4"/>
        <v>8608447.48</v>
      </c>
    </row>
    <row r="293">
      <c r="A293" s="36" t="str">
        <f t="shared" si="1"/>
        <v>GreenBay_WI</v>
      </c>
      <c r="B293" s="36" t="s">
        <v>381</v>
      </c>
      <c r="C293" s="36" t="s">
        <v>109</v>
      </c>
      <c r="D293" s="37" t="str">
        <f>VLOOKUP($C293, State!$A$2:$C332, 2, FALSE)</f>
        <v>WI</v>
      </c>
      <c r="E293" s="29">
        <v>107015.0</v>
      </c>
      <c r="F293" s="38">
        <f t="shared" si="2"/>
        <v>0.1181818182</v>
      </c>
      <c r="G293" s="38">
        <f t="shared" si="3"/>
        <v>3</v>
      </c>
      <c r="H293" s="39">
        <f>VLOOKUP($C293, State!$A$2:$C332, 3, FALSE)</f>
        <v>64168</v>
      </c>
      <c r="I293" s="40">
        <f t="shared" si="4"/>
        <v>6866938.52</v>
      </c>
    </row>
    <row r="294">
      <c r="A294" s="36" t="str">
        <f t="shared" si="1"/>
        <v>Centennial_CO</v>
      </c>
      <c r="B294" s="36" t="s">
        <v>382</v>
      </c>
      <c r="C294" s="36" t="s">
        <v>88</v>
      </c>
      <c r="D294" s="37" t="str">
        <f>VLOOKUP($C294, State!$A$2:$C332, 2, FALSE)</f>
        <v>CO</v>
      </c>
      <c r="E294" s="29">
        <v>106966.0</v>
      </c>
      <c r="F294" s="38">
        <f t="shared" si="2"/>
        <v>0.1151515152</v>
      </c>
      <c r="G294" s="38">
        <f t="shared" si="3"/>
        <v>3</v>
      </c>
      <c r="H294" s="39">
        <f>VLOOKUP($C294, State!$A$2:$C332, 3, FALSE)</f>
        <v>77127</v>
      </c>
      <c r="I294" s="40">
        <f t="shared" si="4"/>
        <v>8249966.682</v>
      </c>
    </row>
    <row r="295">
      <c r="A295" s="36" t="str">
        <f t="shared" si="1"/>
        <v>JurupaValley_CA</v>
      </c>
      <c r="B295" s="36" t="s">
        <v>383</v>
      </c>
      <c r="C295" s="36" t="s">
        <v>62</v>
      </c>
      <c r="D295" s="37" t="str">
        <f>VLOOKUP($C295, State!$A$2:$C332, 2, FALSE)</f>
        <v>CA</v>
      </c>
      <c r="E295" s="29">
        <v>106941.0</v>
      </c>
      <c r="F295" s="38">
        <f t="shared" si="2"/>
        <v>0.1121212121</v>
      </c>
      <c r="G295" s="38">
        <f t="shared" si="3"/>
        <v>3</v>
      </c>
      <c r="H295" s="39">
        <f>VLOOKUP($C295, State!$A$2:$C332, 3, FALSE)</f>
        <v>80440</v>
      </c>
      <c r="I295" s="40">
        <f t="shared" si="4"/>
        <v>8602334.04</v>
      </c>
    </row>
    <row r="296">
      <c r="A296" s="36" t="str">
        <f t="shared" si="1"/>
        <v>ElMonte_CA</v>
      </c>
      <c r="B296" s="36" t="s">
        <v>384</v>
      </c>
      <c r="C296" s="36" t="s">
        <v>62</v>
      </c>
      <c r="D296" s="37" t="str">
        <f>VLOOKUP($C296, State!$A$2:$C332, 2, FALSE)</f>
        <v>CA</v>
      </c>
      <c r="E296" s="29">
        <v>106907.0</v>
      </c>
      <c r="F296" s="38">
        <f t="shared" si="2"/>
        <v>0.1090909091</v>
      </c>
      <c r="G296" s="38">
        <f t="shared" si="3"/>
        <v>3</v>
      </c>
      <c r="H296" s="39">
        <f>VLOOKUP($C296, State!$A$2:$C332, 3, FALSE)</f>
        <v>80440</v>
      </c>
      <c r="I296" s="40">
        <f t="shared" si="4"/>
        <v>8599599.08</v>
      </c>
    </row>
    <row r="297">
      <c r="A297" s="36" t="str">
        <f t="shared" si="1"/>
        <v>Allen_TX</v>
      </c>
      <c r="B297" s="36" t="s">
        <v>385</v>
      </c>
      <c r="C297" s="36" t="s">
        <v>66</v>
      </c>
      <c r="D297" s="37" t="str">
        <f>VLOOKUP($C297, State!$A$2:$C332, 2, FALSE)</f>
        <v>TX</v>
      </c>
      <c r="E297" s="29">
        <v>106874.0</v>
      </c>
      <c r="F297" s="38">
        <f t="shared" si="2"/>
        <v>0.1060606061</v>
      </c>
      <c r="G297" s="38">
        <f t="shared" si="3"/>
        <v>3</v>
      </c>
      <c r="H297" s="39">
        <f>VLOOKUP($C297, State!$A$2:$C332, 3, FALSE)</f>
        <v>64034</v>
      </c>
      <c r="I297" s="40">
        <f t="shared" si="4"/>
        <v>6843569.716</v>
      </c>
    </row>
    <row r="298">
      <c r="A298" s="36" t="str">
        <f t="shared" si="1"/>
        <v>Hillsboro_OR</v>
      </c>
      <c r="B298" s="36" t="s">
        <v>386</v>
      </c>
      <c r="C298" s="36" t="s">
        <v>100</v>
      </c>
      <c r="D298" s="37" t="str">
        <f>VLOOKUP($C298, State!$A$2:$C332, 2, FALSE)</f>
        <v>OR</v>
      </c>
      <c r="E298" s="29">
        <v>106633.0</v>
      </c>
      <c r="F298" s="38">
        <f t="shared" si="2"/>
        <v>0.103030303</v>
      </c>
      <c r="G298" s="38">
        <f t="shared" si="3"/>
        <v>3</v>
      </c>
      <c r="H298" s="39">
        <f>VLOOKUP($C298, State!$A$2:$C332, 3, FALSE)</f>
        <v>67058</v>
      </c>
      <c r="I298" s="40">
        <f t="shared" si="4"/>
        <v>7150595.714</v>
      </c>
    </row>
    <row r="299">
      <c r="A299" s="36" t="str">
        <f t="shared" si="1"/>
        <v>Menifee_CA</v>
      </c>
      <c r="B299" s="36" t="s">
        <v>387</v>
      </c>
      <c r="C299" s="36" t="s">
        <v>62</v>
      </c>
      <c r="D299" s="37" t="str">
        <f>VLOOKUP($C299, State!$A$2:$C332, 2, FALSE)</f>
        <v>CA</v>
      </c>
      <c r="E299" s="29">
        <v>106401.0</v>
      </c>
      <c r="F299" s="38">
        <f t="shared" si="2"/>
        <v>0.1</v>
      </c>
      <c r="G299" s="38">
        <f t="shared" si="3"/>
        <v>3</v>
      </c>
      <c r="H299" s="39">
        <f>VLOOKUP($C299, State!$A$2:$C332, 3, FALSE)</f>
        <v>80440</v>
      </c>
      <c r="I299" s="40">
        <f t="shared" si="4"/>
        <v>8558896.44</v>
      </c>
    </row>
    <row r="300">
      <c r="A300" s="36" t="str">
        <f t="shared" si="1"/>
        <v>Nampa_ID</v>
      </c>
      <c r="B300" s="36" t="s">
        <v>388</v>
      </c>
      <c r="C300" s="36" t="s">
        <v>184</v>
      </c>
      <c r="D300" s="37" t="str">
        <f>VLOOKUP($C300, State!$A$2:$C332, 2, FALSE)</f>
        <v>ID</v>
      </c>
      <c r="E300" s="29">
        <v>106186.0</v>
      </c>
      <c r="F300" s="38">
        <f t="shared" si="2"/>
        <v>0.09696969697</v>
      </c>
      <c r="G300" s="38">
        <f t="shared" si="3"/>
        <v>3</v>
      </c>
      <c r="H300" s="39">
        <f>VLOOKUP($C300, State!$A$2:$C332, 3, FALSE)</f>
        <v>60999</v>
      </c>
      <c r="I300" s="40">
        <f t="shared" si="4"/>
        <v>6477239.814</v>
      </c>
    </row>
    <row r="301">
      <c r="A301" s="36" t="str">
        <f t="shared" si="1"/>
        <v>SpokaneValley_WA</v>
      </c>
      <c r="B301" s="36" t="s">
        <v>389</v>
      </c>
      <c r="C301" s="36" t="s">
        <v>87</v>
      </c>
      <c r="D301" s="37" t="str">
        <f>VLOOKUP($C301, State!$A$2:$C332, 2, FALSE)</f>
        <v>WA</v>
      </c>
      <c r="E301" s="29">
        <v>105905.0</v>
      </c>
      <c r="F301" s="38">
        <f t="shared" si="2"/>
        <v>0.09393939394</v>
      </c>
      <c r="G301" s="38">
        <f t="shared" si="3"/>
        <v>3</v>
      </c>
      <c r="H301" s="39">
        <f>VLOOKUP($C301, State!$A$2:$C332, 3, FALSE)</f>
        <v>78687</v>
      </c>
      <c r="I301" s="40">
        <f t="shared" si="4"/>
        <v>8333346.735</v>
      </c>
    </row>
    <row r="302">
      <c r="A302" s="36" t="str">
        <f t="shared" si="1"/>
        <v>RioRancho_NM</v>
      </c>
      <c r="B302" s="36" t="s">
        <v>390</v>
      </c>
      <c r="C302" s="36" t="s">
        <v>111</v>
      </c>
      <c r="D302" s="37" t="str">
        <f>VLOOKUP($C302, State!$A$2:$C332, 2, FALSE)</f>
        <v>NM</v>
      </c>
      <c r="E302" s="29">
        <v>105834.0</v>
      </c>
      <c r="F302" s="38">
        <f t="shared" si="2"/>
        <v>0.09090909091</v>
      </c>
      <c r="G302" s="38">
        <f t="shared" si="3"/>
        <v>2</v>
      </c>
      <c r="H302" s="39">
        <f>VLOOKUP($C302, State!$A$2:$C332, 3, FALSE)</f>
        <v>51945</v>
      </c>
      <c r="I302" s="40">
        <f t="shared" si="4"/>
        <v>5497547.13</v>
      </c>
    </row>
    <row r="303">
      <c r="A303" s="36" t="str">
        <f t="shared" si="1"/>
        <v>Brockton_MA</v>
      </c>
      <c r="B303" s="36" t="s">
        <v>391</v>
      </c>
      <c r="C303" s="36" t="s">
        <v>96</v>
      </c>
      <c r="D303" s="37" t="str">
        <f>VLOOKUP($C303, State!$A$2:$C332, 2, FALSE)</f>
        <v>MA</v>
      </c>
      <c r="E303" s="29">
        <v>105446.0</v>
      </c>
      <c r="F303" s="38">
        <f t="shared" si="2"/>
        <v>0.08787878788</v>
      </c>
      <c r="G303" s="38">
        <f t="shared" si="3"/>
        <v>2</v>
      </c>
      <c r="H303" s="39">
        <f>VLOOKUP($C303, State!$A$2:$C332, 3, FALSE)</f>
        <v>85843</v>
      </c>
      <c r="I303" s="40">
        <f t="shared" si="4"/>
        <v>9051800.978</v>
      </c>
    </row>
    <row r="304">
      <c r="A304" s="36" t="str">
        <f t="shared" si="1"/>
        <v>ElCajon_CA</v>
      </c>
      <c r="B304" s="36" t="s">
        <v>392</v>
      </c>
      <c r="C304" s="36" t="s">
        <v>62</v>
      </c>
      <c r="D304" s="37" t="str">
        <f>VLOOKUP($C304, State!$A$2:$C332, 2, FALSE)</f>
        <v>CA</v>
      </c>
      <c r="E304" s="29">
        <v>105432.0</v>
      </c>
      <c r="F304" s="38">
        <f t="shared" si="2"/>
        <v>0.08484848485</v>
      </c>
      <c r="G304" s="38">
        <f t="shared" si="3"/>
        <v>2</v>
      </c>
      <c r="H304" s="39">
        <f>VLOOKUP($C304, State!$A$2:$C332, 3, FALSE)</f>
        <v>80440</v>
      </c>
      <c r="I304" s="40">
        <f t="shared" si="4"/>
        <v>8480950.08</v>
      </c>
    </row>
    <row r="305">
      <c r="A305" s="36" t="str">
        <f t="shared" si="1"/>
        <v>Burbank_CA</v>
      </c>
      <c r="B305" s="36" t="s">
        <v>393</v>
      </c>
      <c r="C305" s="36" t="s">
        <v>62</v>
      </c>
      <c r="D305" s="37" t="str">
        <f>VLOOKUP($C305, State!$A$2:$C332, 2, FALSE)</f>
        <v>CA</v>
      </c>
      <c r="E305" s="29">
        <v>105401.0</v>
      </c>
      <c r="F305" s="38">
        <f t="shared" si="2"/>
        <v>0.08181818182</v>
      </c>
      <c r="G305" s="38">
        <f t="shared" si="3"/>
        <v>2</v>
      </c>
      <c r="H305" s="39">
        <f>VLOOKUP($C305, State!$A$2:$C332, 3, FALSE)</f>
        <v>80440</v>
      </c>
      <c r="I305" s="40">
        <f t="shared" si="4"/>
        <v>8478456.44</v>
      </c>
    </row>
    <row r="306">
      <c r="A306" s="36" t="str">
        <f t="shared" si="1"/>
        <v>Inglewood_CA</v>
      </c>
      <c r="B306" s="36" t="s">
        <v>394</v>
      </c>
      <c r="C306" s="36" t="s">
        <v>62</v>
      </c>
      <c r="D306" s="37" t="str">
        <f>VLOOKUP($C306, State!$A$2:$C332, 2, FALSE)</f>
        <v>CA</v>
      </c>
      <c r="E306" s="29">
        <v>105181.0</v>
      </c>
      <c r="F306" s="38">
        <f t="shared" si="2"/>
        <v>0.07878787879</v>
      </c>
      <c r="G306" s="38">
        <f t="shared" si="3"/>
        <v>2</v>
      </c>
      <c r="H306" s="39">
        <f>VLOOKUP($C306, State!$A$2:$C332, 3, FALSE)</f>
        <v>80440</v>
      </c>
      <c r="I306" s="40">
        <f t="shared" si="4"/>
        <v>8460759.64</v>
      </c>
    </row>
    <row r="307">
      <c r="A307" s="36" t="str">
        <f t="shared" si="1"/>
        <v>Renton_WA</v>
      </c>
      <c r="B307" s="36" t="s">
        <v>395</v>
      </c>
      <c r="C307" s="36" t="s">
        <v>87</v>
      </c>
      <c r="D307" s="37" t="str">
        <f>VLOOKUP($C307, State!$A$2:$C332, 2, FALSE)</f>
        <v>WA</v>
      </c>
      <c r="E307" s="29">
        <v>105179.0</v>
      </c>
      <c r="F307" s="38">
        <f t="shared" si="2"/>
        <v>0.07575757576</v>
      </c>
      <c r="G307" s="38">
        <f t="shared" si="3"/>
        <v>2</v>
      </c>
      <c r="H307" s="39">
        <f>VLOOKUP($C307, State!$A$2:$C332, 3, FALSE)</f>
        <v>78687</v>
      </c>
      <c r="I307" s="40">
        <f t="shared" si="4"/>
        <v>8276219.973</v>
      </c>
    </row>
    <row r="308">
      <c r="A308" s="36" t="str">
        <f t="shared" si="1"/>
        <v>Davie_FL</v>
      </c>
      <c r="B308" s="36" t="s">
        <v>396</v>
      </c>
      <c r="C308" s="36" t="s">
        <v>77</v>
      </c>
      <c r="D308" s="37" t="str">
        <f>VLOOKUP($C308, State!$A$2:$C332, 2, FALSE)</f>
        <v>FL</v>
      </c>
      <c r="E308" s="29">
        <v>104882.0</v>
      </c>
      <c r="F308" s="38">
        <f t="shared" si="2"/>
        <v>0.07272727273</v>
      </c>
      <c r="G308" s="38">
        <f t="shared" si="3"/>
        <v>2</v>
      </c>
      <c r="H308" s="39">
        <f>VLOOKUP($C308, State!$A$2:$C332, 3, FALSE)</f>
        <v>59227</v>
      </c>
      <c r="I308" s="40">
        <f t="shared" si="4"/>
        <v>6211846.214</v>
      </c>
    </row>
    <row r="309">
      <c r="A309" s="36" t="str">
        <f t="shared" si="1"/>
        <v>Rialto_CA</v>
      </c>
      <c r="B309" s="36" t="s">
        <v>397</v>
      </c>
      <c r="C309" s="36" t="s">
        <v>62</v>
      </c>
      <c r="D309" s="37" t="str">
        <f>VLOOKUP($C309, State!$A$2:$C332, 2, FALSE)</f>
        <v>CA</v>
      </c>
      <c r="E309" s="29">
        <v>104394.0</v>
      </c>
      <c r="F309" s="38">
        <f t="shared" si="2"/>
        <v>0.0696969697</v>
      </c>
      <c r="G309" s="38">
        <f t="shared" si="3"/>
        <v>2</v>
      </c>
      <c r="H309" s="39">
        <f>VLOOKUP($C309, State!$A$2:$C332, 3, FALSE)</f>
        <v>80440</v>
      </c>
      <c r="I309" s="40">
        <f t="shared" si="4"/>
        <v>8397453.36</v>
      </c>
    </row>
    <row r="310">
      <c r="A310" s="36" t="str">
        <f t="shared" si="1"/>
        <v>Boulder_CO</v>
      </c>
      <c r="B310" s="36" t="s">
        <v>398</v>
      </c>
      <c r="C310" s="36" t="s">
        <v>88</v>
      </c>
      <c r="D310" s="37" t="str">
        <f>VLOOKUP($C310, State!$A$2:$C332, 2, FALSE)</f>
        <v>CO</v>
      </c>
      <c r="E310" s="29">
        <v>104175.0</v>
      </c>
      <c r="F310" s="38">
        <f t="shared" si="2"/>
        <v>0.06666666667</v>
      </c>
      <c r="G310" s="38">
        <f t="shared" si="3"/>
        <v>2</v>
      </c>
      <c r="H310" s="39">
        <f>VLOOKUP($C310, State!$A$2:$C332, 3, FALSE)</f>
        <v>77127</v>
      </c>
      <c r="I310" s="40">
        <f t="shared" si="4"/>
        <v>8034705.225</v>
      </c>
    </row>
    <row r="311">
      <c r="A311" s="36" t="str">
        <f t="shared" si="1"/>
        <v>SouthBend_IN</v>
      </c>
      <c r="B311" s="36" t="s">
        <v>399</v>
      </c>
      <c r="C311" s="36" t="s">
        <v>82</v>
      </c>
      <c r="D311" s="37" t="str">
        <f>VLOOKUP($C311, State!$A$2:$C332, 2, FALSE)</f>
        <v>IN</v>
      </c>
      <c r="E311" s="29">
        <v>103353.0</v>
      </c>
      <c r="F311" s="38">
        <f t="shared" si="2"/>
        <v>0.06363636364</v>
      </c>
      <c r="G311" s="38">
        <f t="shared" si="3"/>
        <v>2</v>
      </c>
      <c r="H311" s="39">
        <f>VLOOKUP($C311, State!$A$2:$C332, 3, FALSE)</f>
        <v>57603</v>
      </c>
      <c r="I311" s="40">
        <f t="shared" si="4"/>
        <v>5953442.859</v>
      </c>
    </row>
    <row r="312">
      <c r="A312" s="36" t="str">
        <f t="shared" si="1"/>
        <v>Woodbridge_NJ</v>
      </c>
      <c r="B312" s="36" t="s">
        <v>400</v>
      </c>
      <c r="C312" s="36" t="s">
        <v>154</v>
      </c>
      <c r="D312" s="37" t="str">
        <f>VLOOKUP($C312, State!$A$2:$C332, 2, FALSE)</f>
        <v>NJ</v>
      </c>
      <c r="E312" s="29">
        <v>103212.0</v>
      </c>
      <c r="F312" s="38">
        <f t="shared" si="2"/>
        <v>0.06060606061</v>
      </c>
      <c r="G312" s="38">
        <f t="shared" si="3"/>
        <v>2</v>
      </c>
      <c r="H312" s="39">
        <f>VLOOKUP($C312, State!$A$2:$C332, 3, FALSE)</f>
        <v>85751</v>
      </c>
      <c r="I312" s="40">
        <f t="shared" si="4"/>
        <v>8850532.212</v>
      </c>
    </row>
    <row r="313">
      <c r="A313" s="36" t="str">
        <f t="shared" si="1"/>
        <v>Vacaville_CA</v>
      </c>
      <c r="B313" s="36" t="s">
        <v>401</v>
      </c>
      <c r="C313" s="36" t="s">
        <v>62</v>
      </c>
      <c r="D313" s="37" t="str">
        <f>VLOOKUP($C313, State!$A$2:$C332, 2, FALSE)</f>
        <v>CA</v>
      </c>
      <c r="E313" s="29">
        <v>103078.0</v>
      </c>
      <c r="F313" s="38">
        <f t="shared" si="2"/>
        <v>0.05757575758</v>
      </c>
      <c r="G313" s="38">
        <f t="shared" si="3"/>
        <v>2</v>
      </c>
      <c r="H313" s="39">
        <f>VLOOKUP($C313, State!$A$2:$C332, 3, FALSE)</f>
        <v>80440</v>
      </c>
      <c r="I313" s="40">
        <f t="shared" si="4"/>
        <v>8291594.32</v>
      </c>
    </row>
    <row r="314">
      <c r="A314" s="36" t="str">
        <f t="shared" si="1"/>
        <v>WichitaFalls_TX</v>
      </c>
      <c r="B314" s="36" t="s">
        <v>402</v>
      </c>
      <c r="C314" s="36" t="s">
        <v>66</v>
      </c>
      <c r="D314" s="37" t="str">
        <f>VLOOKUP($C314, State!$A$2:$C332, 2, FALSE)</f>
        <v>TX</v>
      </c>
      <c r="E314" s="29">
        <v>102988.0</v>
      </c>
      <c r="F314" s="38">
        <f t="shared" si="2"/>
        <v>0.05454545455</v>
      </c>
      <c r="G314" s="38">
        <f t="shared" si="3"/>
        <v>2</v>
      </c>
      <c r="H314" s="39">
        <f>VLOOKUP($C314, State!$A$2:$C332, 3, FALSE)</f>
        <v>64034</v>
      </c>
      <c r="I314" s="40">
        <f t="shared" si="4"/>
        <v>6594733.592</v>
      </c>
    </row>
    <row r="315">
      <c r="A315" s="36" t="str">
        <f t="shared" si="1"/>
        <v>LeesSummit_MO</v>
      </c>
      <c r="B315" s="36" t="s">
        <v>403</v>
      </c>
      <c r="C315" s="36" t="s">
        <v>117</v>
      </c>
      <c r="D315" s="37" t="str">
        <f>VLOOKUP($C315, State!$A$2:$C332, 2, FALSE)</f>
        <v>MO</v>
      </c>
      <c r="E315" s="29">
        <v>102781.0</v>
      </c>
      <c r="F315" s="38">
        <f t="shared" si="2"/>
        <v>0.05151515152</v>
      </c>
      <c r="G315" s="38">
        <f t="shared" si="3"/>
        <v>2</v>
      </c>
      <c r="H315" s="39">
        <f>VLOOKUP($C315, State!$A$2:$C332, 3, FALSE)</f>
        <v>57409</v>
      </c>
      <c r="I315" s="40">
        <f t="shared" si="4"/>
        <v>5900554.429</v>
      </c>
    </row>
    <row r="316">
      <c r="A316" s="36" t="str">
        <f t="shared" si="1"/>
        <v>Edinburg_TX</v>
      </c>
      <c r="B316" s="36" t="s">
        <v>404</v>
      </c>
      <c r="C316" s="36" t="s">
        <v>66</v>
      </c>
      <c r="D316" s="37" t="str">
        <f>VLOOKUP($C316, State!$A$2:$C332, 2, FALSE)</f>
        <v>TX</v>
      </c>
      <c r="E316" s="29">
        <v>102483.0</v>
      </c>
      <c r="F316" s="38">
        <f t="shared" si="2"/>
        <v>0.04848484848</v>
      </c>
      <c r="G316" s="38">
        <f t="shared" si="3"/>
        <v>2</v>
      </c>
      <c r="H316" s="39">
        <f>VLOOKUP($C316, State!$A$2:$C332, 3, FALSE)</f>
        <v>64034</v>
      </c>
      <c r="I316" s="40">
        <f t="shared" si="4"/>
        <v>6562396.422</v>
      </c>
    </row>
    <row r="317">
      <c r="A317" s="36" t="str">
        <f t="shared" si="1"/>
        <v>Chico_CA</v>
      </c>
      <c r="B317" s="36" t="s">
        <v>405</v>
      </c>
      <c r="C317" s="36" t="s">
        <v>62</v>
      </c>
      <c r="D317" s="37" t="str">
        <f>VLOOKUP($C317, State!$A$2:$C332, 2, FALSE)</f>
        <v>CA</v>
      </c>
      <c r="E317" s="29">
        <v>102338.0</v>
      </c>
      <c r="F317" s="38">
        <f t="shared" si="2"/>
        <v>0.04545454545</v>
      </c>
      <c r="G317" s="38">
        <f t="shared" si="3"/>
        <v>2</v>
      </c>
      <c r="H317" s="39">
        <f>VLOOKUP($C317, State!$A$2:$C332, 3, FALSE)</f>
        <v>80440</v>
      </c>
      <c r="I317" s="40">
        <f t="shared" si="4"/>
        <v>8232068.72</v>
      </c>
    </row>
    <row r="318">
      <c r="A318" s="36" t="str">
        <f t="shared" si="1"/>
        <v>SanMateo_CA</v>
      </c>
      <c r="B318" s="36" t="s">
        <v>406</v>
      </c>
      <c r="C318" s="36" t="s">
        <v>62</v>
      </c>
      <c r="D318" s="37" t="str">
        <f>VLOOKUP($C318, State!$A$2:$C332, 2, FALSE)</f>
        <v>CA</v>
      </c>
      <c r="E318" s="29">
        <v>102200.0</v>
      </c>
      <c r="F318" s="38">
        <f t="shared" si="2"/>
        <v>0.04242424242</v>
      </c>
      <c r="G318" s="38">
        <f t="shared" si="3"/>
        <v>2</v>
      </c>
      <c r="H318" s="39">
        <f>VLOOKUP($C318, State!$A$2:$C332, 3, FALSE)</f>
        <v>80440</v>
      </c>
      <c r="I318" s="40">
        <f t="shared" si="4"/>
        <v>8220968</v>
      </c>
    </row>
    <row r="319">
      <c r="A319" s="36" t="str">
        <f t="shared" si="1"/>
        <v>Bend_OR</v>
      </c>
      <c r="B319" s="36" t="s">
        <v>407</v>
      </c>
      <c r="C319" s="36" t="s">
        <v>100</v>
      </c>
      <c r="D319" s="37" t="str">
        <f>VLOOKUP($C319, State!$A$2:$C332, 2, FALSE)</f>
        <v>OR</v>
      </c>
      <c r="E319" s="29">
        <v>102059.0</v>
      </c>
      <c r="F319" s="38">
        <f t="shared" si="2"/>
        <v>0.03939393939</v>
      </c>
      <c r="G319" s="38">
        <f t="shared" si="3"/>
        <v>2</v>
      </c>
      <c r="H319" s="39">
        <f>VLOOKUP($C319, State!$A$2:$C332, 3, FALSE)</f>
        <v>67058</v>
      </c>
      <c r="I319" s="40">
        <f t="shared" si="4"/>
        <v>6843872.422</v>
      </c>
    </row>
    <row r="320">
      <c r="A320" s="36" t="str">
        <f t="shared" si="1"/>
        <v>Goodyear_AZ</v>
      </c>
      <c r="B320" s="36" t="s">
        <v>408</v>
      </c>
      <c r="C320" s="36" t="s">
        <v>68</v>
      </c>
      <c r="D320" s="37" t="str">
        <f>VLOOKUP($C320, State!$A$2:$C332, 2, FALSE)</f>
        <v>AZ</v>
      </c>
      <c r="E320" s="29">
        <v>101733.0</v>
      </c>
      <c r="F320" s="38">
        <f t="shared" si="2"/>
        <v>0.03636363636</v>
      </c>
      <c r="G320" s="38">
        <f t="shared" si="3"/>
        <v>2</v>
      </c>
      <c r="H320" s="39">
        <f>VLOOKUP($C320, State!$A$2:$C332, 3, FALSE)</f>
        <v>62055</v>
      </c>
      <c r="I320" s="40">
        <f t="shared" si="4"/>
        <v>6313041.315</v>
      </c>
    </row>
    <row r="321">
      <c r="A321" s="36" t="str">
        <f t="shared" si="1"/>
        <v>Buckeye_AZ</v>
      </c>
      <c r="B321" s="36" t="s">
        <v>409</v>
      </c>
      <c r="C321" s="36" t="s">
        <v>68</v>
      </c>
      <c r="D321" s="37" t="str">
        <f>VLOOKUP($C321, State!$A$2:$C332, 2, FALSE)</f>
        <v>AZ</v>
      </c>
      <c r="E321" s="29">
        <v>101315.0</v>
      </c>
      <c r="F321" s="38">
        <f t="shared" si="2"/>
        <v>0.03333333333</v>
      </c>
      <c r="G321" s="38">
        <f t="shared" si="3"/>
        <v>2</v>
      </c>
      <c r="H321" s="39">
        <f>VLOOKUP($C321, State!$A$2:$C332, 3, FALSE)</f>
        <v>62055</v>
      </c>
      <c r="I321" s="40">
        <f t="shared" si="4"/>
        <v>6287102.325</v>
      </c>
    </row>
    <row r="322">
      <c r="A322" s="36" t="str">
        <f t="shared" si="1"/>
        <v>DalyCity_CA</v>
      </c>
      <c r="B322" s="36" t="s">
        <v>410</v>
      </c>
      <c r="C322" s="36" t="s">
        <v>62</v>
      </c>
      <c r="D322" s="37" t="str">
        <f>VLOOKUP($C322, State!$A$2:$C332, 2, FALSE)</f>
        <v>CA</v>
      </c>
      <c r="E322" s="29">
        <v>101243.0</v>
      </c>
      <c r="F322" s="38">
        <f t="shared" si="2"/>
        <v>0.0303030303</v>
      </c>
      <c r="G322" s="38">
        <f t="shared" si="3"/>
        <v>2</v>
      </c>
      <c r="H322" s="39">
        <f>VLOOKUP($C322, State!$A$2:$C332, 3, FALSE)</f>
        <v>80440</v>
      </c>
      <c r="I322" s="40">
        <f t="shared" si="4"/>
        <v>8143986.92</v>
      </c>
    </row>
    <row r="323">
      <c r="A323" s="36" t="str">
        <f t="shared" si="1"/>
        <v>Fishers_IN</v>
      </c>
      <c r="B323" s="36" t="s">
        <v>411</v>
      </c>
      <c r="C323" s="36" t="s">
        <v>82</v>
      </c>
      <c r="D323" s="37" t="str">
        <f>VLOOKUP($C323, State!$A$2:$C332, 2, FALSE)</f>
        <v>IN</v>
      </c>
      <c r="E323" s="29">
        <v>101171.0</v>
      </c>
      <c r="F323" s="38">
        <f t="shared" si="2"/>
        <v>0.02727272727</v>
      </c>
      <c r="G323" s="38">
        <f t="shared" si="3"/>
        <v>2</v>
      </c>
      <c r="H323" s="39">
        <f>VLOOKUP($C323, State!$A$2:$C332, 3, FALSE)</f>
        <v>57603</v>
      </c>
      <c r="I323" s="40">
        <f t="shared" si="4"/>
        <v>5827753.113</v>
      </c>
    </row>
    <row r="324">
      <c r="A324" s="36" t="str">
        <f t="shared" si="1"/>
        <v>Quincy_MA</v>
      </c>
      <c r="B324" s="36" t="s">
        <v>412</v>
      </c>
      <c r="C324" s="36" t="s">
        <v>96</v>
      </c>
      <c r="D324" s="37" t="str">
        <f>VLOOKUP($C324, State!$A$2:$C332, 2, FALSE)</f>
        <v>MA</v>
      </c>
      <c r="E324" s="29">
        <v>101119.0</v>
      </c>
      <c r="F324" s="38">
        <f t="shared" si="2"/>
        <v>0.02424242424</v>
      </c>
      <c r="G324" s="38">
        <f t="shared" si="3"/>
        <v>2</v>
      </c>
      <c r="H324" s="39">
        <f>VLOOKUP($C324, State!$A$2:$C332, 3, FALSE)</f>
        <v>85843</v>
      </c>
      <c r="I324" s="40">
        <f t="shared" si="4"/>
        <v>8680358.317</v>
      </c>
    </row>
    <row r="325">
      <c r="A325" s="36" t="str">
        <f t="shared" si="1"/>
        <v>Davenport_IA</v>
      </c>
      <c r="B325" s="36" t="s">
        <v>413</v>
      </c>
      <c r="C325" s="36" t="s">
        <v>199</v>
      </c>
      <c r="D325" s="37" t="str">
        <f>VLOOKUP($C325, State!$A$2:$C332, 2, FALSE)</f>
        <v>IA</v>
      </c>
      <c r="E325" s="29">
        <v>101009.0</v>
      </c>
      <c r="F325" s="38">
        <f t="shared" si="2"/>
        <v>0.02121212121</v>
      </c>
      <c r="G325" s="38">
        <f t="shared" si="3"/>
        <v>2</v>
      </c>
      <c r="H325" s="39">
        <f>VLOOKUP($C325, State!$A$2:$C332, 3, FALSE)</f>
        <v>61691</v>
      </c>
      <c r="I325" s="40">
        <f t="shared" si="4"/>
        <v>6231346.219</v>
      </c>
    </row>
    <row r="326">
      <c r="A326" s="36" t="str">
        <f t="shared" si="1"/>
        <v>Hesperia_CA</v>
      </c>
      <c r="B326" s="36" t="s">
        <v>414</v>
      </c>
      <c r="C326" s="36" t="s">
        <v>62</v>
      </c>
      <c r="D326" s="37" t="str">
        <f>VLOOKUP($C326, State!$A$2:$C332, 2, FALSE)</f>
        <v>CA</v>
      </c>
      <c r="E326" s="29">
        <v>100971.0</v>
      </c>
      <c r="F326" s="38">
        <f t="shared" si="2"/>
        <v>0.01818181818</v>
      </c>
      <c r="G326" s="38">
        <f t="shared" si="3"/>
        <v>2</v>
      </c>
      <c r="H326" s="39">
        <f>VLOOKUP($C326, State!$A$2:$C332, 3, FALSE)</f>
        <v>80440</v>
      </c>
      <c r="I326" s="40">
        <f t="shared" si="4"/>
        <v>8122107.24</v>
      </c>
    </row>
    <row r="327">
      <c r="A327" s="36" t="str">
        <f t="shared" si="1"/>
        <v>NewBedford_MA</v>
      </c>
      <c r="B327" s="36" t="s">
        <v>415</v>
      </c>
      <c r="C327" s="36" t="s">
        <v>96</v>
      </c>
      <c r="D327" s="37" t="str">
        <f>VLOOKUP($C327, State!$A$2:$C332, 2, FALSE)</f>
        <v>MA</v>
      </c>
      <c r="E327" s="29">
        <v>100941.0</v>
      </c>
      <c r="F327" s="38">
        <f t="shared" si="2"/>
        <v>0.01515151515</v>
      </c>
      <c r="G327" s="38">
        <f t="shared" si="3"/>
        <v>2</v>
      </c>
      <c r="H327" s="39">
        <f>VLOOKUP($C327, State!$A$2:$C332, 3, FALSE)</f>
        <v>85843</v>
      </c>
      <c r="I327" s="40">
        <f t="shared" si="4"/>
        <v>8665078.263</v>
      </c>
    </row>
    <row r="328">
      <c r="A328" s="36" t="str">
        <f t="shared" si="1"/>
        <v>Lynn_MA</v>
      </c>
      <c r="B328" s="36" t="s">
        <v>416</v>
      </c>
      <c r="C328" s="36" t="s">
        <v>96</v>
      </c>
      <c r="D328" s="37" t="str">
        <f>VLOOKUP($C328, State!$A$2:$C332, 2, FALSE)</f>
        <v>MA</v>
      </c>
      <c r="E328" s="29">
        <v>100843.0</v>
      </c>
      <c r="F328" s="38">
        <f t="shared" si="2"/>
        <v>0.01212121212</v>
      </c>
      <c r="G328" s="38">
        <f t="shared" si="3"/>
        <v>2</v>
      </c>
      <c r="H328" s="39">
        <f>VLOOKUP($C328, State!$A$2:$C332, 3, FALSE)</f>
        <v>85843</v>
      </c>
      <c r="I328" s="40">
        <f t="shared" si="4"/>
        <v>8656665.649</v>
      </c>
    </row>
    <row r="329">
      <c r="A329" s="36" t="str">
        <f t="shared" si="1"/>
        <v>Carmel_IN</v>
      </c>
      <c r="B329" s="36" t="s">
        <v>417</v>
      </c>
      <c r="C329" s="36" t="s">
        <v>82</v>
      </c>
      <c r="D329" s="37" t="str">
        <f>VLOOKUP($C329, State!$A$2:$C332, 2, FALSE)</f>
        <v>IN</v>
      </c>
      <c r="E329" s="29">
        <v>100777.0</v>
      </c>
      <c r="F329" s="38">
        <f t="shared" si="2"/>
        <v>0.009090909091</v>
      </c>
      <c r="G329" s="38">
        <f t="shared" si="3"/>
        <v>2</v>
      </c>
      <c r="H329" s="39">
        <f>VLOOKUP($C329, State!$A$2:$C332, 3, FALSE)</f>
        <v>57603</v>
      </c>
      <c r="I329" s="40">
        <f t="shared" si="4"/>
        <v>5805057.531</v>
      </c>
    </row>
    <row r="330">
      <c r="A330" s="36" t="str">
        <f t="shared" si="1"/>
        <v>Longmont_CO</v>
      </c>
      <c r="B330" s="36" t="s">
        <v>418</v>
      </c>
      <c r="C330" s="36" t="s">
        <v>88</v>
      </c>
      <c r="D330" s="37" t="str">
        <f>VLOOKUP($C330, State!$A$2:$C332, 2, FALSE)</f>
        <v>CO</v>
      </c>
      <c r="E330" s="29">
        <v>100758.0</v>
      </c>
      <c r="F330" s="38">
        <f t="shared" si="2"/>
        <v>0.006060606061</v>
      </c>
      <c r="G330" s="38">
        <f t="shared" si="3"/>
        <v>2</v>
      </c>
      <c r="H330" s="39">
        <f>VLOOKUP($C330, State!$A$2:$C332, 3, FALSE)</f>
        <v>77127</v>
      </c>
      <c r="I330" s="40">
        <f t="shared" si="4"/>
        <v>7771162.266</v>
      </c>
    </row>
    <row r="331">
      <c r="A331" s="36" t="str">
        <f t="shared" si="1"/>
        <v>Tuscaloosa_AL</v>
      </c>
      <c r="B331" s="36" t="s">
        <v>419</v>
      </c>
      <c r="C331" s="36" t="s">
        <v>197</v>
      </c>
      <c r="D331" s="37" t="str">
        <f>VLOOKUP($C331, State!$A$2:$C332, 2, FALSE)</f>
        <v>AL</v>
      </c>
      <c r="E331" s="29">
        <v>100618.0</v>
      </c>
      <c r="F331" s="38">
        <f t="shared" si="2"/>
        <v>0.00303030303</v>
      </c>
      <c r="G331" s="38">
        <f t="shared" si="3"/>
        <v>2</v>
      </c>
      <c r="H331" s="39">
        <f>VLOOKUP($C331, State!$A$2:$C332, 3, FALSE)</f>
        <v>51734</v>
      </c>
      <c r="I331" s="40">
        <f t="shared" si="4"/>
        <v>5205371.612</v>
      </c>
    </row>
    <row r="332">
      <c r="A332" s="36" t="str">
        <f t="shared" si="1"/>
        <v>Norwalk_CA</v>
      </c>
      <c r="B332" s="36" t="s">
        <v>420</v>
      </c>
      <c r="C332" s="36" t="s">
        <v>62</v>
      </c>
      <c r="D332" s="37" t="str">
        <f>VLOOKUP($C332, State!$A$2:$C332, 2, FALSE)</f>
        <v>CA</v>
      </c>
      <c r="E332" s="29">
        <v>100373.0</v>
      </c>
      <c r="F332" s="38">
        <f t="shared" si="2"/>
        <v>0</v>
      </c>
      <c r="G332" s="38">
        <f t="shared" si="3"/>
        <v>1</v>
      </c>
      <c r="H332" s="39">
        <f>VLOOKUP($C332, State!$A$2:$C332, 3, FALSE)</f>
        <v>80440</v>
      </c>
      <c r="I332" s="40">
        <f t="shared" si="4"/>
        <v>8074004.12</v>
      </c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9.25"/>
  </cols>
  <sheetData>
    <row r="1">
      <c r="A1" s="1" t="s">
        <v>2</v>
      </c>
      <c r="B1" s="1" t="s">
        <v>0</v>
      </c>
      <c r="C1" s="1" t="s">
        <v>58</v>
      </c>
    </row>
    <row r="2">
      <c r="A2" s="41" t="s">
        <v>94</v>
      </c>
      <c r="B2" s="42" t="s">
        <v>421</v>
      </c>
      <c r="C2" s="43">
        <v>92266.0</v>
      </c>
    </row>
    <row r="3">
      <c r="A3" s="41" t="s">
        <v>107</v>
      </c>
      <c r="B3" s="42" t="s">
        <v>422</v>
      </c>
      <c r="C3" s="43">
        <v>86738.0</v>
      </c>
    </row>
    <row r="4">
      <c r="A4" s="41" t="s">
        <v>96</v>
      </c>
      <c r="B4" s="42" t="s">
        <v>423</v>
      </c>
      <c r="C4" s="43">
        <v>85843.0</v>
      </c>
    </row>
    <row r="5">
      <c r="A5" s="41" t="s">
        <v>154</v>
      </c>
      <c r="B5" s="42" t="s">
        <v>424</v>
      </c>
      <c r="C5" s="43">
        <v>85751.0</v>
      </c>
    </row>
    <row r="6">
      <c r="A6" s="41" t="s">
        <v>143</v>
      </c>
      <c r="B6" s="42" t="s">
        <v>425</v>
      </c>
      <c r="C6" s="43">
        <v>83102.0</v>
      </c>
    </row>
    <row r="7">
      <c r="A7" s="41" t="s">
        <v>62</v>
      </c>
      <c r="B7" s="42" t="s">
        <v>426</v>
      </c>
      <c r="C7" s="43">
        <v>80440.0</v>
      </c>
    </row>
    <row r="8">
      <c r="A8" s="41" t="s">
        <v>277</v>
      </c>
      <c r="B8" s="42" t="s">
        <v>427</v>
      </c>
      <c r="C8" s="43">
        <v>78833.0</v>
      </c>
    </row>
    <row r="9">
      <c r="A9" s="41" t="s">
        <v>87</v>
      </c>
      <c r="B9" s="42" t="s">
        <v>428</v>
      </c>
      <c r="C9" s="43">
        <v>78687.0</v>
      </c>
    </row>
    <row r="10">
      <c r="A10" s="41" t="s">
        <v>346</v>
      </c>
      <c r="B10" s="42" t="s">
        <v>429</v>
      </c>
      <c r="C10" s="43">
        <v>77933.0</v>
      </c>
    </row>
    <row r="11">
      <c r="A11" s="41" t="s">
        <v>88</v>
      </c>
      <c r="B11" s="42" t="s">
        <v>430</v>
      </c>
      <c r="C11" s="43">
        <v>77127.0</v>
      </c>
    </row>
    <row r="12">
      <c r="A12" s="41" t="s">
        <v>125</v>
      </c>
      <c r="B12" s="42" t="s">
        <v>431</v>
      </c>
      <c r="C12" s="43">
        <v>76456.0</v>
      </c>
    </row>
    <row r="13">
      <c r="A13" s="41" t="s">
        <v>215</v>
      </c>
      <c r="B13" s="42" t="s">
        <v>432</v>
      </c>
      <c r="C13" s="43">
        <v>75780.0</v>
      </c>
    </row>
    <row r="14">
      <c r="A14" s="41" t="s">
        <v>162</v>
      </c>
      <c r="B14" s="42" t="s">
        <v>433</v>
      </c>
      <c r="C14" s="43">
        <v>75463.0</v>
      </c>
    </row>
    <row r="15">
      <c r="A15" s="41" t="s">
        <v>130</v>
      </c>
      <c r="B15" s="42" t="s">
        <v>434</v>
      </c>
      <c r="C15" s="43">
        <v>74593.0</v>
      </c>
    </row>
    <row r="16">
      <c r="A16" s="41" t="s">
        <v>60</v>
      </c>
      <c r="B16" s="42" t="s">
        <v>435</v>
      </c>
      <c r="C16" s="43">
        <v>72108.0</v>
      </c>
    </row>
    <row r="17">
      <c r="A17" s="41" t="s">
        <v>229</v>
      </c>
      <c r="B17" s="42" t="s">
        <v>436</v>
      </c>
      <c r="C17" s="43">
        <v>71169.0</v>
      </c>
    </row>
    <row r="18">
      <c r="A18" s="41" t="s">
        <v>437</v>
      </c>
      <c r="B18" s="42" t="s">
        <v>438</v>
      </c>
      <c r="C18" s="43">
        <v>70176.0</v>
      </c>
    </row>
    <row r="19">
      <c r="A19" s="41" t="s">
        <v>64</v>
      </c>
      <c r="B19" s="42" t="s">
        <v>439</v>
      </c>
      <c r="C19" s="43">
        <v>69187.0</v>
      </c>
    </row>
    <row r="20">
      <c r="A20" s="41" t="s">
        <v>100</v>
      </c>
      <c r="B20" s="42" t="s">
        <v>440</v>
      </c>
      <c r="C20" s="43">
        <v>67058.0</v>
      </c>
    </row>
    <row r="21">
      <c r="A21" s="41" t="s">
        <v>441</v>
      </c>
      <c r="B21" s="42" t="s">
        <v>442</v>
      </c>
      <c r="C21" s="43">
        <v>65003.0</v>
      </c>
    </row>
    <row r="22">
      <c r="A22" s="41" t="s">
        <v>312</v>
      </c>
      <c r="B22" s="42" t="s">
        <v>443</v>
      </c>
      <c r="C22" s="43">
        <v>64577.0</v>
      </c>
    </row>
    <row r="23">
      <c r="A23" s="41" t="s">
        <v>109</v>
      </c>
      <c r="B23" s="42" t="s">
        <v>444</v>
      </c>
      <c r="C23" s="43">
        <v>64168.0</v>
      </c>
    </row>
    <row r="24">
      <c r="A24" s="41" t="s">
        <v>66</v>
      </c>
      <c r="B24" s="42" t="s">
        <v>445</v>
      </c>
      <c r="C24" s="43">
        <v>64034.0</v>
      </c>
    </row>
    <row r="25">
      <c r="A25" s="41" t="s">
        <v>70</v>
      </c>
      <c r="B25" s="42" t="s">
        <v>446</v>
      </c>
      <c r="C25" s="43">
        <v>63463.0</v>
      </c>
    </row>
    <row r="26">
      <c r="A26" s="41" t="s">
        <v>98</v>
      </c>
      <c r="B26" s="42" t="s">
        <v>447</v>
      </c>
      <c r="C26" s="43">
        <v>63276.0</v>
      </c>
    </row>
    <row r="27">
      <c r="A27" s="41" t="s">
        <v>121</v>
      </c>
      <c r="B27" s="42" t="s">
        <v>448</v>
      </c>
      <c r="C27" s="43">
        <v>63229.0</v>
      </c>
    </row>
    <row r="28">
      <c r="A28" s="41" t="s">
        <v>449</v>
      </c>
      <c r="B28" s="42" t="s">
        <v>450</v>
      </c>
      <c r="C28" s="43">
        <v>63001.0</v>
      </c>
    </row>
    <row r="29">
      <c r="A29" s="41" t="s">
        <v>134</v>
      </c>
      <c r="B29" s="42" t="s">
        <v>451</v>
      </c>
      <c r="C29" s="43">
        <v>62087.0</v>
      </c>
    </row>
    <row r="30">
      <c r="A30" s="41" t="s">
        <v>68</v>
      </c>
      <c r="B30" s="42" t="s">
        <v>452</v>
      </c>
      <c r="C30" s="43">
        <v>62055.0</v>
      </c>
    </row>
    <row r="31">
      <c r="A31" s="41" t="s">
        <v>119</v>
      </c>
      <c r="B31" s="42" t="s">
        <v>453</v>
      </c>
      <c r="C31" s="43">
        <v>61980.0</v>
      </c>
    </row>
    <row r="32">
      <c r="A32" s="41" t="s">
        <v>199</v>
      </c>
      <c r="B32" s="42" t="s">
        <v>454</v>
      </c>
      <c r="C32" s="43">
        <v>61691.0</v>
      </c>
    </row>
    <row r="33">
      <c r="A33" s="41" t="s">
        <v>184</v>
      </c>
      <c r="B33" s="42" t="s">
        <v>455</v>
      </c>
      <c r="C33" s="43">
        <v>60999.0</v>
      </c>
    </row>
    <row r="34">
      <c r="A34" s="41" t="s">
        <v>102</v>
      </c>
      <c r="B34" s="42" t="s">
        <v>456</v>
      </c>
      <c r="C34" s="43">
        <v>59584.0</v>
      </c>
    </row>
    <row r="35">
      <c r="A35" s="41" t="s">
        <v>224</v>
      </c>
      <c r="B35" s="42" t="s">
        <v>457</v>
      </c>
      <c r="C35" s="43">
        <v>59533.0</v>
      </c>
    </row>
    <row r="36">
      <c r="A36" s="41" t="s">
        <v>77</v>
      </c>
      <c r="B36" s="42" t="s">
        <v>458</v>
      </c>
      <c r="C36" s="43">
        <v>59227.0</v>
      </c>
    </row>
    <row r="37">
      <c r="A37" s="41" t="s">
        <v>459</v>
      </c>
      <c r="B37" s="42" t="s">
        <v>460</v>
      </c>
      <c r="C37" s="43">
        <v>58924.0</v>
      </c>
    </row>
    <row r="38">
      <c r="A38" s="41" t="s">
        <v>80</v>
      </c>
      <c r="B38" s="42" t="s">
        <v>461</v>
      </c>
      <c r="C38" s="43">
        <v>58642.0</v>
      </c>
    </row>
    <row r="39">
      <c r="A39" s="41" t="s">
        <v>82</v>
      </c>
      <c r="B39" s="42" t="s">
        <v>462</v>
      </c>
      <c r="C39" s="43">
        <v>57603.0</v>
      </c>
    </row>
    <row r="40">
      <c r="A40" s="41" t="s">
        <v>117</v>
      </c>
      <c r="B40" s="42" t="s">
        <v>463</v>
      </c>
      <c r="C40" s="43">
        <v>57409.0</v>
      </c>
    </row>
    <row r="41">
      <c r="A41" s="41" t="s">
        <v>84</v>
      </c>
      <c r="B41" s="42" t="s">
        <v>464</v>
      </c>
      <c r="C41" s="43">
        <v>57341.0</v>
      </c>
    </row>
    <row r="42">
      <c r="A42" s="41" t="s">
        <v>335</v>
      </c>
      <c r="B42" s="42" t="s">
        <v>465</v>
      </c>
      <c r="C42" s="43">
        <v>57153.0</v>
      </c>
    </row>
    <row r="43">
      <c r="A43" s="41" t="s">
        <v>266</v>
      </c>
      <c r="B43" s="42" t="s">
        <v>466</v>
      </c>
      <c r="C43" s="43">
        <v>56227.0</v>
      </c>
    </row>
    <row r="44">
      <c r="A44" s="41" t="s">
        <v>92</v>
      </c>
      <c r="B44" s="42" t="s">
        <v>467</v>
      </c>
      <c r="C44" s="43">
        <v>56071.0</v>
      </c>
    </row>
    <row r="45">
      <c r="A45" s="41" t="s">
        <v>90</v>
      </c>
      <c r="B45" s="42" t="s">
        <v>468</v>
      </c>
      <c r="C45" s="43">
        <v>54449.0</v>
      </c>
    </row>
    <row r="46">
      <c r="A46" s="41" t="s">
        <v>104</v>
      </c>
      <c r="B46" s="42" t="s">
        <v>469</v>
      </c>
      <c r="C46" s="43">
        <v>52295.0</v>
      </c>
    </row>
    <row r="47">
      <c r="A47" s="41" t="s">
        <v>111</v>
      </c>
      <c r="B47" s="42" t="s">
        <v>470</v>
      </c>
      <c r="C47" s="43">
        <v>51945.0</v>
      </c>
    </row>
    <row r="48">
      <c r="A48" s="41" t="s">
        <v>197</v>
      </c>
      <c r="B48" s="42" t="s">
        <v>471</v>
      </c>
      <c r="C48" s="43">
        <v>51734.0</v>
      </c>
    </row>
    <row r="49">
      <c r="A49" s="41" t="s">
        <v>139</v>
      </c>
      <c r="B49" s="42" t="s">
        <v>472</v>
      </c>
      <c r="C49" s="43">
        <v>51073.0</v>
      </c>
    </row>
    <row r="50">
      <c r="A50" s="41" t="s">
        <v>210</v>
      </c>
      <c r="B50" s="42" t="s">
        <v>473</v>
      </c>
      <c r="C50" s="43">
        <v>48952.0</v>
      </c>
    </row>
    <row r="51">
      <c r="A51" s="41" t="s">
        <v>474</v>
      </c>
      <c r="B51" s="42" t="s">
        <v>475</v>
      </c>
      <c r="C51" s="43">
        <v>48850.0</v>
      </c>
    </row>
    <row r="52">
      <c r="A52" s="41" t="s">
        <v>270</v>
      </c>
      <c r="B52" s="42" t="s">
        <v>476</v>
      </c>
      <c r="C52" s="43">
        <v>45792.0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9.13"/>
    <col customWidth="1" min="2" max="3" width="18.75"/>
    <col customWidth="1" min="4" max="4" width="16.88"/>
  </cols>
  <sheetData>
    <row r="1">
      <c r="A1" s="1" t="s">
        <v>0</v>
      </c>
      <c r="B1" s="1" t="s">
        <v>477</v>
      </c>
      <c r="C1" s="1" t="s">
        <v>478</v>
      </c>
      <c r="D1" s="1" t="s">
        <v>479</v>
      </c>
      <c r="E1" s="44" t="s">
        <v>18</v>
      </c>
      <c r="F1" s="45" t="s">
        <v>19</v>
      </c>
      <c r="G1" s="8" t="s">
        <v>17</v>
      </c>
      <c r="H1" s="8" t="s">
        <v>480</v>
      </c>
    </row>
    <row r="2" hidden="1">
      <c r="A2" s="46" t="str">
        <f t="array" ref="A2:A32">$C$2:$C32&amp;"_"&amp;$D$2:$D32</f>
        <v>City_City</v>
      </c>
      <c r="B2" s="41"/>
      <c r="C2" s="41" t="s">
        <v>481</v>
      </c>
      <c r="D2" s="41" t="s">
        <v>481</v>
      </c>
      <c r="E2" s="47">
        <v>0.0</v>
      </c>
      <c r="F2" s="48">
        <v>0.0</v>
      </c>
      <c r="G2" s="49">
        <f>MAX(G$3:G32)</f>
        <v>80</v>
      </c>
      <c r="H2" s="41"/>
    </row>
    <row r="3">
      <c r="A3" s="46" t="s">
        <v>482</v>
      </c>
      <c r="B3" s="41" t="s">
        <v>483</v>
      </c>
      <c r="C3" s="41" t="s">
        <v>49</v>
      </c>
      <c r="D3" s="41" t="s">
        <v>484</v>
      </c>
      <c r="E3" s="47">
        <v>4000.0</v>
      </c>
      <c r="F3" s="48">
        <v>80.0</v>
      </c>
      <c r="G3" s="49">
        <v>40.0</v>
      </c>
      <c r="H3" s="41">
        <v>20.0</v>
      </c>
    </row>
    <row r="4">
      <c r="A4" s="46" t="s">
        <v>485</v>
      </c>
      <c r="B4" s="41" t="s">
        <v>483</v>
      </c>
      <c r="C4" s="41" t="s">
        <v>49</v>
      </c>
      <c r="D4" s="41" t="s">
        <v>486</v>
      </c>
      <c r="E4" s="47">
        <f>$E3*2</f>
        <v>8000</v>
      </c>
      <c r="F4" s="48">
        <f>$E4/50</f>
        <v>160</v>
      </c>
      <c r="G4" s="49">
        <v>50.0</v>
      </c>
      <c r="H4" s="41">
        <v>20.0</v>
      </c>
    </row>
    <row r="5">
      <c r="A5" s="46" t="s">
        <v>487</v>
      </c>
      <c r="B5" s="41" t="s">
        <v>483</v>
      </c>
      <c r="C5" s="41" t="s">
        <v>49</v>
      </c>
      <c r="D5" s="41" t="s">
        <v>488</v>
      </c>
      <c r="E5" s="47">
        <f>$E3*2</f>
        <v>8000</v>
      </c>
      <c r="F5" s="48">
        <f>$E3/50</f>
        <v>80</v>
      </c>
      <c r="G5" s="49">
        <v>50.0</v>
      </c>
      <c r="H5" s="41">
        <v>20.0</v>
      </c>
    </row>
    <row r="6">
      <c r="A6" s="46" t="s">
        <v>489</v>
      </c>
      <c r="B6" s="41" t="s">
        <v>483</v>
      </c>
      <c r="C6" s="41" t="s">
        <v>49</v>
      </c>
      <c r="D6" s="41" t="s">
        <v>490</v>
      </c>
      <c r="E6" s="47">
        <v>12000.0</v>
      </c>
      <c r="F6" s="48">
        <f t="shared" ref="F6:F27" si="1">$E6/50</f>
        <v>240</v>
      </c>
      <c r="G6" s="49">
        <v>50.0</v>
      </c>
      <c r="H6" s="41">
        <v>20.0</v>
      </c>
    </row>
    <row r="7">
      <c r="A7" s="46" t="s">
        <v>491</v>
      </c>
      <c r="B7" s="41" t="s">
        <v>483</v>
      </c>
      <c r="C7" s="41" t="s">
        <v>49</v>
      </c>
      <c r="D7" s="41" t="s">
        <v>492</v>
      </c>
      <c r="E7" s="47">
        <f>$E6*1.5</f>
        <v>18000</v>
      </c>
      <c r="F7" s="48">
        <f t="shared" si="1"/>
        <v>360</v>
      </c>
      <c r="G7" s="49">
        <v>80.0</v>
      </c>
      <c r="H7" s="41">
        <v>20.0</v>
      </c>
    </row>
    <row r="8">
      <c r="A8" s="46" t="s">
        <v>493</v>
      </c>
      <c r="B8" s="41" t="s">
        <v>494</v>
      </c>
      <c r="C8" s="41" t="s">
        <v>20</v>
      </c>
      <c r="D8" s="41" t="s">
        <v>484</v>
      </c>
      <c r="E8" s="47">
        <f>CEILING($E3*1.5/250,1)*250</f>
        <v>6000</v>
      </c>
      <c r="F8" s="48">
        <f t="shared" si="1"/>
        <v>120</v>
      </c>
      <c r="G8" s="49">
        <f>$G3</f>
        <v>40</v>
      </c>
      <c r="H8" s="41">
        <v>10.0</v>
      </c>
    </row>
    <row r="9">
      <c r="A9" s="46" t="s">
        <v>495</v>
      </c>
      <c r="B9" s="41" t="s">
        <v>494</v>
      </c>
      <c r="C9" s="41" t="s">
        <v>20</v>
      </c>
      <c r="D9" s="41" t="s">
        <v>486</v>
      </c>
      <c r="E9" s="47">
        <f t="shared" ref="E9:E10" si="2">CEILING($E5*0.8/250,1)*250</f>
        <v>6500</v>
      </c>
      <c r="F9" s="48">
        <f t="shared" si="1"/>
        <v>130</v>
      </c>
      <c r="G9" s="49">
        <f t="shared" ref="G9:G12" si="3">$G3</f>
        <v>40</v>
      </c>
      <c r="H9" s="41">
        <v>10.0</v>
      </c>
    </row>
    <row r="10">
      <c r="A10" s="46" t="s">
        <v>496</v>
      </c>
      <c r="B10" s="41" t="s">
        <v>494</v>
      </c>
      <c r="C10" s="41" t="s">
        <v>20</v>
      </c>
      <c r="D10" s="41" t="s">
        <v>488</v>
      </c>
      <c r="E10" s="47">
        <f t="shared" si="2"/>
        <v>9750</v>
      </c>
      <c r="F10" s="48">
        <f t="shared" si="1"/>
        <v>195</v>
      </c>
      <c r="G10" s="49">
        <f t="shared" si="3"/>
        <v>50</v>
      </c>
      <c r="H10" s="41">
        <v>10.0</v>
      </c>
    </row>
    <row r="11">
      <c r="A11" s="46" t="s">
        <v>497</v>
      </c>
      <c r="B11" s="41" t="s">
        <v>494</v>
      </c>
      <c r="C11" s="41" t="s">
        <v>20</v>
      </c>
      <c r="D11" s="41" t="s">
        <v>490</v>
      </c>
      <c r="E11" s="47">
        <f>CEILING($E6*0.8/250,1)*250</f>
        <v>9750</v>
      </c>
      <c r="F11" s="48">
        <f t="shared" si="1"/>
        <v>195</v>
      </c>
      <c r="G11" s="49">
        <f t="shared" si="3"/>
        <v>50</v>
      </c>
      <c r="H11" s="41">
        <v>10.0</v>
      </c>
    </row>
    <row r="12">
      <c r="A12" s="46" t="s">
        <v>498</v>
      </c>
      <c r="B12" s="41" t="s">
        <v>494</v>
      </c>
      <c r="C12" s="41" t="s">
        <v>20</v>
      </c>
      <c r="D12" s="41" t="s">
        <v>492</v>
      </c>
      <c r="E12" s="47">
        <f>$E11*1.5</f>
        <v>14625</v>
      </c>
      <c r="F12" s="48">
        <f t="shared" si="1"/>
        <v>292.5</v>
      </c>
      <c r="G12" s="49">
        <f t="shared" si="3"/>
        <v>50</v>
      </c>
      <c r="H12" s="41">
        <v>10.0</v>
      </c>
    </row>
    <row r="13">
      <c r="A13" s="46" t="s">
        <v>499</v>
      </c>
      <c r="B13" s="41" t="s">
        <v>34</v>
      </c>
      <c r="C13" s="41" t="s">
        <v>34</v>
      </c>
      <c r="D13" s="41" t="s">
        <v>484</v>
      </c>
      <c r="E13" s="47">
        <f>CEILING($E8*1.5/250,1)*250</f>
        <v>9000</v>
      </c>
      <c r="F13" s="48">
        <f t="shared" si="1"/>
        <v>180</v>
      </c>
      <c r="G13" s="49">
        <f>$G8</f>
        <v>40</v>
      </c>
      <c r="H13" s="41">
        <v>50.0</v>
      </c>
    </row>
    <row r="14">
      <c r="A14" s="46" t="s">
        <v>500</v>
      </c>
      <c r="B14" s="41" t="s">
        <v>34</v>
      </c>
      <c r="C14" s="41" t="s">
        <v>34</v>
      </c>
      <c r="D14" s="41" t="s">
        <v>486</v>
      </c>
      <c r="E14" s="47">
        <f t="shared" ref="E14:E17" si="4">CEILING($E8*1.5/250,1)*250</f>
        <v>9000</v>
      </c>
      <c r="F14" s="48">
        <f t="shared" si="1"/>
        <v>180</v>
      </c>
      <c r="G14" s="49">
        <f t="shared" ref="G14:G17" si="5">$G8</f>
        <v>40</v>
      </c>
      <c r="H14" s="41">
        <v>50.0</v>
      </c>
    </row>
    <row r="15">
      <c r="A15" s="46" t="s">
        <v>501</v>
      </c>
      <c r="B15" s="41" t="s">
        <v>34</v>
      </c>
      <c r="C15" s="41" t="s">
        <v>34</v>
      </c>
      <c r="D15" s="41" t="s">
        <v>488</v>
      </c>
      <c r="E15" s="47">
        <f t="shared" si="4"/>
        <v>9750</v>
      </c>
      <c r="F15" s="48">
        <f t="shared" si="1"/>
        <v>195</v>
      </c>
      <c r="G15" s="49">
        <f t="shared" si="5"/>
        <v>40</v>
      </c>
      <c r="H15" s="41">
        <v>50.0</v>
      </c>
    </row>
    <row r="16">
      <c r="A16" s="46" t="s">
        <v>502</v>
      </c>
      <c r="B16" s="41" t="s">
        <v>34</v>
      </c>
      <c r="C16" s="41" t="s">
        <v>34</v>
      </c>
      <c r="D16" s="41" t="s">
        <v>490</v>
      </c>
      <c r="E16" s="47">
        <f t="shared" si="4"/>
        <v>14750</v>
      </c>
      <c r="F16" s="48">
        <f t="shared" si="1"/>
        <v>295</v>
      </c>
      <c r="G16" s="49">
        <f t="shared" si="5"/>
        <v>50</v>
      </c>
      <c r="H16" s="41">
        <v>50.0</v>
      </c>
    </row>
    <row r="17">
      <c r="A17" s="46" t="s">
        <v>503</v>
      </c>
      <c r="B17" s="41" t="s">
        <v>34</v>
      </c>
      <c r="C17" s="41" t="s">
        <v>34</v>
      </c>
      <c r="D17" s="41" t="s">
        <v>492</v>
      </c>
      <c r="E17" s="47">
        <f t="shared" si="4"/>
        <v>14750</v>
      </c>
      <c r="F17" s="48">
        <f t="shared" si="1"/>
        <v>295</v>
      </c>
      <c r="G17" s="49">
        <f t="shared" si="5"/>
        <v>50</v>
      </c>
      <c r="H17" s="41">
        <v>50.0</v>
      </c>
    </row>
    <row r="18">
      <c r="A18" s="46" t="s">
        <v>504</v>
      </c>
      <c r="B18" s="41" t="s">
        <v>505</v>
      </c>
      <c r="C18" s="41" t="s">
        <v>29</v>
      </c>
      <c r="D18" s="41" t="s">
        <v>484</v>
      </c>
      <c r="E18" s="47">
        <f>CEILING($E13*1.5/1000,1)*1000</f>
        <v>14000</v>
      </c>
      <c r="F18" s="48">
        <f t="shared" si="1"/>
        <v>280</v>
      </c>
      <c r="G18" s="49">
        <f t="shared" ref="G18:G27" si="6">$G13</f>
        <v>40</v>
      </c>
      <c r="H18" s="41">
        <v>2.5</v>
      </c>
    </row>
    <row r="19">
      <c r="A19" s="46" t="s">
        <v>506</v>
      </c>
      <c r="B19" s="41" t="s">
        <v>505</v>
      </c>
      <c r="C19" s="41" t="s">
        <v>29</v>
      </c>
      <c r="D19" s="41" t="s">
        <v>486</v>
      </c>
      <c r="E19" s="47">
        <f>CEILING($E14*1.5/2500,1)*2500</f>
        <v>15000</v>
      </c>
      <c r="F19" s="48">
        <f t="shared" si="1"/>
        <v>300</v>
      </c>
      <c r="G19" s="49">
        <f t="shared" si="6"/>
        <v>40</v>
      </c>
      <c r="H19" s="41">
        <v>2.5</v>
      </c>
    </row>
    <row r="20">
      <c r="A20" s="46" t="s">
        <v>507</v>
      </c>
      <c r="B20" s="41" t="s">
        <v>505</v>
      </c>
      <c r="C20" s="41" t="s">
        <v>29</v>
      </c>
      <c r="D20" s="41" t="s">
        <v>488</v>
      </c>
      <c r="E20" s="47">
        <f t="shared" ref="E20:E22" si="7">CEILING($E15*1.5/5000,1)*5000</f>
        <v>15000</v>
      </c>
      <c r="F20" s="48">
        <f t="shared" si="1"/>
        <v>300</v>
      </c>
      <c r="G20" s="49">
        <f t="shared" si="6"/>
        <v>40</v>
      </c>
      <c r="H20" s="41">
        <v>2.5</v>
      </c>
    </row>
    <row r="21">
      <c r="A21" s="46" t="s">
        <v>508</v>
      </c>
      <c r="B21" s="41" t="s">
        <v>505</v>
      </c>
      <c r="C21" s="41" t="s">
        <v>29</v>
      </c>
      <c r="D21" s="41" t="s">
        <v>490</v>
      </c>
      <c r="E21" s="47">
        <f t="shared" si="7"/>
        <v>25000</v>
      </c>
      <c r="F21" s="48">
        <f t="shared" si="1"/>
        <v>500</v>
      </c>
      <c r="G21" s="49">
        <f t="shared" si="6"/>
        <v>50</v>
      </c>
      <c r="H21" s="41">
        <v>2.5</v>
      </c>
    </row>
    <row r="22">
      <c r="A22" s="46" t="s">
        <v>509</v>
      </c>
      <c r="B22" s="41" t="s">
        <v>505</v>
      </c>
      <c r="C22" s="41" t="s">
        <v>29</v>
      </c>
      <c r="D22" s="41" t="s">
        <v>492</v>
      </c>
      <c r="E22" s="47">
        <f t="shared" si="7"/>
        <v>25000</v>
      </c>
      <c r="F22" s="48">
        <f t="shared" si="1"/>
        <v>500</v>
      </c>
      <c r="G22" s="49">
        <f t="shared" si="6"/>
        <v>50</v>
      </c>
      <c r="H22" s="41">
        <v>2.5</v>
      </c>
    </row>
    <row r="23">
      <c r="A23" s="46" t="s">
        <v>510</v>
      </c>
      <c r="B23" s="41" t="s">
        <v>511</v>
      </c>
      <c r="C23" s="41" t="s">
        <v>39</v>
      </c>
      <c r="D23" s="41" t="s">
        <v>484</v>
      </c>
      <c r="E23" s="47">
        <f>CEILING($E18*3/1000,1)*1000</f>
        <v>42000</v>
      </c>
      <c r="F23" s="48">
        <f t="shared" si="1"/>
        <v>840</v>
      </c>
      <c r="G23" s="49">
        <f t="shared" si="6"/>
        <v>40</v>
      </c>
      <c r="H23" s="41">
        <v>2.5</v>
      </c>
    </row>
    <row r="24">
      <c r="A24" s="46" t="s">
        <v>512</v>
      </c>
      <c r="B24" s="41" t="s">
        <v>511</v>
      </c>
      <c r="C24" s="41" t="s">
        <v>39</v>
      </c>
      <c r="D24" s="41" t="s">
        <v>486</v>
      </c>
      <c r="E24" s="47">
        <f>CEILING($E19*3/2500,1)*2500</f>
        <v>45000</v>
      </c>
      <c r="F24" s="48">
        <f t="shared" si="1"/>
        <v>900</v>
      </c>
      <c r="G24" s="49">
        <f t="shared" si="6"/>
        <v>40</v>
      </c>
      <c r="H24" s="41">
        <v>2.5</v>
      </c>
    </row>
    <row r="25">
      <c r="A25" s="46" t="s">
        <v>513</v>
      </c>
      <c r="B25" s="41" t="s">
        <v>511</v>
      </c>
      <c r="C25" s="41" t="s">
        <v>39</v>
      </c>
      <c r="D25" s="41" t="s">
        <v>488</v>
      </c>
      <c r="E25" s="47">
        <f t="shared" ref="E25:E27" si="8">CEILING($E20*3/5000,1)*5000</f>
        <v>45000</v>
      </c>
      <c r="F25" s="48">
        <f t="shared" si="1"/>
        <v>900</v>
      </c>
      <c r="G25" s="49">
        <f t="shared" si="6"/>
        <v>40</v>
      </c>
      <c r="H25" s="41">
        <v>2.5</v>
      </c>
    </row>
    <row r="26">
      <c r="A26" s="46" t="s">
        <v>514</v>
      </c>
      <c r="B26" s="41" t="s">
        <v>511</v>
      </c>
      <c r="C26" s="41" t="s">
        <v>39</v>
      </c>
      <c r="D26" s="41" t="s">
        <v>490</v>
      </c>
      <c r="E26" s="47">
        <f t="shared" si="8"/>
        <v>75000</v>
      </c>
      <c r="F26" s="48">
        <f t="shared" si="1"/>
        <v>1500</v>
      </c>
      <c r="G26" s="49">
        <f t="shared" si="6"/>
        <v>50</v>
      </c>
      <c r="H26" s="41">
        <v>2.5</v>
      </c>
    </row>
    <row r="27">
      <c r="A27" s="46" t="s">
        <v>515</v>
      </c>
      <c r="B27" s="41" t="s">
        <v>511</v>
      </c>
      <c r="C27" s="41" t="s">
        <v>39</v>
      </c>
      <c r="D27" s="41" t="s">
        <v>492</v>
      </c>
      <c r="E27" s="47">
        <f t="shared" si="8"/>
        <v>75000</v>
      </c>
      <c r="F27" s="48">
        <f t="shared" si="1"/>
        <v>1500</v>
      </c>
      <c r="G27" s="49">
        <f t="shared" si="6"/>
        <v>50</v>
      </c>
      <c r="H27" s="41">
        <v>2.5</v>
      </c>
    </row>
    <row r="28">
      <c r="A28" s="46" t="s">
        <v>516</v>
      </c>
      <c r="B28" s="41" t="s">
        <v>517</v>
      </c>
      <c r="C28" s="41" t="s">
        <v>44</v>
      </c>
      <c r="D28" s="41" t="s">
        <v>484</v>
      </c>
      <c r="E28" s="47">
        <f t="shared" ref="E28:E32" si="9">$E23*2</f>
        <v>84000</v>
      </c>
      <c r="F28" s="48">
        <f t="shared" ref="F28:F32" si="10">$F23*2</f>
        <v>1680</v>
      </c>
      <c r="G28" s="49">
        <f t="shared" ref="G28:G32" si="11">$G22/2</f>
        <v>25</v>
      </c>
      <c r="H28" s="41">
        <v>2.5</v>
      </c>
    </row>
    <row r="29">
      <c r="A29" s="46" t="s">
        <v>518</v>
      </c>
      <c r="B29" s="41" t="s">
        <v>517</v>
      </c>
      <c r="C29" s="41" t="s">
        <v>44</v>
      </c>
      <c r="D29" s="41" t="s">
        <v>486</v>
      </c>
      <c r="E29" s="47">
        <f t="shared" si="9"/>
        <v>90000</v>
      </c>
      <c r="F29" s="48">
        <f t="shared" si="10"/>
        <v>1800</v>
      </c>
      <c r="G29" s="49">
        <f t="shared" si="11"/>
        <v>20</v>
      </c>
      <c r="H29" s="41">
        <v>2.5</v>
      </c>
    </row>
    <row r="30">
      <c r="A30" s="46" t="s">
        <v>519</v>
      </c>
      <c r="B30" s="41" t="s">
        <v>517</v>
      </c>
      <c r="C30" s="41" t="s">
        <v>44</v>
      </c>
      <c r="D30" s="41" t="s">
        <v>488</v>
      </c>
      <c r="E30" s="47">
        <f t="shared" si="9"/>
        <v>90000</v>
      </c>
      <c r="F30" s="48">
        <f t="shared" si="10"/>
        <v>1800</v>
      </c>
      <c r="G30" s="49">
        <f t="shared" si="11"/>
        <v>20</v>
      </c>
      <c r="H30" s="41">
        <v>2.5</v>
      </c>
    </row>
    <row r="31">
      <c r="A31" s="46" t="s">
        <v>520</v>
      </c>
      <c r="B31" s="41" t="s">
        <v>517</v>
      </c>
      <c r="C31" s="41" t="s">
        <v>44</v>
      </c>
      <c r="D31" s="41" t="s">
        <v>490</v>
      </c>
      <c r="E31" s="47">
        <f t="shared" si="9"/>
        <v>150000</v>
      </c>
      <c r="F31" s="48">
        <f t="shared" si="10"/>
        <v>3000</v>
      </c>
      <c r="G31" s="49">
        <f t="shared" si="11"/>
        <v>20</v>
      </c>
      <c r="H31" s="41">
        <v>2.5</v>
      </c>
    </row>
    <row r="32">
      <c r="A32" s="46" t="s">
        <v>521</v>
      </c>
      <c r="B32" s="41" t="s">
        <v>517</v>
      </c>
      <c r="C32" s="41" t="s">
        <v>44</v>
      </c>
      <c r="D32" s="41" t="s">
        <v>492</v>
      </c>
      <c r="E32" s="47">
        <f t="shared" si="9"/>
        <v>150000</v>
      </c>
      <c r="F32" s="48">
        <f t="shared" si="10"/>
        <v>3000</v>
      </c>
      <c r="G32" s="49">
        <f t="shared" si="11"/>
        <v>25</v>
      </c>
      <c r="H32" s="41">
        <v>2.5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6.75"/>
    <col customWidth="1" min="2" max="3" width="11.13"/>
    <col customWidth="1" min="4" max="4" width="14.75"/>
    <col customWidth="1" min="5" max="10" width="15.0"/>
    <col customWidth="1" min="11" max="11" width="20.25"/>
    <col customWidth="1" min="12" max="13" width="15.0"/>
  </cols>
  <sheetData>
    <row r="1">
      <c r="A1" s="1" t="s">
        <v>0</v>
      </c>
      <c r="B1" s="1" t="s">
        <v>2</v>
      </c>
      <c r="C1" s="1" t="s">
        <v>522</v>
      </c>
      <c r="D1" s="1" t="s">
        <v>523</v>
      </c>
      <c r="E1" s="50" t="s">
        <v>524</v>
      </c>
      <c r="F1" s="51" t="s">
        <v>525</v>
      </c>
      <c r="G1" s="51" t="s">
        <v>526</v>
      </c>
      <c r="H1" s="51" t="s">
        <v>527</v>
      </c>
      <c r="I1" s="51" t="s">
        <v>528</v>
      </c>
      <c r="J1" s="51" t="s">
        <v>529</v>
      </c>
      <c r="K1" s="52" t="s">
        <v>530</v>
      </c>
      <c r="L1" s="51" t="s">
        <v>531</v>
      </c>
      <c r="M1" s="52" t="s">
        <v>532</v>
      </c>
    </row>
    <row r="2">
      <c r="A2" s="36" t="s">
        <v>533</v>
      </c>
      <c r="B2" s="36" t="str">
        <f t="shared" ref="B2:B6" si="1">$A2</f>
        <v>Phone</v>
      </c>
      <c r="C2" s="36" t="s">
        <v>534</v>
      </c>
      <c r="D2" s="36" t="s">
        <v>535</v>
      </c>
      <c r="E2" s="53">
        <f t="shared" ref="E2:E4" si="2">1/(365*2)</f>
        <v>0.001369863014</v>
      </c>
      <c r="F2" s="54">
        <v>0.179</v>
      </c>
      <c r="G2" s="54" t="s">
        <v>535</v>
      </c>
      <c r="H2" s="53">
        <f>0.08</f>
        <v>0.08</v>
      </c>
      <c r="I2" s="54">
        <v>0.175</v>
      </c>
      <c r="J2" s="54">
        <v>0.02</v>
      </c>
      <c r="K2" s="54">
        <f t="shared" ref="K2:K55" si="3">IF($G2 = "Cylinder", 
        $I2*PI()*($H2/2)^2, 
        IF($G2 = "Box",
                $H2*$I2*$J2,
                IF($G2 = "Wedge",
                        0.5*$H2*$I2*$J2,
                        IF($G2 = "Ball",
                                (4/3)*PI()*($H2/2)^3,
                                IF($G2 = "Ellipsoid",
                                        (4/3)*PI()*$H2*$I2*$J2,
                                        IF($G2 = "EllipticCylinder",
                                                PI()*$H2*$I2*$J2,
                                                0
                                        )
                                )
                        )
                )
        )
)</f>
        <v>0.00028</v>
      </c>
      <c r="L2" s="53">
        <f t="shared" ref="L2:L14" si="4">$F2/$K2</f>
        <v>639.2857143</v>
      </c>
      <c r="M2" s="55">
        <v>20.0</v>
      </c>
    </row>
    <row r="3">
      <c r="A3" s="36" t="s">
        <v>536</v>
      </c>
      <c r="B3" s="36" t="str">
        <f t="shared" si="1"/>
        <v>Speaker</v>
      </c>
      <c r="C3" s="36" t="s">
        <v>534</v>
      </c>
      <c r="D3" s="36" t="s">
        <v>535</v>
      </c>
      <c r="E3" s="53">
        <f t="shared" si="2"/>
        <v>0.001369863014</v>
      </c>
      <c r="F3" s="54">
        <v>8.0</v>
      </c>
      <c r="G3" s="54" t="s">
        <v>535</v>
      </c>
      <c r="H3" s="53">
        <f>0.15</f>
        <v>0.15</v>
      </c>
      <c r="I3" s="54">
        <v>0.3</v>
      </c>
      <c r="J3" s="54">
        <v>0.2</v>
      </c>
      <c r="K3" s="54">
        <f t="shared" si="3"/>
        <v>0.009</v>
      </c>
      <c r="L3" s="53">
        <f t="shared" si="4"/>
        <v>888.8888889</v>
      </c>
      <c r="M3" s="55">
        <v>3.0</v>
      </c>
    </row>
    <row r="4">
      <c r="A4" s="36" t="s">
        <v>537</v>
      </c>
      <c r="B4" s="36" t="str">
        <f t="shared" si="1"/>
        <v>Radio</v>
      </c>
      <c r="C4" s="36" t="s">
        <v>534</v>
      </c>
      <c r="D4" s="36" t="s">
        <v>535</v>
      </c>
      <c r="E4" s="53">
        <f t="shared" si="2"/>
        <v>0.001369863014</v>
      </c>
      <c r="F4" s="56">
        <v>6.0</v>
      </c>
      <c r="G4" s="54" t="s">
        <v>535</v>
      </c>
      <c r="H4" s="57">
        <f>0.2</f>
        <v>0.2</v>
      </c>
      <c r="I4" s="56">
        <v>0.15</v>
      </c>
      <c r="J4" s="56">
        <v>0.1</v>
      </c>
      <c r="K4" s="54">
        <f t="shared" si="3"/>
        <v>0.003</v>
      </c>
      <c r="L4" s="53">
        <f t="shared" si="4"/>
        <v>2000</v>
      </c>
      <c r="M4" s="55">
        <v>2.5</v>
      </c>
    </row>
    <row r="5">
      <c r="A5" s="36" t="s">
        <v>483</v>
      </c>
      <c r="B5" s="36" t="str">
        <f t="shared" si="1"/>
        <v>Car</v>
      </c>
      <c r="C5" s="36" t="s">
        <v>534</v>
      </c>
      <c r="D5" s="36" t="s">
        <v>538</v>
      </c>
      <c r="E5" s="53">
        <f>1/(365*8)</f>
        <v>0.0003424657534</v>
      </c>
      <c r="F5" s="57">
        <f>3300*0.45</f>
        <v>1485</v>
      </c>
      <c r="G5" s="54" t="s">
        <v>535</v>
      </c>
      <c r="H5" s="57">
        <f>1.75</f>
        <v>1.75</v>
      </c>
      <c r="I5" s="56">
        <v>1.5</v>
      </c>
      <c r="J5" s="56">
        <v>2.25</v>
      </c>
      <c r="K5" s="54">
        <f t="shared" si="3"/>
        <v>5.90625</v>
      </c>
      <c r="L5" s="53">
        <f t="shared" si="4"/>
        <v>251.4285714</v>
      </c>
      <c r="M5" s="55">
        <v>1200.0</v>
      </c>
    </row>
    <row r="6">
      <c r="A6" s="36" t="s">
        <v>539</v>
      </c>
      <c r="B6" s="36" t="str">
        <f t="shared" si="1"/>
        <v>Camera</v>
      </c>
      <c r="C6" s="36" t="s">
        <v>534</v>
      </c>
      <c r="D6" s="36" t="s">
        <v>535</v>
      </c>
      <c r="E6" s="53">
        <f t="shared" ref="E6:E7" si="5">1/(365*4)</f>
        <v>0.0006849315068</v>
      </c>
      <c r="F6" s="56">
        <v>0.386</v>
      </c>
      <c r="G6" s="54" t="s">
        <v>535</v>
      </c>
      <c r="H6" s="57">
        <f>0.15</f>
        <v>0.15</v>
      </c>
      <c r="I6" s="56">
        <v>0.075</v>
      </c>
      <c r="J6" s="56">
        <v>0.05</v>
      </c>
      <c r="K6" s="54">
        <f t="shared" si="3"/>
        <v>0.0005625</v>
      </c>
      <c r="L6" s="53">
        <f t="shared" si="4"/>
        <v>686.2222222</v>
      </c>
      <c r="M6" s="55">
        <v>30.0</v>
      </c>
    </row>
    <row r="7">
      <c r="A7" s="36" t="s">
        <v>540</v>
      </c>
      <c r="B7" s="36" t="s">
        <v>541</v>
      </c>
      <c r="C7" s="36" t="s">
        <v>534</v>
      </c>
      <c r="D7" s="36" t="s">
        <v>535</v>
      </c>
      <c r="E7" s="53">
        <f t="shared" si="5"/>
        <v>0.0006849315068</v>
      </c>
      <c r="F7" s="56">
        <v>0.5</v>
      </c>
      <c r="G7" s="54" t="s">
        <v>535</v>
      </c>
      <c r="H7" s="57">
        <f>0.1</f>
        <v>0.1</v>
      </c>
      <c r="I7" s="56">
        <v>0.3</v>
      </c>
      <c r="J7" s="56">
        <v>0.05</v>
      </c>
      <c r="K7" s="54">
        <f t="shared" si="3"/>
        <v>0.0015</v>
      </c>
      <c r="L7" s="53">
        <f t="shared" si="4"/>
        <v>333.3333333</v>
      </c>
      <c r="M7" s="55">
        <v>30.0</v>
      </c>
    </row>
    <row r="8">
      <c r="A8" s="36" t="s">
        <v>542</v>
      </c>
      <c r="B8" s="36" t="str">
        <f t="shared" ref="B8:B19" si="6">$A8</f>
        <v>Controller</v>
      </c>
      <c r="C8" s="36" t="s">
        <v>534</v>
      </c>
      <c r="D8" s="36" t="s">
        <v>535</v>
      </c>
      <c r="E8" s="53">
        <f>1/(365*3)</f>
        <v>0.0009132420091</v>
      </c>
      <c r="F8" s="56">
        <v>0.4</v>
      </c>
      <c r="G8" s="54" t="s">
        <v>535</v>
      </c>
      <c r="H8" s="57">
        <f>0.12</f>
        <v>0.12</v>
      </c>
      <c r="I8" s="56">
        <v>0.075</v>
      </c>
      <c r="J8" s="56">
        <v>0.05</v>
      </c>
      <c r="K8" s="54">
        <f t="shared" si="3"/>
        <v>0.00045</v>
      </c>
      <c r="L8" s="53">
        <f t="shared" si="4"/>
        <v>888.8888889</v>
      </c>
      <c r="M8" s="55">
        <v>3.0</v>
      </c>
    </row>
    <row r="9">
      <c r="A9" s="36" t="s">
        <v>543</v>
      </c>
      <c r="B9" s="36" t="str">
        <f t="shared" si="6"/>
        <v>Headphones</v>
      </c>
      <c r="C9" s="36" t="s">
        <v>534</v>
      </c>
      <c r="D9" s="36" t="s">
        <v>535</v>
      </c>
      <c r="E9" s="53">
        <f>1/(365*2)</f>
        <v>0.001369863014</v>
      </c>
      <c r="F9" s="56">
        <v>0.3</v>
      </c>
      <c r="G9" s="54" t="s">
        <v>535</v>
      </c>
      <c r="H9" s="57">
        <f>0.15</f>
        <v>0.15</v>
      </c>
      <c r="I9" s="56">
        <v>0.1</v>
      </c>
      <c r="J9" s="56">
        <v>0.05</v>
      </c>
      <c r="K9" s="54">
        <f t="shared" si="3"/>
        <v>0.00075</v>
      </c>
      <c r="L9" s="53">
        <f t="shared" si="4"/>
        <v>400</v>
      </c>
      <c r="M9" s="55">
        <v>7.0</v>
      </c>
    </row>
    <row r="10">
      <c r="A10" s="36" t="s">
        <v>544</v>
      </c>
      <c r="B10" s="36" t="str">
        <f t="shared" si="6"/>
        <v>RAM</v>
      </c>
      <c r="C10" s="36" t="s">
        <v>534</v>
      </c>
      <c r="D10" s="36" t="s">
        <v>535</v>
      </c>
      <c r="E10" s="53">
        <f t="shared" ref="E10:E11" si="7">1/(365*4)</f>
        <v>0.0006849315068</v>
      </c>
      <c r="F10" s="56">
        <v>0.3</v>
      </c>
      <c r="G10" s="54" t="s">
        <v>535</v>
      </c>
      <c r="H10" s="57">
        <f t="shared" ref="H10:H11" si="8">0.1</f>
        <v>0.1</v>
      </c>
      <c r="I10" s="56">
        <v>0.01</v>
      </c>
      <c r="J10" s="56">
        <v>0.1</v>
      </c>
      <c r="K10" s="54">
        <f t="shared" si="3"/>
        <v>0.0001</v>
      </c>
      <c r="L10" s="53">
        <f t="shared" si="4"/>
        <v>3000</v>
      </c>
      <c r="M10" s="55">
        <v>4.0</v>
      </c>
    </row>
    <row r="11">
      <c r="A11" s="36" t="s">
        <v>545</v>
      </c>
      <c r="B11" s="36" t="str">
        <f t="shared" si="6"/>
        <v>CPU</v>
      </c>
      <c r="C11" s="36" t="s">
        <v>534</v>
      </c>
      <c r="D11" s="36" t="s">
        <v>535</v>
      </c>
      <c r="E11" s="53">
        <f t="shared" si="7"/>
        <v>0.0006849315068</v>
      </c>
      <c r="F11" s="56">
        <v>0.3</v>
      </c>
      <c r="G11" s="54" t="s">
        <v>535</v>
      </c>
      <c r="H11" s="57">
        <f t="shared" si="8"/>
        <v>0.1</v>
      </c>
      <c r="I11" s="56">
        <v>0.01</v>
      </c>
      <c r="J11" s="56">
        <v>0.1</v>
      </c>
      <c r="K11" s="54">
        <f t="shared" si="3"/>
        <v>0.0001</v>
      </c>
      <c r="L11" s="53">
        <f t="shared" si="4"/>
        <v>3000</v>
      </c>
      <c r="M11" s="55">
        <v>15.0</v>
      </c>
    </row>
    <row r="12">
      <c r="A12" s="36" t="s">
        <v>546</v>
      </c>
      <c r="B12" s="36" t="str">
        <f t="shared" si="6"/>
        <v>Microphone</v>
      </c>
      <c r="C12" s="36" t="s">
        <v>534</v>
      </c>
      <c r="D12" s="36" t="s">
        <v>535</v>
      </c>
      <c r="E12" s="53">
        <f>1/(365*2)</f>
        <v>0.001369863014</v>
      </c>
      <c r="F12" s="56">
        <v>0.4</v>
      </c>
      <c r="G12" s="54" t="s">
        <v>547</v>
      </c>
      <c r="H12" s="57">
        <f>0.03</f>
        <v>0.03</v>
      </c>
      <c r="I12" s="57">
        <f>0.1</f>
        <v>0.1</v>
      </c>
      <c r="J12" s="54">
        <f>$H12</f>
        <v>0.03</v>
      </c>
      <c r="K12" s="54">
        <f t="shared" si="3"/>
        <v>0.00007068583471</v>
      </c>
      <c r="L12" s="53">
        <f t="shared" si="4"/>
        <v>5658.842421</v>
      </c>
      <c r="M12" s="55">
        <v>1.5</v>
      </c>
    </row>
    <row r="13">
      <c r="A13" s="36" t="s">
        <v>548</v>
      </c>
      <c r="B13" s="36" t="str">
        <f t="shared" si="6"/>
        <v>Laptop</v>
      </c>
      <c r="C13" s="36" t="s">
        <v>534</v>
      </c>
      <c r="D13" s="36" t="s">
        <v>535</v>
      </c>
      <c r="E13" s="53">
        <f>1/(365*5)</f>
        <v>0.0005479452055</v>
      </c>
      <c r="F13" s="56">
        <v>2.0</v>
      </c>
      <c r="G13" s="54" t="s">
        <v>535</v>
      </c>
      <c r="H13" s="56">
        <v>0.3</v>
      </c>
      <c r="I13" s="56">
        <v>0.03</v>
      </c>
      <c r="J13" s="56">
        <v>0.2</v>
      </c>
      <c r="K13" s="54">
        <f t="shared" si="3"/>
        <v>0.0018</v>
      </c>
      <c r="L13" s="53">
        <f t="shared" si="4"/>
        <v>1111.111111</v>
      </c>
      <c r="M13" s="55">
        <v>60.0</v>
      </c>
    </row>
    <row r="14">
      <c r="A14" s="36" t="s">
        <v>549</v>
      </c>
      <c r="B14" s="36" t="str">
        <f t="shared" si="6"/>
        <v>Microchip</v>
      </c>
      <c r="C14" s="36" t="s">
        <v>534</v>
      </c>
      <c r="D14" s="36" t="s">
        <v>535</v>
      </c>
      <c r="E14" s="53">
        <f>1/(365*0.5)</f>
        <v>0.005479452055</v>
      </c>
      <c r="F14" s="57">
        <f>0.002</f>
        <v>0.002</v>
      </c>
      <c r="G14" s="54" t="s">
        <v>535</v>
      </c>
      <c r="H14" s="57">
        <f>0.05</f>
        <v>0.05</v>
      </c>
      <c r="I14" s="57">
        <f>0.01</f>
        <v>0.01</v>
      </c>
      <c r="J14" s="56">
        <v>0.05</v>
      </c>
      <c r="K14" s="54">
        <f t="shared" si="3"/>
        <v>0.000025</v>
      </c>
      <c r="L14" s="53">
        <f t="shared" si="4"/>
        <v>80</v>
      </c>
      <c r="M14" s="55">
        <v>1.5</v>
      </c>
    </row>
    <row r="15">
      <c r="A15" s="36" t="s">
        <v>550</v>
      </c>
      <c r="B15" s="36" t="str">
        <f t="shared" si="6"/>
        <v>Gold</v>
      </c>
      <c r="C15" s="36" t="s">
        <v>551</v>
      </c>
      <c r="D15" s="36" t="s">
        <v>552</v>
      </c>
      <c r="E15" s="53">
        <f>1/(365*2)</f>
        <v>0.001369863014</v>
      </c>
      <c r="F15" s="56">
        <v>1.0</v>
      </c>
      <c r="G15" s="54" t="s">
        <v>535</v>
      </c>
      <c r="H15" s="56">
        <v>0.2</v>
      </c>
      <c r="I15" s="56">
        <v>0.1</v>
      </c>
      <c r="J15" s="56">
        <v>0.05</v>
      </c>
      <c r="K15" s="54">
        <f t="shared" si="3"/>
        <v>0.001</v>
      </c>
      <c r="L15" s="53">
        <f>19300</f>
        <v>19300</v>
      </c>
      <c r="M15" s="55">
        <v>100.0</v>
      </c>
    </row>
    <row r="16">
      <c r="A16" s="36" t="s">
        <v>553</v>
      </c>
      <c r="B16" s="36" t="str">
        <f t="shared" si="6"/>
        <v>Silver</v>
      </c>
      <c r="C16" s="36" t="s">
        <v>551</v>
      </c>
      <c r="D16" s="36" t="s">
        <v>552</v>
      </c>
      <c r="E16" s="53">
        <f t="shared" ref="E16:E17" si="9">1/(365*4)</f>
        <v>0.0006849315068</v>
      </c>
      <c r="F16" s="57">
        <f t="shared" ref="F16:F21" si="10">$L16*$K16</f>
        <v>10</v>
      </c>
      <c r="G16" s="54" t="s">
        <v>535</v>
      </c>
      <c r="H16" s="56">
        <v>0.2</v>
      </c>
      <c r="I16" s="56">
        <v>0.1</v>
      </c>
      <c r="J16" s="56">
        <v>0.05</v>
      </c>
      <c r="K16" s="54">
        <f t="shared" si="3"/>
        <v>0.001</v>
      </c>
      <c r="L16" s="54">
        <v>10000.0</v>
      </c>
      <c r="M16" s="55">
        <v>50.0</v>
      </c>
    </row>
    <row r="17">
      <c r="A17" s="36" t="s">
        <v>554</v>
      </c>
      <c r="B17" s="36" t="str">
        <f t="shared" si="6"/>
        <v>Bronze</v>
      </c>
      <c r="C17" s="36" t="s">
        <v>551</v>
      </c>
      <c r="D17" s="36" t="s">
        <v>552</v>
      </c>
      <c r="E17" s="53">
        <f t="shared" si="9"/>
        <v>0.0006849315068</v>
      </c>
      <c r="F17" s="57">
        <f t="shared" si="10"/>
        <v>8</v>
      </c>
      <c r="G17" s="54" t="s">
        <v>535</v>
      </c>
      <c r="H17" s="56">
        <v>0.2</v>
      </c>
      <c r="I17" s="56">
        <v>0.1</v>
      </c>
      <c r="J17" s="56">
        <v>0.05</v>
      </c>
      <c r="K17" s="54">
        <f t="shared" si="3"/>
        <v>0.001</v>
      </c>
      <c r="L17" s="54">
        <v>8000.0</v>
      </c>
      <c r="M17" s="55">
        <v>10.0</v>
      </c>
    </row>
    <row r="18">
      <c r="A18" s="36" t="s">
        <v>555</v>
      </c>
      <c r="B18" s="36" t="str">
        <f t="shared" si="6"/>
        <v>Uranium</v>
      </c>
      <c r="C18" s="36" t="s">
        <v>551</v>
      </c>
      <c r="D18" s="36" t="s">
        <v>552</v>
      </c>
      <c r="E18" s="53">
        <f>1/(365*10)</f>
        <v>0.0002739726027</v>
      </c>
      <c r="F18" s="57">
        <f t="shared" si="10"/>
        <v>19.05</v>
      </c>
      <c r="G18" s="54" t="s">
        <v>535</v>
      </c>
      <c r="H18" s="56">
        <v>0.2</v>
      </c>
      <c r="I18" s="56">
        <v>0.1</v>
      </c>
      <c r="J18" s="56">
        <v>0.05</v>
      </c>
      <c r="K18" s="54">
        <f t="shared" si="3"/>
        <v>0.001</v>
      </c>
      <c r="L18" s="54">
        <v>19050.0</v>
      </c>
      <c r="M18" s="55">
        <v>150.0</v>
      </c>
    </row>
    <row r="19">
      <c r="A19" s="36" t="s">
        <v>556</v>
      </c>
      <c r="B19" s="36" t="str">
        <f t="shared" si="6"/>
        <v>Propane</v>
      </c>
      <c r="C19" s="36" t="s">
        <v>551</v>
      </c>
      <c r="D19" s="36" t="s">
        <v>557</v>
      </c>
      <c r="E19" s="53">
        <f>1/7</f>
        <v>0.1428571429</v>
      </c>
      <c r="F19" s="57">
        <f t="shared" si="10"/>
        <v>0.05111999566</v>
      </c>
      <c r="G19" s="54" t="s">
        <v>547</v>
      </c>
      <c r="H19" s="56">
        <v>0.3</v>
      </c>
      <c r="I19" s="56">
        <v>0.4</v>
      </c>
      <c r="J19" s="54">
        <f t="shared" ref="J19:J20" si="11">$H19</f>
        <v>0.3</v>
      </c>
      <c r="K19" s="54">
        <f t="shared" si="3"/>
        <v>0.02827433388</v>
      </c>
      <c r="L19" s="54">
        <v>1.808</v>
      </c>
      <c r="M19" s="55">
        <v>2.0</v>
      </c>
    </row>
    <row r="20">
      <c r="A20" s="36" t="s">
        <v>558</v>
      </c>
      <c r="B20" s="36" t="s">
        <v>559</v>
      </c>
      <c r="C20" s="36" t="s">
        <v>551</v>
      </c>
      <c r="D20" s="36" t="s">
        <v>560</v>
      </c>
      <c r="E20" s="53">
        <f t="shared" ref="E20:E21" si="12">1/10</f>
        <v>0.1</v>
      </c>
      <c r="F20" s="57">
        <f t="shared" si="10"/>
        <v>0.5389794896</v>
      </c>
      <c r="G20" s="54" t="s">
        <v>547</v>
      </c>
      <c r="H20" s="56">
        <f>0.05</f>
        <v>0.05</v>
      </c>
      <c r="I20" s="56">
        <v>0.15</v>
      </c>
      <c r="J20" s="54">
        <f t="shared" si="11"/>
        <v>0.05</v>
      </c>
      <c r="K20" s="54">
        <f t="shared" si="3"/>
        <v>0.0002945243113</v>
      </c>
      <c r="L20" s="54">
        <v>1830.0</v>
      </c>
      <c r="M20" s="55">
        <v>3.5</v>
      </c>
    </row>
    <row r="21">
      <c r="A21" s="36" t="s">
        <v>561</v>
      </c>
      <c r="B21" s="36" t="str">
        <f t="shared" ref="B21:B55" si="13">$A21</f>
        <v>Gasoline</v>
      </c>
      <c r="C21" s="36" t="s">
        <v>551</v>
      </c>
      <c r="D21" s="36" t="s">
        <v>560</v>
      </c>
      <c r="E21" s="53">
        <f t="shared" si="12"/>
        <v>0.1</v>
      </c>
      <c r="F21" s="57">
        <f t="shared" si="10"/>
        <v>9</v>
      </c>
      <c r="G21" s="54" t="s">
        <v>535</v>
      </c>
      <c r="H21" s="56">
        <v>0.3</v>
      </c>
      <c r="I21" s="56">
        <v>0.4</v>
      </c>
      <c r="J21" s="56">
        <v>0.15</v>
      </c>
      <c r="K21" s="54">
        <f t="shared" si="3"/>
        <v>0.018</v>
      </c>
      <c r="L21" s="54">
        <v>500.0</v>
      </c>
      <c r="M21" s="55">
        <v>2.5</v>
      </c>
    </row>
    <row r="22">
      <c r="A22" s="36" t="s">
        <v>562</v>
      </c>
      <c r="B22" s="36" t="str">
        <f t="shared" si="13"/>
        <v>Bolt</v>
      </c>
      <c r="C22" s="36" t="s">
        <v>563</v>
      </c>
      <c r="D22" s="36" t="s">
        <v>535</v>
      </c>
      <c r="E22" s="53">
        <f>50/(365)</f>
        <v>0.1369863014</v>
      </c>
      <c r="F22" s="56">
        <v>0.05</v>
      </c>
      <c r="G22" s="54" t="s">
        <v>547</v>
      </c>
      <c r="H22" s="54">
        <f>0.01</f>
        <v>0.01</v>
      </c>
      <c r="I22" s="54">
        <f>0.025</f>
        <v>0.025</v>
      </c>
      <c r="J22" s="54">
        <f>$H22</f>
        <v>0.01</v>
      </c>
      <c r="K22" s="54">
        <f t="shared" si="3"/>
        <v>0.000001963495408</v>
      </c>
      <c r="L22" s="54">
        <f>0.25*7840</f>
        <v>1960</v>
      </c>
      <c r="M22" s="55">
        <v>0.005000000000000001</v>
      </c>
    </row>
    <row r="23">
      <c r="A23" s="36" t="s">
        <v>564</v>
      </c>
      <c r="B23" s="36" t="str">
        <f t="shared" si="13"/>
        <v>Lumber</v>
      </c>
      <c r="C23" s="36" t="s">
        <v>563</v>
      </c>
      <c r="D23" s="36" t="s">
        <v>565</v>
      </c>
      <c r="E23" s="53">
        <f>1/(365/5)</f>
        <v>0.01369863014</v>
      </c>
      <c r="F23" s="57">
        <f>$L23*$K23</f>
        <v>3.75</v>
      </c>
      <c r="G23" s="54" t="s">
        <v>535</v>
      </c>
      <c r="H23" s="57">
        <f>0.15</f>
        <v>0.15</v>
      </c>
      <c r="I23" s="57">
        <f>0.05</f>
        <v>0.05</v>
      </c>
      <c r="J23" s="56">
        <v>1.0</v>
      </c>
      <c r="K23" s="54">
        <f t="shared" si="3"/>
        <v>0.0075</v>
      </c>
      <c r="L23" s="54">
        <v>500.0</v>
      </c>
      <c r="M23" s="55">
        <v>2.0</v>
      </c>
    </row>
    <row r="24">
      <c r="A24" s="36" t="s">
        <v>566</v>
      </c>
      <c r="B24" s="36" t="str">
        <f t="shared" si="13"/>
        <v>LightBulb</v>
      </c>
      <c r="C24" s="36" t="s">
        <v>563</v>
      </c>
      <c r="D24" s="36" t="s">
        <v>535</v>
      </c>
      <c r="E24" s="53">
        <f>20/(365*2)</f>
        <v>0.02739726027</v>
      </c>
      <c r="F24" s="54">
        <v>25.0</v>
      </c>
      <c r="G24" s="54" t="s">
        <v>567</v>
      </c>
      <c r="H24" s="53">
        <f>0.05</f>
        <v>0.05</v>
      </c>
      <c r="I24" s="54">
        <f t="shared" ref="I24:J24" si="14">$H24</f>
        <v>0.05</v>
      </c>
      <c r="J24" s="54">
        <f t="shared" si="14"/>
        <v>0.05</v>
      </c>
      <c r="K24" s="54">
        <f t="shared" si="3"/>
        <v>0.00006544984695</v>
      </c>
      <c r="L24" s="53">
        <f t="shared" ref="L24:L25" si="15">$F24/$K24</f>
        <v>381971.8634</v>
      </c>
      <c r="M24" s="55">
        <v>20.0</v>
      </c>
    </row>
    <row r="25">
      <c r="A25" s="36" t="s">
        <v>568</v>
      </c>
      <c r="B25" s="36" t="str">
        <f t="shared" si="13"/>
        <v>Wrench</v>
      </c>
      <c r="C25" s="36" t="s">
        <v>563</v>
      </c>
      <c r="D25" s="36" t="s">
        <v>535</v>
      </c>
      <c r="E25" s="53">
        <f>1/(365*5)</f>
        <v>0.0005479452055</v>
      </c>
      <c r="F25" s="56">
        <v>0.5</v>
      </c>
      <c r="G25" s="54" t="s">
        <v>535</v>
      </c>
      <c r="H25" s="56">
        <v>0.05</v>
      </c>
      <c r="I25" s="56">
        <v>0.25</v>
      </c>
      <c r="J25" s="56">
        <v>0.2</v>
      </c>
      <c r="K25" s="54">
        <f t="shared" si="3"/>
        <v>0.0025</v>
      </c>
      <c r="L25" s="53">
        <f t="shared" si="15"/>
        <v>200</v>
      </c>
      <c r="M25" s="55">
        <v>1.0</v>
      </c>
    </row>
    <row r="26">
      <c r="A26" s="36" t="s">
        <v>569</v>
      </c>
      <c r="B26" s="36" t="str">
        <f t="shared" si="13"/>
        <v>Stone</v>
      </c>
      <c r="C26" s="36" t="s">
        <v>563</v>
      </c>
      <c r="D26" s="36" t="s">
        <v>570</v>
      </c>
      <c r="E26" s="53">
        <f>20*1/(365/10)</f>
        <v>0.5479452055</v>
      </c>
      <c r="F26" s="57">
        <f>$L26*$K26</f>
        <v>13.08996939</v>
      </c>
      <c r="G26" s="54" t="s">
        <v>567</v>
      </c>
      <c r="H26" s="57">
        <f>0.25</f>
        <v>0.25</v>
      </c>
      <c r="I26" s="54">
        <f t="shared" ref="I26:J26" si="16">$H26</f>
        <v>0.25</v>
      </c>
      <c r="J26" s="54">
        <f t="shared" si="16"/>
        <v>0.25</v>
      </c>
      <c r="K26" s="54">
        <f t="shared" si="3"/>
        <v>0.008181230869</v>
      </c>
      <c r="L26" s="54">
        <v>1600.0</v>
      </c>
      <c r="M26" s="55">
        <v>3.0</v>
      </c>
    </row>
    <row r="27">
      <c r="A27" s="36" t="s">
        <v>571</v>
      </c>
      <c r="B27" s="36" t="str">
        <f t="shared" si="13"/>
        <v>Screwdriver</v>
      </c>
      <c r="C27" s="36" t="s">
        <v>563</v>
      </c>
      <c r="D27" s="36" t="s">
        <v>535</v>
      </c>
      <c r="E27" s="53">
        <f>1/(365*5)</f>
        <v>0.0005479452055</v>
      </c>
      <c r="F27" s="56">
        <v>0.25</v>
      </c>
      <c r="G27" s="54" t="s">
        <v>547</v>
      </c>
      <c r="H27" s="57">
        <f t="shared" ref="H27:I27" si="17">0.03</f>
        <v>0.03</v>
      </c>
      <c r="I27" s="57">
        <f t="shared" si="17"/>
        <v>0.03</v>
      </c>
      <c r="J27" s="54">
        <f>$H27</f>
        <v>0.03</v>
      </c>
      <c r="K27" s="54">
        <f t="shared" si="3"/>
        <v>0.00002120575041</v>
      </c>
      <c r="L27" s="53">
        <f t="shared" ref="L27:L28" si="18">$F27/$K27</f>
        <v>11789.25504</v>
      </c>
      <c r="M27" s="55">
        <v>0.7000000000000001</v>
      </c>
    </row>
    <row r="28">
      <c r="A28" s="36" t="s">
        <v>572</v>
      </c>
      <c r="B28" s="36" t="str">
        <f t="shared" si="13"/>
        <v>Scissors</v>
      </c>
      <c r="C28" s="36" t="s">
        <v>563</v>
      </c>
      <c r="D28" s="36" t="s">
        <v>535</v>
      </c>
      <c r="E28" s="53">
        <f>1/(365*4)</f>
        <v>0.0006849315068</v>
      </c>
      <c r="F28" s="56">
        <v>0.5</v>
      </c>
      <c r="G28" s="54" t="s">
        <v>573</v>
      </c>
      <c r="H28" s="57">
        <f>0.1</f>
        <v>0.1</v>
      </c>
      <c r="I28" s="56">
        <v>0.15</v>
      </c>
      <c r="J28" s="56">
        <v>0.2</v>
      </c>
      <c r="K28" s="54">
        <f t="shared" si="3"/>
        <v>0.0015</v>
      </c>
      <c r="L28" s="53">
        <f t="shared" si="18"/>
        <v>333.3333333</v>
      </c>
      <c r="M28" s="55">
        <v>0.5</v>
      </c>
    </row>
    <row r="29">
      <c r="A29" s="36" t="s">
        <v>574</v>
      </c>
      <c r="B29" s="36" t="str">
        <f t="shared" si="13"/>
        <v>Tuna</v>
      </c>
      <c r="C29" s="36" t="s">
        <v>575</v>
      </c>
      <c r="D29" s="36" t="s">
        <v>576</v>
      </c>
      <c r="E29" s="53">
        <f>0.25</f>
        <v>0.25</v>
      </c>
      <c r="F29" s="56">
        <v>20.0</v>
      </c>
      <c r="G29" s="54" t="s">
        <v>577</v>
      </c>
      <c r="H29" s="56">
        <v>0.3</v>
      </c>
      <c r="I29" s="56">
        <f>0.1</f>
        <v>0.1</v>
      </c>
      <c r="J29" s="56">
        <v>0.05</v>
      </c>
      <c r="K29" s="54">
        <f t="shared" si="3"/>
        <v>0.006283185307</v>
      </c>
      <c r="L29" s="53">
        <f t="shared" ref="L29:L32" si="19">$K29/$F29</f>
        <v>0.0003141592654</v>
      </c>
      <c r="M29" s="55">
        <v>0.8</v>
      </c>
    </row>
    <row r="30">
      <c r="A30" s="36" t="s">
        <v>578</v>
      </c>
      <c r="B30" s="36" t="str">
        <f t="shared" si="13"/>
        <v>Steak</v>
      </c>
      <c r="C30" s="36" t="s">
        <v>575</v>
      </c>
      <c r="D30" s="36" t="s">
        <v>576</v>
      </c>
      <c r="E30" s="53">
        <f>1/14</f>
        <v>0.07142857143</v>
      </c>
      <c r="F30" s="56">
        <v>3.0</v>
      </c>
      <c r="G30" s="54" t="s">
        <v>579</v>
      </c>
      <c r="H30" s="56">
        <v>0.2</v>
      </c>
      <c r="I30" s="56">
        <v>0.05</v>
      </c>
      <c r="J30" s="56">
        <v>0.2</v>
      </c>
      <c r="K30" s="54">
        <f t="shared" si="3"/>
        <v>0.006283185307</v>
      </c>
      <c r="L30" s="53">
        <f t="shared" si="19"/>
        <v>0.002094395102</v>
      </c>
      <c r="M30" s="55">
        <v>2.5</v>
      </c>
    </row>
    <row r="31">
      <c r="A31" s="36" t="s">
        <v>580</v>
      </c>
      <c r="B31" s="36" t="str">
        <f t="shared" si="13"/>
        <v>Sausage</v>
      </c>
      <c r="C31" s="36" t="s">
        <v>575</v>
      </c>
      <c r="D31" s="36" t="s">
        <v>576</v>
      </c>
      <c r="E31" s="53">
        <f>1/7</f>
        <v>0.1428571429</v>
      </c>
      <c r="F31" s="56">
        <v>0.5</v>
      </c>
      <c r="G31" s="54" t="s">
        <v>547</v>
      </c>
      <c r="H31" s="57">
        <f>0.025</f>
        <v>0.025</v>
      </c>
      <c r="I31" s="57">
        <f>0.125</f>
        <v>0.125</v>
      </c>
      <c r="J31" s="54">
        <f>$H31</f>
        <v>0.025</v>
      </c>
      <c r="K31" s="54">
        <f t="shared" si="3"/>
        <v>0.00006135923152</v>
      </c>
      <c r="L31" s="53">
        <f t="shared" si="19"/>
        <v>0.000122718463</v>
      </c>
      <c r="M31" s="55">
        <v>0.6000000000000001</v>
      </c>
    </row>
    <row r="32">
      <c r="A32" s="36" t="s">
        <v>581</v>
      </c>
      <c r="B32" s="36" t="str">
        <f t="shared" si="13"/>
        <v>Chicken</v>
      </c>
      <c r="C32" s="36" t="s">
        <v>575</v>
      </c>
      <c r="D32" s="36" t="s">
        <v>582</v>
      </c>
      <c r="E32" s="53">
        <f>1/4</f>
        <v>0.25</v>
      </c>
      <c r="F32" s="56">
        <v>1.5</v>
      </c>
      <c r="G32" s="54" t="s">
        <v>577</v>
      </c>
      <c r="H32" s="57">
        <f>0.15</f>
        <v>0.15</v>
      </c>
      <c r="I32" s="56">
        <v>0.125</v>
      </c>
      <c r="J32" s="56">
        <v>0.175</v>
      </c>
      <c r="K32" s="54">
        <f t="shared" si="3"/>
        <v>0.01374446786</v>
      </c>
      <c r="L32" s="53">
        <f t="shared" si="19"/>
        <v>0.009162978573</v>
      </c>
      <c r="M32" s="55">
        <v>0.6000000000000001</v>
      </c>
    </row>
    <row r="33">
      <c r="A33" s="36" t="s">
        <v>583</v>
      </c>
      <c r="B33" s="36" t="str">
        <f t="shared" si="13"/>
        <v>Shrimp</v>
      </c>
      <c r="C33" s="36" t="s">
        <v>575</v>
      </c>
      <c r="D33" s="36" t="s">
        <v>576</v>
      </c>
      <c r="E33" s="53">
        <f>1/12</f>
        <v>0.08333333333</v>
      </c>
      <c r="F33" s="57">
        <f t="shared" ref="F33:F35" si="20">$L33*$K33</f>
        <v>0</v>
      </c>
      <c r="G33" s="54" t="s">
        <v>577</v>
      </c>
      <c r="H33" s="56">
        <f>0.02</f>
        <v>0.02</v>
      </c>
      <c r="I33" s="56">
        <f>0.03</f>
        <v>0.03</v>
      </c>
      <c r="J33" s="56"/>
      <c r="K33" s="54">
        <f t="shared" si="3"/>
        <v>0</v>
      </c>
      <c r="L33" s="53">
        <f t="shared" ref="L33:L35" si="21">$L$32</f>
        <v>0.009162978573</v>
      </c>
      <c r="M33" s="55">
        <v>0.6000000000000001</v>
      </c>
    </row>
    <row r="34">
      <c r="A34" s="36" t="s">
        <v>584</v>
      </c>
      <c r="B34" s="36" t="str">
        <f t="shared" si="13"/>
        <v>Turkey</v>
      </c>
      <c r="C34" s="36" t="s">
        <v>575</v>
      </c>
      <c r="D34" s="36" t="s">
        <v>582</v>
      </c>
      <c r="E34" s="53">
        <f>1/4</f>
        <v>0.25</v>
      </c>
      <c r="F34" s="57">
        <f t="shared" si="20"/>
        <v>0.001813539809</v>
      </c>
      <c r="G34" s="54" t="s">
        <v>577</v>
      </c>
      <c r="H34" s="56">
        <f>0.35</f>
        <v>0.35</v>
      </c>
      <c r="I34" s="56">
        <f>0.3</f>
        <v>0.3</v>
      </c>
      <c r="J34" s="56">
        <v>0.45</v>
      </c>
      <c r="K34" s="54">
        <f t="shared" si="3"/>
        <v>0.1979203372</v>
      </c>
      <c r="L34" s="53">
        <f t="shared" si="21"/>
        <v>0.009162978573</v>
      </c>
      <c r="M34" s="55">
        <v>0.7000000000000001</v>
      </c>
    </row>
    <row r="35">
      <c r="A35" s="36" t="s">
        <v>585</v>
      </c>
      <c r="B35" s="36" t="str">
        <f t="shared" si="13"/>
        <v>Fish</v>
      </c>
      <c r="C35" s="36" t="s">
        <v>575</v>
      </c>
      <c r="D35" s="36" t="s">
        <v>576</v>
      </c>
      <c r="E35" s="53">
        <f>1/10</f>
        <v>0.1</v>
      </c>
      <c r="F35" s="57">
        <f t="shared" si="20"/>
        <v>0</v>
      </c>
      <c r="G35" s="54" t="s">
        <v>577</v>
      </c>
      <c r="H35" s="56">
        <f>0.2</f>
        <v>0.2</v>
      </c>
      <c r="I35" s="56">
        <f>0.05</f>
        <v>0.05</v>
      </c>
      <c r="J35" s="56"/>
      <c r="K35" s="54">
        <f t="shared" si="3"/>
        <v>0</v>
      </c>
      <c r="L35" s="53">
        <f t="shared" si="21"/>
        <v>0.009162978573</v>
      </c>
      <c r="M35" s="55">
        <v>0.6000000000000001</v>
      </c>
    </row>
    <row r="36">
      <c r="A36" s="36" t="s">
        <v>586</v>
      </c>
      <c r="B36" s="36" t="str">
        <f t="shared" si="13"/>
        <v>Milk</v>
      </c>
      <c r="C36" s="36" t="s">
        <v>575</v>
      </c>
      <c r="D36" s="36" t="s">
        <v>560</v>
      </c>
      <c r="E36" s="53">
        <f>1/5</f>
        <v>0.2</v>
      </c>
      <c r="F36" s="56">
        <v>50.0</v>
      </c>
      <c r="G36" s="54" t="s">
        <v>547</v>
      </c>
      <c r="H36" s="56">
        <v>0.1</v>
      </c>
      <c r="I36" s="56">
        <f>0.3</f>
        <v>0.3</v>
      </c>
      <c r="J36" s="54">
        <f>$H36</f>
        <v>0.1</v>
      </c>
      <c r="K36" s="54">
        <f t="shared" si="3"/>
        <v>0.00235619449</v>
      </c>
      <c r="L36" s="53">
        <f>$K36/$F36</f>
        <v>0.0000471238898</v>
      </c>
      <c r="M36" s="55">
        <v>30.0</v>
      </c>
    </row>
    <row r="37">
      <c r="A37" s="36" t="s">
        <v>587</v>
      </c>
      <c r="B37" s="36" t="str">
        <f t="shared" si="13"/>
        <v>Pants</v>
      </c>
      <c r="C37" s="36" t="s">
        <v>588</v>
      </c>
      <c r="D37" s="36" t="s">
        <v>535</v>
      </c>
      <c r="E37" s="53">
        <f>1/10</f>
        <v>0.1</v>
      </c>
      <c r="F37" s="57">
        <f>$L37*$K37</f>
        <v>0.91875</v>
      </c>
      <c r="G37" s="54" t="s">
        <v>535</v>
      </c>
      <c r="H37" s="57">
        <f>0.35</f>
        <v>0.35</v>
      </c>
      <c r="I37" s="56">
        <v>0.05</v>
      </c>
      <c r="J37" s="56">
        <v>0.35</v>
      </c>
      <c r="K37" s="54">
        <f t="shared" si="3"/>
        <v>0.006125</v>
      </c>
      <c r="L37" s="54">
        <v>150.0</v>
      </c>
      <c r="M37" s="55">
        <v>1.5</v>
      </c>
    </row>
    <row r="38">
      <c r="A38" s="36" t="s">
        <v>589</v>
      </c>
      <c r="B38" s="36" t="str">
        <f t="shared" si="13"/>
        <v>Necklace</v>
      </c>
      <c r="C38" s="36" t="s">
        <v>588</v>
      </c>
      <c r="D38" s="36" t="s">
        <v>535</v>
      </c>
      <c r="E38" s="53">
        <f>1/(365*2)</f>
        <v>0.001369863014</v>
      </c>
      <c r="F38" s="56">
        <v>0.05</v>
      </c>
      <c r="G38" s="54" t="s">
        <v>535</v>
      </c>
      <c r="H38" s="57">
        <f>0.05</f>
        <v>0.05</v>
      </c>
      <c r="I38" s="56">
        <v>0.03</v>
      </c>
      <c r="J38" s="56">
        <v>0.05</v>
      </c>
      <c r="K38" s="54">
        <f t="shared" si="3"/>
        <v>0.000075</v>
      </c>
      <c r="L38" s="53">
        <f>$F38/$K38</f>
        <v>666.6666667</v>
      </c>
      <c r="M38" s="55">
        <v>15.0</v>
      </c>
    </row>
    <row r="39">
      <c r="A39" s="36" t="s">
        <v>590</v>
      </c>
      <c r="B39" s="36" t="str">
        <f t="shared" si="13"/>
        <v>Shoe</v>
      </c>
      <c r="C39" s="36" t="s">
        <v>588</v>
      </c>
      <c r="D39" s="36" t="s">
        <v>535</v>
      </c>
      <c r="E39" s="53">
        <f>1/2</f>
        <v>0.5</v>
      </c>
      <c r="F39" s="56">
        <v>1.0</v>
      </c>
      <c r="G39" s="54" t="s">
        <v>535</v>
      </c>
      <c r="H39" s="57">
        <f>0.25</f>
        <v>0.25</v>
      </c>
      <c r="I39" s="56">
        <v>0.175</v>
      </c>
      <c r="J39" s="56">
        <v>0.15</v>
      </c>
      <c r="K39" s="54">
        <f t="shared" si="3"/>
        <v>0.0065625</v>
      </c>
      <c r="L39" s="53">
        <f>$K39/$F39</f>
        <v>0.0065625</v>
      </c>
      <c r="M39" s="55">
        <v>6.0</v>
      </c>
    </row>
    <row r="40">
      <c r="A40" s="36" t="s">
        <v>591</v>
      </c>
      <c r="B40" s="36" t="str">
        <f t="shared" si="13"/>
        <v>Shirt</v>
      </c>
      <c r="C40" s="36" t="s">
        <v>588</v>
      </c>
      <c r="D40" s="36" t="s">
        <v>535</v>
      </c>
      <c r="E40" s="53">
        <f>1/8</f>
        <v>0.125</v>
      </c>
      <c r="F40" s="57">
        <f t="shared" ref="F40:F41" si="22">$L40*$K40</f>
        <v>0.91875</v>
      </c>
      <c r="G40" s="54" t="s">
        <v>535</v>
      </c>
      <c r="H40" s="57">
        <f t="shared" ref="H40:H41" si="23">0.35</f>
        <v>0.35</v>
      </c>
      <c r="I40" s="56">
        <v>0.05</v>
      </c>
      <c r="J40" s="56">
        <v>0.35</v>
      </c>
      <c r="K40" s="54">
        <f t="shared" si="3"/>
        <v>0.006125</v>
      </c>
      <c r="L40" s="54">
        <v>150.0</v>
      </c>
      <c r="M40" s="55">
        <v>1.0</v>
      </c>
    </row>
    <row r="41">
      <c r="A41" s="36" t="s">
        <v>592</v>
      </c>
      <c r="B41" s="36" t="str">
        <f t="shared" si="13"/>
        <v>Dress</v>
      </c>
      <c r="C41" s="36" t="s">
        <v>588</v>
      </c>
      <c r="D41" s="36" t="s">
        <v>535</v>
      </c>
      <c r="E41" s="53">
        <f>1/6</f>
        <v>0.1666666667</v>
      </c>
      <c r="F41" s="57">
        <f t="shared" si="22"/>
        <v>0.91875</v>
      </c>
      <c r="G41" s="54" t="s">
        <v>535</v>
      </c>
      <c r="H41" s="57">
        <f t="shared" si="23"/>
        <v>0.35</v>
      </c>
      <c r="I41" s="56">
        <v>0.05</v>
      </c>
      <c r="J41" s="56">
        <v>0.35</v>
      </c>
      <c r="K41" s="54">
        <f t="shared" si="3"/>
        <v>0.006125</v>
      </c>
      <c r="L41" s="54">
        <v>150.0</v>
      </c>
      <c r="M41" s="55">
        <v>1.25</v>
      </c>
    </row>
    <row r="42">
      <c r="A42" s="36" t="s">
        <v>593</v>
      </c>
      <c r="B42" s="36" t="str">
        <f t="shared" si="13"/>
        <v>Strawberry</v>
      </c>
      <c r="C42" s="36" t="s">
        <v>575</v>
      </c>
      <c r="D42" s="36" t="s">
        <v>576</v>
      </c>
      <c r="E42" s="53">
        <f>1/7</f>
        <v>0.1428571429</v>
      </c>
      <c r="F42" s="56">
        <v>0.453592</v>
      </c>
      <c r="G42" s="54" t="s">
        <v>567</v>
      </c>
      <c r="H42" s="56">
        <v>0.05</v>
      </c>
      <c r="I42" s="54">
        <f t="shared" ref="I42:J42" si="24">$H42</f>
        <v>0.05</v>
      </c>
      <c r="J42" s="54">
        <f t="shared" si="24"/>
        <v>0.05</v>
      </c>
      <c r="K42" s="54">
        <f t="shared" si="3"/>
        <v>0.00006544984695</v>
      </c>
      <c r="L42" s="53">
        <f>$K42/$F42</f>
        <v>0.0001442923309</v>
      </c>
      <c r="M42" s="55">
        <v>376.0</v>
      </c>
    </row>
    <row r="43">
      <c r="A43" s="36" t="s">
        <v>594</v>
      </c>
      <c r="B43" s="36" t="str">
        <f t="shared" si="13"/>
        <v>Rice</v>
      </c>
      <c r="C43" s="36" t="s">
        <v>575</v>
      </c>
      <c r="D43" s="36" t="s">
        <v>570</v>
      </c>
      <c r="E43" s="53">
        <f>1/10</f>
        <v>0.1</v>
      </c>
      <c r="F43" s="56">
        <v>0.453592</v>
      </c>
      <c r="G43" s="54" t="s">
        <v>547</v>
      </c>
      <c r="H43" s="56">
        <v>0.005</v>
      </c>
      <c r="I43" s="56">
        <v>0.015</v>
      </c>
      <c r="J43" s="54">
        <f>$H43</f>
        <v>0.005</v>
      </c>
      <c r="K43" s="54">
        <f t="shared" si="3"/>
        <v>0.0000002945243113</v>
      </c>
      <c r="L43" s="53">
        <v>1.543234007654456</v>
      </c>
      <c r="M43" s="55">
        <v>260.0</v>
      </c>
    </row>
    <row r="44">
      <c r="A44" s="36" t="s">
        <v>595</v>
      </c>
      <c r="B44" s="36" t="str">
        <f t="shared" si="13"/>
        <v>Cherry</v>
      </c>
      <c r="C44" s="36" t="s">
        <v>575</v>
      </c>
      <c r="D44" s="36" t="s">
        <v>576</v>
      </c>
      <c r="E44" s="53">
        <f>1/2</f>
        <v>0.5</v>
      </c>
      <c r="F44" s="56">
        <v>0.453592</v>
      </c>
      <c r="G44" s="54" t="s">
        <v>567</v>
      </c>
      <c r="H44" s="56">
        <v>0.015</v>
      </c>
      <c r="I44" s="54">
        <f t="shared" ref="I44:J44" si="25">$H44</f>
        <v>0.015</v>
      </c>
      <c r="J44" s="54">
        <f t="shared" si="25"/>
        <v>0.015</v>
      </c>
      <c r="K44" s="54">
        <f t="shared" si="3"/>
        <v>0.000001767145868</v>
      </c>
      <c r="L44" s="53">
        <f t="shared" ref="L44:L55" si="26">$K44/$F44</f>
        <v>0.000003895892934</v>
      </c>
      <c r="M44" s="55">
        <v>376.0</v>
      </c>
    </row>
    <row r="45">
      <c r="A45" s="36" t="s">
        <v>596</v>
      </c>
      <c r="B45" s="36" t="str">
        <f t="shared" si="13"/>
        <v>Cheese</v>
      </c>
      <c r="C45" s="36" t="s">
        <v>575</v>
      </c>
      <c r="D45" s="36" t="s">
        <v>576</v>
      </c>
      <c r="E45" s="53">
        <f>1/8</f>
        <v>0.125</v>
      </c>
      <c r="F45" s="56">
        <v>0.453592</v>
      </c>
      <c r="G45" s="54" t="s">
        <v>547</v>
      </c>
      <c r="H45" s="56">
        <v>0.3</v>
      </c>
      <c r="I45" s="56">
        <v>0.1</v>
      </c>
      <c r="J45" s="54">
        <f>$H45</f>
        <v>0.3</v>
      </c>
      <c r="K45" s="54">
        <f t="shared" si="3"/>
        <v>0.007068583471</v>
      </c>
      <c r="L45" s="53">
        <f t="shared" si="26"/>
        <v>0.01558357174</v>
      </c>
      <c r="M45" s="55">
        <v>260.0</v>
      </c>
    </row>
    <row r="46">
      <c r="A46" s="36" t="s">
        <v>597</v>
      </c>
      <c r="B46" s="36" t="str">
        <f t="shared" si="13"/>
        <v>Pear</v>
      </c>
      <c r="C46" s="36" t="s">
        <v>575</v>
      </c>
      <c r="D46" s="36" t="s">
        <v>576</v>
      </c>
      <c r="E46" s="53">
        <f t="shared" ref="E46:E47" si="28">1/7</f>
        <v>0.1428571429</v>
      </c>
      <c r="F46" s="56">
        <v>0.453592</v>
      </c>
      <c r="G46" s="54" t="s">
        <v>567</v>
      </c>
      <c r="H46" s="56">
        <f t="shared" ref="H46:H47" si="29">0.075</f>
        <v>0.075</v>
      </c>
      <c r="I46" s="54">
        <f t="shared" ref="I46:J46" si="27">$H46</f>
        <v>0.075</v>
      </c>
      <c r="J46" s="54">
        <f t="shared" si="27"/>
        <v>0.075</v>
      </c>
      <c r="K46" s="54">
        <f t="shared" si="3"/>
        <v>0.0002208932335</v>
      </c>
      <c r="L46" s="53">
        <f t="shared" si="26"/>
        <v>0.0004869866167</v>
      </c>
      <c r="M46" s="55">
        <v>376.0</v>
      </c>
    </row>
    <row r="47">
      <c r="A47" s="36" t="s">
        <v>598</v>
      </c>
      <c r="B47" s="36" t="str">
        <f t="shared" si="13"/>
        <v>Tomato</v>
      </c>
      <c r="C47" s="36" t="s">
        <v>575</v>
      </c>
      <c r="D47" s="36" t="s">
        <v>576</v>
      </c>
      <c r="E47" s="53">
        <f t="shared" si="28"/>
        <v>0.1428571429</v>
      </c>
      <c r="F47" s="56">
        <v>0.453592</v>
      </c>
      <c r="G47" s="54" t="s">
        <v>567</v>
      </c>
      <c r="H47" s="56">
        <f t="shared" si="29"/>
        <v>0.075</v>
      </c>
      <c r="I47" s="54">
        <f t="shared" ref="I47:J47" si="30">$H47</f>
        <v>0.075</v>
      </c>
      <c r="J47" s="54">
        <f t="shared" si="30"/>
        <v>0.075</v>
      </c>
      <c r="K47" s="54">
        <f t="shared" si="3"/>
        <v>0.0002208932335</v>
      </c>
      <c r="L47" s="53">
        <f t="shared" si="26"/>
        <v>0.0004869866167</v>
      </c>
      <c r="M47" s="55">
        <v>376.0</v>
      </c>
    </row>
    <row r="48">
      <c r="A48" s="36" t="s">
        <v>599</v>
      </c>
      <c r="B48" s="36" t="str">
        <f t="shared" si="13"/>
        <v>Corn</v>
      </c>
      <c r="C48" s="36" t="s">
        <v>575</v>
      </c>
      <c r="D48" s="36" t="s">
        <v>570</v>
      </c>
      <c r="E48" s="53">
        <f>1/(365*0.5)</f>
        <v>0.005479452055</v>
      </c>
      <c r="F48" s="56">
        <f t="shared" ref="F48:F49" si="31">2*0.453592</f>
        <v>0.907184</v>
      </c>
      <c r="G48" s="54" t="s">
        <v>547</v>
      </c>
      <c r="H48" s="56">
        <v>0.04</v>
      </c>
      <c r="I48" s="56">
        <v>0.15</v>
      </c>
      <c r="J48" s="54">
        <f t="shared" ref="J48:J50" si="32">$H48</f>
        <v>0.04</v>
      </c>
      <c r="K48" s="54">
        <f t="shared" si="3"/>
        <v>0.0001884955592</v>
      </c>
      <c r="L48" s="53">
        <f t="shared" si="26"/>
        <v>0.0002077809565</v>
      </c>
      <c r="M48" s="55">
        <v>376.0</v>
      </c>
    </row>
    <row r="49">
      <c r="A49" s="36" t="s">
        <v>600</v>
      </c>
      <c r="B49" s="36" t="str">
        <f t="shared" si="13"/>
        <v>Wheat</v>
      </c>
      <c r="C49" s="36" t="s">
        <v>575</v>
      </c>
      <c r="D49" s="36" t="s">
        <v>570</v>
      </c>
      <c r="E49" s="53">
        <f>1/(365)</f>
        <v>0.002739726027</v>
      </c>
      <c r="F49" s="56">
        <f t="shared" si="31"/>
        <v>0.907184</v>
      </c>
      <c r="G49" s="54" t="s">
        <v>547</v>
      </c>
      <c r="H49" s="56">
        <f>0.35</f>
        <v>0.35</v>
      </c>
      <c r="I49" s="56">
        <f>1.5</f>
        <v>1.5</v>
      </c>
      <c r="J49" s="54">
        <f t="shared" si="32"/>
        <v>0.35</v>
      </c>
      <c r="K49" s="54">
        <f t="shared" si="3"/>
        <v>0.1443169125</v>
      </c>
      <c r="L49" s="53">
        <f t="shared" si="26"/>
        <v>0.1590822948</v>
      </c>
      <c r="M49" s="55">
        <v>200.0</v>
      </c>
    </row>
    <row r="50">
      <c r="A50" s="36" t="s">
        <v>601</v>
      </c>
      <c r="B50" s="36" t="str">
        <f t="shared" si="13"/>
        <v>Carrot</v>
      </c>
      <c r="C50" s="36" t="s">
        <v>575</v>
      </c>
      <c r="D50" s="36" t="s">
        <v>576</v>
      </c>
      <c r="E50" s="53">
        <f>1/(365*0.25)</f>
        <v>0.01095890411</v>
      </c>
      <c r="F50" s="56">
        <f>1*0.453592</f>
        <v>0.453592</v>
      </c>
      <c r="G50" s="54" t="s">
        <v>547</v>
      </c>
      <c r="H50" s="56">
        <f>0.02</f>
        <v>0.02</v>
      </c>
      <c r="I50" s="56">
        <f>0.12</f>
        <v>0.12</v>
      </c>
      <c r="J50" s="54">
        <f t="shared" si="32"/>
        <v>0.02</v>
      </c>
      <c r="K50" s="54">
        <f t="shared" si="3"/>
        <v>0.00003769911184</v>
      </c>
      <c r="L50" s="53">
        <f t="shared" si="26"/>
        <v>0.00008311238259</v>
      </c>
      <c r="M50" s="55">
        <v>376.0</v>
      </c>
    </row>
    <row r="51">
      <c r="A51" s="36" t="s">
        <v>602</v>
      </c>
      <c r="B51" s="36" t="str">
        <f t="shared" si="13"/>
        <v>Broccoli</v>
      </c>
      <c r="C51" s="36" t="s">
        <v>575</v>
      </c>
      <c r="D51" s="36" t="s">
        <v>576</v>
      </c>
      <c r="E51" s="53">
        <f>1/7</f>
        <v>0.1428571429</v>
      </c>
      <c r="F51" s="56">
        <v>0.453592</v>
      </c>
      <c r="G51" s="54" t="s">
        <v>567</v>
      </c>
      <c r="H51" s="56">
        <f>0.025</f>
        <v>0.025</v>
      </c>
      <c r="I51" s="54">
        <f t="shared" ref="I51:J51" si="33">$H51</f>
        <v>0.025</v>
      </c>
      <c r="J51" s="54">
        <f t="shared" si="33"/>
        <v>0.025</v>
      </c>
      <c r="K51" s="54">
        <f t="shared" si="3"/>
        <v>0.000008181230869</v>
      </c>
      <c r="L51" s="53">
        <f t="shared" si="26"/>
        <v>0.00001803654136</v>
      </c>
      <c r="M51" s="55">
        <v>376.0</v>
      </c>
    </row>
    <row r="52">
      <c r="A52" s="36" t="s">
        <v>296</v>
      </c>
      <c r="B52" s="36" t="str">
        <f t="shared" si="13"/>
        <v>Orange</v>
      </c>
      <c r="C52" s="36" t="s">
        <v>575</v>
      </c>
      <c r="D52" s="36" t="s">
        <v>576</v>
      </c>
      <c r="E52" s="53">
        <f>1/(365)</f>
        <v>0.002739726027</v>
      </c>
      <c r="F52" s="56">
        <f t="shared" ref="F52:F54" si="35">2*0.453592</f>
        <v>0.907184</v>
      </c>
      <c r="G52" s="54" t="s">
        <v>567</v>
      </c>
      <c r="H52" s="56">
        <f t="shared" ref="H52:H54" si="36">0.05</f>
        <v>0.05</v>
      </c>
      <c r="I52" s="54">
        <f t="shared" ref="I52:J52" si="34">$H52</f>
        <v>0.05</v>
      </c>
      <c r="J52" s="54">
        <f t="shared" si="34"/>
        <v>0.05</v>
      </c>
      <c r="K52" s="54">
        <f t="shared" si="3"/>
        <v>0.00006544984695</v>
      </c>
      <c r="L52" s="53">
        <f t="shared" si="26"/>
        <v>0.00007214616544</v>
      </c>
      <c r="M52" s="55">
        <v>376.0</v>
      </c>
    </row>
    <row r="53">
      <c r="A53" s="36" t="s">
        <v>603</v>
      </c>
      <c r="B53" s="36" t="str">
        <f t="shared" si="13"/>
        <v>Lemon</v>
      </c>
      <c r="C53" s="36" t="s">
        <v>575</v>
      </c>
      <c r="D53" s="36" t="s">
        <v>576</v>
      </c>
      <c r="E53" s="53">
        <f>1/(365*4)</f>
        <v>0.0006849315068</v>
      </c>
      <c r="F53" s="56">
        <f t="shared" si="35"/>
        <v>0.907184</v>
      </c>
      <c r="G53" s="54" t="s">
        <v>567</v>
      </c>
      <c r="H53" s="56">
        <f t="shared" si="36"/>
        <v>0.05</v>
      </c>
      <c r="I53" s="54">
        <f t="shared" ref="I53:J53" si="37">$H53</f>
        <v>0.05</v>
      </c>
      <c r="J53" s="54">
        <f t="shared" si="37"/>
        <v>0.05</v>
      </c>
      <c r="K53" s="54">
        <f t="shared" si="3"/>
        <v>0.00006544984695</v>
      </c>
      <c r="L53" s="53">
        <f t="shared" si="26"/>
        <v>0.00007214616544</v>
      </c>
      <c r="M53" s="55">
        <v>376.0</v>
      </c>
    </row>
    <row r="54">
      <c r="A54" s="36" t="s">
        <v>604</v>
      </c>
      <c r="B54" s="36" t="str">
        <f t="shared" si="13"/>
        <v>Apple</v>
      </c>
      <c r="C54" s="36" t="s">
        <v>575</v>
      </c>
      <c r="D54" s="36" t="s">
        <v>576</v>
      </c>
      <c r="E54" s="53">
        <f>1/(365*2)</f>
        <v>0.001369863014</v>
      </c>
      <c r="F54" s="56">
        <f t="shared" si="35"/>
        <v>0.907184</v>
      </c>
      <c r="G54" s="54" t="s">
        <v>567</v>
      </c>
      <c r="H54" s="56">
        <f t="shared" si="36"/>
        <v>0.05</v>
      </c>
      <c r="I54" s="54">
        <f t="shared" ref="I54:J54" si="38">$H54</f>
        <v>0.05</v>
      </c>
      <c r="J54" s="54">
        <f t="shared" si="38"/>
        <v>0.05</v>
      </c>
      <c r="K54" s="54">
        <f t="shared" si="3"/>
        <v>0.00006544984695</v>
      </c>
      <c r="L54" s="53">
        <f t="shared" si="26"/>
        <v>0.00007214616544</v>
      </c>
      <c r="M54" s="55">
        <v>376.0</v>
      </c>
    </row>
    <row r="55">
      <c r="A55" s="36" t="s">
        <v>605</v>
      </c>
      <c r="B55" s="36" t="str">
        <f t="shared" si="13"/>
        <v>Banana</v>
      </c>
      <c r="C55" s="36" t="s">
        <v>575</v>
      </c>
      <c r="D55" s="36" t="s">
        <v>576</v>
      </c>
      <c r="E55" s="53">
        <f>1/(365*26)</f>
        <v>0.000105374078</v>
      </c>
      <c r="F55" s="56">
        <f>1*0.453592</f>
        <v>0.453592</v>
      </c>
      <c r="G55" s="54" t="s">
        <v>547</v>
      </c>
      <c r="H55" s="56">
        <f>0.035</f>
        <v>0.035</v>
      </c>
      <c r="I55" s="56">
        <f>0.125</f>
        <v>0.125</v>
      </c>
      <c r="J55" s="54">
        <f>$H55</f>
        <v>0.035</v>
      </c>
      <c r="K55" s="54">
        <f t="shared" si="3"/>
        <v>0.0001202640938</v>
      </c>
      <c r="L55" s="53">
        <f t="shared" si="26"/>
        <v>0.000265137158</v>
      </c>
      <c r="M55" s="55">
        <v>376.0</v>
      </c>
    </row>
  </sheetData>
  <conditionalFormatting sqref="I2:I55">
    <cfRule type="expression" dxfId="5" priority="1">
      <formula>$G2:$G56 = "Ball"</formula>
    </cfRule>
  </conditionalFormatting>
  <conditionalFormatting sqref="J2:J55 I24:I26 I42 I44 I46:I47 I51:I54">
    <cfRule type="expression" dxfId="5" priority="2">
      <formula>OR($G$2:$G56 = "Cylinder", $G$2:$G56 = "Ball")</formula>
    </cfRule>
  </conditionalFormatting>
  <dataValidations>
    <dataValidation type="list" allowBlank="1" showErrorMessage="1" sqref="G2:G55">
      <formula1>"Cylinder,Box,Ball,Wedge,Ellipsoid,EllipticCylinder"</formula1>
    </dataValidation>
  </dataValidations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38"/>
    <col customWidth="1" min="2" max="2" width="13.75"/>
    <col customWidth="1" min="3" max="7" width="13.25"/>
  </cols>
  <sheetData>
    <row r="1">
      <c r="A1" s="1" t="s">
        <v>0</v>
      </c>
      <c r="B1" s="1" t="s">
        <v>606</v>
      </c>
      <c r="C1" s="1" t="s">
        <v>607</v>
      </c>
      <c r="D1" s="1" t="s">
        <v>608</v>
      </c>
      <c r="E1" s="1" t="s">
        <v>609</v>
      </c>
      <c r="F1" s="1" t="s">
        <v>610</v>
      </c>
      <c r="G1" s="1" t="s">
        <v>611</v>
      </c>
    </row>
    <row r="2">
      <c r="A2" s="58" t="str">
        <f t="array" ref="A2:A17">SUBSTITUTE($B$2:$B17, " ", "")&amp;"_"&amp;SUBSTITUTE($C$2:$C17, " ", "")</f>
        <v>BankofRoblox_Platinum</v>
      </c>
      <c r="B2" s="58" t="s">
        <v>612</v>
      </c>
      <c r="C2" s="58" t="s">
        <v>613</v>
      </c>
      <c r="D2" s="59">
        <v>24.0</v>
      </c>
      <c r="E2" s="60">
        <f>25*ROUND(AVERAGE(Infrastructure!$E$2:$E17),-4)</f>
        <v>1000000</v>
      </c>
      <c r="F2" s="61">
        <f>0.025</f>
        <v>0.025</v>
      </c>
      <c r="G2" s="60">
        <f t="shared" ref="G2:G17" si="1">$E2*0.1</f>
        <v>100000</v>
      </c>
    </row>
    <row r="3">
      <c r="A3" s="58" t="s">
        <v>614</v>
      </c>
      <c r="B3" s="58" t="s">
        <v>612</v>
      </c>
      <c r="C3" s="58" t="s">
        <v>550</v>
      </c>
      <c r="D3" s="62">
        <f t="shared" ref="D3:D5" si="2">$D$2</f>
        <v>24</v>
      </c>
      <c r="E3" s="60">
        <f>10*ROUND(AVERAGE(Infrastructure!$E$2:$E17),-4)</f>
        <v>400000</v>
      </c>
      <c r="F3" s="61">
        <f>0.05</f>
        <v>0.05</v>
      </c>
      <c r="G3" s="60">
        <f t="shared" si="1"/>
        <v>40000</v>
      </c>
    </row>
    <row r="4">
      <c r="A4" s="58" t="s">
        <v>615</v>
      </c>
      <c r="B4" s="58" t="s">
        <v>612</v>
      </c>
      <c r="C4" s="58" t="s">
        <v>553</v>
      </c>
      <c r="D4" s="62">
        <f t="shared" si="2"/>
        <v>24</v>
      </c>
      <c r="E4" s="60">
        <f>5*ROUND(AVERAGE(Infrastructure!$E$2:$E17),-3)</f>
        <v>175000</v>
      </c>
      <c r="F4" s="61">
        <f>0.1</f>
        <v>0.1</v>
      </c>
      <c r="G4" s="60">
        <f t="shared" si="1"/>
        <v>17500</v>
      </c>
    </row>
    <row r="5">
      <c r="A5" s="58" t="s">
        <v>616</v>
      </c>
      <c r="B5" s="58" t="s">
        <v>612</v>
      </c>
      <c r="C5" s="58" t="s">
        <v>617</v>
      </c>
      <c r="D5" s="62">
        <f t="shared" si="2"/>
        <v>24</v>
      </c>
      <c r="E5" s="60">
        <f>1*ROUND(AVERAGE(Infrastructure!$E$2:$E17),-3)</f>
        <v>35000</v>
      </c>
      <c r="F5" s="61">
        <f>0.15</f>
        <v>0.15</v>
      </c>
      <c r="G5" s="60">
        <f t="shared" si="1"/>
        <v>3500</v>
      </c>
    </row>
    <row r="6">
      <c r="A6" s="58" t="s">
        <v>618</v>
      </c>
      <c r="B6" s="58" t="s">
        <v>619</v>
      </c>
      <c r="C6" s="58" t="s">
        <v>613</v>
      </c>
      <c r="D6" s="59">
        <v>18.0</v>
      </c>
      <c r="E6" s="63">
        <f>ROUND($E2*1.05, -4)</f>
        <v>1050000</v>
      </c>
      <c r="F6" s="64">
        <f>$F$2</f>
        <v>0.025</v>
      </c>
      <c r="G6" s="63">
        <f t="shared" si="1"/>
        <v>105000</v>
      </c>
    </row>
    <row r="7">
      <c r="A7" s="58" t="s">
        <v>620</v>
      </c>
      <c r="B7" s="58" t="s">
        <v>619</v>
      </c>
      <c r="C7" s="58" t="s">
        <v>550</v>
      </c>
      <c r="D7" s="62">
        <f t="shared" ref="D7:D9" si="3">$D$6</f>
        <v>18</v>
      </c>
      <c r="E7" s="63">
        <f>ROUND($E3*1.05, -3)</f>
        <v>420000</v>
      </c>
      <c r="F7" s="64">
        <f>$F$3</f>
        <v>0.05</v>
      </c>
      <c r="G7" s="63">
        <f t="shared" si="1"/>
        <v>42000</v>
      </c>
    </row>
    <row r="8">
      <c r="A8" s="58" t="s">
        <v>621</v>
      </c>
      <c r="B8" s="58" t="s">
        <v>619</v>
      </c>
      <c r="C8" s="58" t="s">
        <v>553</v>
      </c>
      <c r="D8" s="62">
        <f t="shared" si="3"/>
        <v>18</v>
      </c>
      <c r="E8" s="63">
        <f t="shared" ref="E8:E9" si="4">ROUND($E4*1.05, -2)</f>
        <v>183800</v>
      </c>
      <c r="F8" s="64">
        <f>$F$4</f>
        <v>0.1</v>
      </c>
      <c r="G8" s="63">
        <f t="shared" si="1"/>
        <v>18380</v>
      </c>
    </row>
    <row r="9">
      <c r="A9" s="58" t="s">
        <v>622</v>
      </c>
      <c r="B9" s="58" t="s">
        <v>619</v>
      </c>
      <c r="C9" s="58" t="s">
        <v>617</v>
      </c>
      <c r="D9" s="62">
        <f t="shared" si="3"/>
        <v>18</v>
      </c>
      <c r="E9" s="63">
        <f t="shared" si="4"/>
        <v>36800</v>
      </c>
      <c r="F9" s="64">
        <f>$F$5</f>
        <v>0.15</v>
      </c>
      <c r="G9" s="63">
        <f t="shared" si="1"/>
        <v>3680</v>
      </c>
    </row>
    <row r="10">
      <c r="A10" s="58" t="s">
        <v>623</v>
      </c>
      <c r="B10" s="58" t="s">
        <v>624</v>
      </c>
      <c r="C10" s="58" t="s">
        <v>613</v>
      </c>
      <c r="D10" s="59">
        <v>12.0</v>
      </c>
      <c r="E10" s="63">
        <f>ROUND($E6*1.1, -4)</f>
        <v>1160000</v>
      </c>
      <c r="F10" s="64">
        <f>$F$2</f>
        <v>0.025</v>
      </c>
      <c r="G10" s="63">
        <f t="shared" si="1"/>
        <v>116000</v>
      </c>
    </row>
    <row r="11">
      <c r="A11" s="58" t="s">
        <v>625</v>
      </c>
      <c r="B11" s="58" t="s">
        <v>624</v>
      </c>
      <c r="C11" s="58" t="s">
        <v>550</v>
      </c>
      <c r="D11" s="62">
        <f t="shared" ref="D11:D13" si="5">$D$10</f>
        <v>12</v>
      </c>
      <c r="E11" s="63">
        <f>ROUND($E7*1.1, -3)</f>
        <v>462000</v>
      </c>
      <c r="F11" s="64">
        <f>$F$3</f>
        <v>0.05</v>
      </c>
      <c r="G11" s="63">
        <f t="shared" si="1"/>
        <v>46200</v>
      </c>
    </row>
    <row r="12">
      <c r="A12" s="58" t="s">
        <v>626</v>
      </c>
      <c r="B12" s="58" t="s">
        <v>624</v>
      </c>
      <c r="C12" s="58" t="s">
        <v>553</v>
      </c>
      <c r="D12" s="62">
        <f t="shared" si="5"/>
        <v>12</v>
      </c>
      <c r="E12" s="63">
        <f t="shared" ref="E12:E13" si="6">ROUND($E8*1.1, -2)</f>
        <v>202200</v>
      </c>
      <c r="F12" s="64">
        <f>$F$4</f>
        <v>0.1</v>
      </c>
      <c r="G12" s="63">
        <f t="shared" si="1"/>
        <v>20220</v>
      </c>
    </row>
    <row r="13">
      <c r="A13" s="58" t="s">
        <v>627</v>
      </c>
      <c r="B13" s="58" t="s">
        <v>624</v>
      </c>
      <c r="C13" s="58" t="s">
        <v>617</v>
      </c>
      <c r="D13" s="62">
        <f t="shared" si="5"/>
        <v>12</v>
      </c>
      <c r="E13" s="63">
        <f t="shared" si="6"/>
        <v>40500</v>
      </c>
      <c r="F13" s="64">
        <f>$F$5</f>
        <v>0.15</v>
      </c>
      <c r="G13" s="63">
        <f t="shared" si="1"/>
        <v>4050</v>
      </c>
    </row>
    <row r="14">
      <c r="A14" s="58" t="s">
        <v>628</v>
      </c>
      <c r="B14" s="58" t="s">
        <v>629</v>
      </c>
      <c r="C14" s="58" t="s">
        <v>613</v>
      </c>
      <c r="D14" s="59">
        <v>6.0</v>
      </c>
      <c r="E14" s="63">
        <f>ROUND($E10*1.15, -4)</f>
        <v>1330000</v>
      </c>
      <c r="F14" s="64">
        <f>$F$2</f>
        <v>0.025</v>
      </c>
      <c r="G14" s="63">
        <f t="shared" si="1"/>
        <v>133000</v>
      </c>
    </row>
    <row r="15">
      <c r="A15" s="58" t="s">
        <v>630</v>
      </c>
      <c r="B15" s="58" t="s">
        <v>629</v>
      </c>
      <c r="C15" s="58" t="s">
        <v>550</v>
      </c>
      <c r="D15" s="62">
        <f t="shared" ref="D15:D17" si="7">$D$14</f>
        <v>6</v>
      </c>
      <c r="E15" s="63">
        <f>ROUND($E11*1.15, -3)</f>
        <v>531000</v>
      </c>
      <c r="F15" s="64">
        <f>$F$3</f>
        <v>0.05</v>
      </c>
      <c r="G15" s="63">
        <f t="shared" si="1"/>
        <v>53100</v>
      </c>
    </row>
    <row r="16">
      <c r="A16" s="58" t="s">
        <v>631</v>
      </c>
      <c r="B16" s="58" t="s">
        <v>629</v>
      </c>
      <c r="C16" s="58" t="s">
        <v>553</v>
      </c>
      <c r="D16" s="62">
        <f t="shared" si="7"/>
        <v>6</v>
      </c>
      <c r="E16" s="63">
        <f t="shared" ref="E16:E17" si="8">ROUND($E12*1.15, -2)</f>
        <v>232500</v>
      </c>
      <c r="F16" s="64">
        <f>$F$4</f>
        <v>0.1</v>
      </c>
      <c r="G16" s="63">
        <f t="shared" si="1"/>
        <v>23250</v>
      </c>
    </row>
    <row r="17">
      <c r="A17" s="58" t="s">
        <v>632</v>
      </c>
      <c r="B17" s="58" t="s">
        <v>629</v>
      </c>
      <c r="C17" s="58" t="s">
        <v>617</v>
      </c>
      <c r="D17" s="62">
        <f t="shared" si="7"/>
        <v>6</v>
      </c>
      <c r="E17" s="63">
        <f t="shared" si="8"/>
        <v>46600</v>
      </c>
      <c r="F17" s="64">
        <f>$F$5</f>
        <v>0.15</v>
      </c>
      <c r="G17" s="63">
        <f t="shared" si="1"/>
        <v>4660</v>
      </c>
    </row>
  </sheetData>
  <drawing r:id="rId1"/>
  <tableParts count="1">
    <tablePart r:id="rId3"/>
  </tableParts>
</worksheet>
</file>