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ang_\Desktop\"/>
    </mc:Choice>
  </mc:AlternateContent>
  <xr:revisionPtr revIDLastSave="0" documentId="13_ncr:1_{D6FE93F3-6BEE-4745-844C-86F3E0CDE0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es" sheetId="8" r:id="rId1"/>
    <sheet name="STD-8" sheetId="2" r:id="rId2"/>
    <sheet name="6-phase Scheme" sheetId="3" r:id="rId3"/>
    <sheet name="4-phase Scheme" sheetId="5" r:id="rId4"/>
    <sheet name="Split Phasing (6 Phases)" sheetId="7" r:id="rId5"/>
    <sheet name="Split Phasing (4 Phases)" sheetId="6" r:id="rId6"/>
  </sheets>
  <definedNames>
    <definedName name="ActualVC_P1" localSheetId="2">'6-phase Scheme'!$O$16</definedName>
    <definedName name="ActualVC_P1" localSheetId="4">'Split Phasing (6 Phases)'!$O$16</definedName>
    <definedName name="ActualVC_P1">'STD-8'!$O$16</definedName>
    <definedName name="ActualVC_P1_6" localSheetId="3">'4-phase Scheme'!$O$17</definedName>
    <definedName name="ActualVC_P1_6" localSheetId="5">'Split Phasing (4 Phases)'!$O$17</definedName>
    <definedName name="ActualVC_P2" localSheetId="2">'6-phase Scheme'!$O$17</definedName>
    <definedName name="ActualVC_P2" localSheetId="4">'Split Phasing (6 Phases)'!$O$17</definedName>
    <definedName name="ActualVC_P2">'STD-8'!$O$17</definedName>
    <definedName name="ActualVC_P2_5" localSheetId="3">'4-phase Scheme'!$O$16</definedName>
    <definedName name="ActualVC_P2_5" localSheetId="5">'Split Phasing (4 Phases)'!$O$16</definedName>
    <definedName name="ActualVC_P3">'STD-8'!$O$18</definedName>
    <definedName name="ActualVC_P3_8" localSheetId="3">'4-phase Scheme'!$O$19</definedName>
    <definedName name="ActualVC_P3_8">'6-phase Scheme'!$O$21</definedName>
    <definedName name="ActualVC_P4">'STD-8'!$O$19</definedName>
    <definedName name="ActualVC_P4_7" localSheetId="3">'4-phase Scheme'!$O$18</definedName>
    <definedName name="ActualVC_P4_7">'6-phase Scheme'!$O$20</definedName>
    <definedName name="ActualVC_P5" localSheetId="2">'6-phase Scheme'!$O$18</definedName>
    <definedName name="ActualVC_P5" localSheetId="4">'Split Phasing (6 Phases)'!$O$18</definedName>
    <definedName name="ActualVC_P5">'STD-8'!$O$20</definedName>
    <definedName name="ActualVC_P6" localSheetId="2">'6-phase Scheme'!$O$19</definedName>
    <definedName name="ActualVC_P6" localSheetId="4">'Split Phasing (6 Phases)'!$O$19</definedName>
    <definedName name="ActualVC_P6">'STD-8'!$O$21</definedName>
    <definedName name="ActualVC_P7">'STD-8'!$O$22</definedName>
    <definedName name="ActualVC_P7_4" localSheetId="4">'Split Phasing (6 Phases)'!$O$20</definedName>
    <definedName name="ActualVC_P7_4">'Split Phasing (4 Phases)'!$O$18</definedName>
    <definedName name="ActualVC_P8">'STD-8'!$O$23</definedName>
    <definedName name="ActualVC_P8_3" localSheetId="4">'Split Phasing (6 Phases)'!$O$21</definedName>
    <definedName name="ActualVC_P8_3">'Split Phasing (4 Phases)'!$O$19</definedName>
    <definedName name="AR_P1" localSheetId="2">'6-phase Scheme'!$D$16</definedName>
    <definedName name="AR_P1" localSheetId="4">'Split Phasing (6 Phases)'!$D$16</definedName>
    <definedName name="AR_P1">'STD-8'!$D$16</definedName>
    <definedName name="AR_P1_6" localSheetId="5">'Split Phasing (4 Phases)'!$D$17</definedName>
    <definedName name="AR_P1_6">'4-phase Scheme'!$D$17</definedName>
    <definedName name="AR_P2" localSheetId="2">'6-phase Scheme'!$D$17</definedName>
    <definedName name="AR_P2" localSheetId="4">'Split Phasing (6 Phases)'!$D$17</definedName>
    <definedName name="AR_P2">'STD-8'!$D$17</definedName>
    <definedName name="AR_P2_5" localSheetId="5">'Split Phasing (4 Phases)'!$D$16</definedName>
    <definedName name="AR_P2_5">'4-phase Scheme'!$D$16</definedName>
    <definedName name="AR_P3">'STD-8'!$D$18</definedName>
    <definedName name="AR_P3_8" localSheetId="3">'4-phase Scheme'!$D$19</definedName>
    <definedName name="AR_P3_8">'6-phase Scheme'!$D$21</definedName>
    <definedName name="AR_P4">'STD-8'!$D$19</definedName>
    <definedName name="AR_P4_7" localSheetId="3">'4-phase Scheme'!$D$18</definedName>
    <definedName name="AR_P4_7">'6-phase Scheme'!$D$20</definedName>
    <definedName name="AR_P5" localSheetId="2">'6-phase Scheme'!$D$18</definedName>
    <definedName name="AR_P5" localSheetId="4">'Split Phasing (6 Phases)'!$D$18</definedName>
    <definedName name="AR_P5">'STD-8'!$D$20</definedName>
    <definedName name="AR_P6" localSheetId="2">'6-phase Scheme'!$D$19</definedName>
    <definedName name="AR_P6" localSheetId="4">'Split Phasing (6 Phases)'!$D$19</definedName>
    <definedName name="AR_P6">'STD-8'!$D$21</definedName>
    <definedName name="AR_P7">'STD-8'!$D$22</definedName>
    <definedName name="AR_P7_4" localSheetId="4">'Split Phasing (6 Phases)'!$D$20</definedName>
    <definedName name="AR_P7_4">'Split Phasing (4 Phases)'!$D$18</definedName>
    <definedName name="AR_P8">'STD-8'!$D$23</definedName>
    <definedName name="AR_P8_3" localSheetId="4">'Split Phasing (6 Phases)'!$D$21</definedName>
    <definedName name="AR_P8_3">'Split Phasing (4 Phases)'!$D$19</definedName>
    <definedName name="CLT_e" localSheetId="3">'4-phase Scheme'!$U$12</definedName>
    <definedName name="CLT_e" localSheetId="2">'6-phase Scheme'!$U$12</definedName>
    <definedName name="CLT_e" localSheetId="5">'Split Phasing (4 Phases)'!$U$12</definedName>
    <definedName name="CLT_e" localSheetId="4">'Split Phasing (6 Phases)'!$U$12</definedName>
    <definedName name="CLT_e">'STD-8'!$U$12</definedName>
    <definedName name="Cycle" localSheetId="3">'4-phase Scheme'!$J$11</definedName>
    <definedName name="Cycle" localSheetId="2">'6-phase Scheme'!$J$11</definedName>
    <definedName name="Cycle" localSheetId="5">'Split Phasing (4 Phases)'!$J$11</definedName>
    <definedName name="Cycle" localSheetId="4">'Split Phasing (6 Phases)'!$J$11</definedName>
    <definedName name="Cycle">'STD-8'!$J$11</definedName>
    <definedName name="ExpGreen_P1" localSheetId="2">'6-phase Scheme'!$L$16</definedName>
    <definedName name="ExpGreen_P1" localSheetId="4">'Split Phasing (6 Phases)'!$L$16</definedName>
    <definedName name="ExpGreen_P1">'STD-8'!$L$16</definedName>
    <definedName name="ExpGreen_P3">'STD-8'!$L$18</definedName>
    <definedName name="ExpGreen_P3_8" localSheetId="3">'4-phase Scheme'!$L$19</definedName>
    <definedName name="ExpGreen_P3_8">'6-phase Scheme'!$L$21</definedName>
    <definedName name="ExpGreen_P4">'STD-8'!$L$19</definedName>
    <definedName name="ExpGreen_P4_7" localSheetId="3">'4-phase Scheme'!$L$18</definedName>
    <definedName name="ExpGreen_P4_7">'6-phase Scheme'!$L$20</definedName>
    <definedName name="ExpGreen_P5" localSheetId="2">'6-phase Scheme'!$L$18</definedName>
    <definedName name="ExpGreen_P5" localSheetId="4">'Split Phasing (6 Phases)'!$L$18</definedName>
    <definedName name="ExpGreen_P5">'STD-8'!$L$20</definedName>
    <definedName name="ExpGreen_P7">'STD-8'!$L$22</definedName>
    <definedName name="ExpGreen_P7_4" localSheetId="4">'Split Phasing (6 Phases)'!$L$20</definedName>
    <definedName name="ExpGreen_P7_4">'Split Phasing (4 Phases)'!$L$18</definedName>
    <definedName name="ExpGreen_P8">'STD-8'!$L$23</definedName>
    <definedName name="ExpGreen_P8_3" localSheetId="4">'Split Phasing (6 Phases)'!$L$21</definedName>
    <definedName name="ExpGreen_P8_3">'Split Phasing (4 Phases)'!$L$19</definedName>
    <definedName name="ExpVC_P1" localSheetId="2">'6-phase Scheme'!$J$16</definedName>
    <definedName name="ExpVC_P1" localSheetId="4">'Split Phasing (6 Phases)'!$J$16</definedName>
    <definedName name="ExpVC_P1">'STD-8'!$J$16</definedName>
    <definedName name="ExpVC_P1_6" localSheetId="5">'Split Phasing (4 Phases)'!$J$17</definedName>
    <definedName name="ExpVC_P1_6">'4-phase Scheme'!$J$17</definedName>
    <definedName name="ExpVC_P2">'STD-8'!$J$17</definedName>
    <definedName name="ExpVC_P2_5" localSheetId="5">'Split Phasing (4 Phases)'!$J$16</definedName>
    <definedName name="ExpVC_P2_5">'4-phase Scheme'!$J$16</definedName>
    <definedName name="ExpVC_P3">'STD-8'!$J$18</definedName>
    <definedName name="ExpVC_P3_8" localSheetId="3">'4-phase Scheme'!$J$19</definedName>
    <definedName name="ExpVC_P3_8">'6-phase Scheme'!$J$21</definedName>
    <definedName name="ExpVC_P4">'STD-8'!$J$19</definedName>
    <definedName name="ExpVC_P4_7" localSheetId="3">'4-phase Scheme'!$J$18</definedName>
    <definedName name="ExpVC_P4_7">'6-phase Scheme'!$J$20</definedName>
    <definedName name="ExpVC_P5" localSheetId="2">'6-phase Scheme'!$J$18</definedName>
    <definedName name="ExpVC_P5" localSheetId="4">'Split Phasing (6 Phases)'!$J$18</definedName>
    <definedName name="ExpVC_P5">'STD-8'!$J$20</definedName>
    <definedName name="ExpVC_P6">'STD-8'!$J$21</definedName>
    <definedName name="ExpVC_P7">'STD-8'!$J$22</definedName>
    <definedName name="ExpVC_P7_4" localSheetId="4">'Split Phasing (6 Phases)'!$J$20</definedName>
    <definedName name="ExpVC_P7_4">'Split Phasing (4 Phases)'!$J$18</definedName>
    <definedName name="ExpVC_P8">'STD-8'!$J$23</definedName>
    <definedName name="ExpVC_P8_3" localSheetId="4">'Split Phasing (6 Phases)'!$J$21</definedName>
    <definedName name="ExpVC_P8_3">'Split Phasing (4 Phases)'!$J$19</definedName>
    <definedName name="FDW_P1_6" localSheetId="5">'Split Phasing (4 Phases)'!$G$17</definedName>
    <definedName name="FDW_P1_6">'4-phase Scheme'!$G$17</definedName>
    <definedName name="FDW_P2" localSheetId="2">'6-phase Scheme'!$G$17</definedName>
    <definedName name="FDW_P2" localSheetId="4">'Split Phasing (6 Phases)'!$G$17</definedName>
    <definedName name="FDW_P2">'STD-8'!$G$17</definedName>
    <definedName name="FDW_P2_5" localSheetId="5">'Split Phasing (4 Phases)'!$G$16</definedName>
    <definedName name="FDW_P2_5">'4-phase Scheme'!$G$16</definedName>
    <definedName name="FDW_P3_8" localSheetId="3">'4-phase Scheme'!$G$19</definedName>
    <definedName name="FDW_P3_8">'6-phase Scheme'!$G$21</definedName>
    <definedName name="FDW_P4">'STD-8'!$G$19</definedName>
    <definedName name="FDW_P4_7" localSheetId="3">'4-phase Scheme'!$G$18</definedName>
    <definedName name="FDW_P4_7">'6-phase Scheme'!$G$20</definedName>
    <definedName name="FDW_P6" localSheetId="2">'6-phase Scheme'!$G$19</definedName>
    <definedName name="FDW_P6" localSheetId="4">'Split Phasing (6 Phases)'!$G$19</definedName>
    <definedName name="FDW_P6">'STD-8'!$G$21</definedName>
    <definedName name="FDW_P7_4" localSheetId="4">'Split Phasing (6 Phases)'!$G$20</definedName>
    <definedName name="FDW_P7_4">'Split Phasing (4 Phases)'!$G$18</definedName>
    <definedName name="FDW_P8">'STD-8'!$G$23</definedName>
    <definedName name="FDW_P8_3" localSheetId="4">'Split Phasing (6 Phases)'!$G$21</definedName>
    <definedName name="FDW_P8_3">'Split Phasing (4 Phases)'!$G$19</definedName>
    <definedName name="LostTime" localSheetId="3">'4-phase Scheme'!$J$10</definedName>
    <definedName name="LostTime" localSheetId="2">'6-phase Scheme'!$J$10</definedName>
    <definedName name="LostTime" localSheetId="5">'Split Phasing (4 Phases)'!$J$10</definedName>
    <definedName name="LostTime" localSheetId="4">'Split Phasing (6 Phases)'!$J$10</definedName>
    <definedName name="LostTime">'STD-8'!$J$10</definedName>
    <definedName name="MinCycle" localSheetId="3">'4-phase Scheme'!$J$12</definedName>
    <definedName name="MinCycle" localSheetId="2">'6-phase Scheme'!$J$12</definedName>
    <definedName name="MinCycle" localSheetId="5">'Split Phasing (4 Phases)'!$J$12</definedName>
    <definedName name="MinCycle" localSheetId="4">'Split Phasing (6 Phases)'!$J$12</definedName>
    <definedName name="MinCycle">'STD-8'!$J$12</definedName>
    <definedName name="MinG_P1" localSheetId="2">'6-phase Scheme'!$E$16</definedName>
    <definedName name="MinG_P1" localSheetId="4">'Split Phasing (6 Phases)'!$E$16</definedName>
    <definedName name="MinG_P1">'STD-8'!$E$16</definedName>
    <definedName name="MinG_P1_6" localSheetId="5">'Split Phasing (4 Phases)'!$E$17</definedName>
    <definedName name="MinG_P1_6">'4-phase Scheme'!$E$17</definedName>
    <definedName name="MinG_P2" localSheetId="2">'6-phase Scheme'!$E$17</definedName>
    <definedName name="MinG_P2" localSheetId="4">'Split Phasing (6 Phases)'!$E$17</definedName>
    <definedName name="MinG_P2">'STD-8'!$E$17</definedName>
    <definedName name="MinG_P2_5" localSheetId="5">'Split Phasing (4 Phases)'!$E$16</definedName>
    <definedName name="MinG_P2_5">'4-phase Scheme'!$E$16</definedName>
    <definedName name="MinG_P3">'STD-8'!$E$18</definedName>
    <definedName name="MinG_P3_8" localSheetId="3">'4-phase Scheme'!$E$19</definedName>
    <definedName name="MinG_P3_8">'6-phase Scheme'!$E$21</definedName>
    <definedName name="MinG_P4">'STD-8'!$E$19</definedName>
    <definedName name="MinG_P4_7" localSheetId="3">'4-phase Scheme'!$E$18</definedName>
    <definedName name="MinG_P4_7">'6-phase Scheme'!$E$20</definedName>
    <definedName name="MinG_P5" localSheetId="2">'6-phase Scheme'!$E$18</definedName>
    <definedName name="MinG_P5" localSheetId="4">'Split Phasing (6 Phases)'!$E$18</definedName>
    <definedName name="MinG_P5">'STD-8'!$E$20</definedName>
    <definedName name="MinG_P6" localSheetId="2">'6-phase Scheme'!$E$19</definedName>
    <definedName name="MinG_P6" localSheetId="4">'Split Phasing (6 Phases)'!$E$19</definedName>
    <definedName name="MinG_P6">'STD-8'!$E$21</definedName>
    <definedName name="MinG_P7">'STD-8'!$E$22</definedName>
    <definedName name="MinG_P7_4" localSheetId="4">'Split Phasing (6 Phases)'!$E$20</definedName>
    <definedName name="MinG_P7_4">'Split Phasing (4 Phases)'!$E$18</definedName>
    <definedName name="MinG_P8">'STD-8'!$E$23</definedName>
    <definedName name="MinG_P8_3" localSheetId="4">'Split Phasing (6 Phases)'!$E$21</definedName>
    <definedName name="MinG_P8_3">'Split Phasing (4 Phases)'!$E$19</definedName>
    <definedName name="NoLane_P1" localSheetId="2">'6-phase Scheme'!$I$16</definedName>
    <definedName name="NoLane_P1" localSheetId="4">'Split Phasing (6 Phases)'!$I$16</definedName>
    <definedName name="NoLane_P1">'STD-8'!$I$16</definedName>
    <definedName name="NoLane_P1_6" localSheetId="5">'Split Phasing (4 Phases)'!$I$17</definedName>
    <definedName name="NoLane_P1_6">'4-phase Scheme'!$I$17</definedName>
    <definedName name="NoLane_P2" localSheetId="2">'6-phase Scheme'!$I$17</definedName>
    <definedName name="NoLane_P2" localSheetId="4">'Split Phasing (6 Phases)'!$I$17</definedName>
    <definedName name="NoLane_P2">'STD-8'!$I$17</definedName>
    <definedName name="NoLane_P2_5" localSheetId="5">'Split Phasing (4 Phases)'!$I$16</definedName>
    <definedName name="NoLane_P2_5">'4-phase Scheme'!$I$16</definedName>
    <definedName name="NoLane_P3">'STD-8'!$I$18</definedName>
    <definedName name="NoLane_P3_8" localSheetId="3">'4-phase Scheme'!$I$19</definedName>
    <definedName name="NoLane_P3_8">'6-phase Scheme'!$I$21</definedName>
    <definedName name="NoLane_P4">'STD-8'!$I$19</definedName>
    <definedName name="NoLane_P4_7" localSheetId="3">'4-phase Scheme'!$I$18</definedName>
    <definedName name="NoLane_P4_7">'6-phase Scheme'!$I$20</definedName>
    <definedName name="NoLane_P5" localSheetId="2">'6-phase Scheme'!$I$18</definedName>
    <definedName name="NoLane_P5" localSheetId="4">'Split Phasing (6 Phases)'!$I$18</definedName>
    <definedName name="NoLane_P5">'STD-8'!$I$20</definedName>
    <definedName name="NoLane_P6" localSheetId="2">'6-phase Scheme'!$I$19</definedName>
    <definedName name="NoLane_P6" localSheetId="4">'Split Phasing (6 Phases)'!$I$19</definedName>
    <definedName name="NoLane_P6">'STD-8'!$I$21</definedName>
    <definedName name="NoLane_P7">'STD-8'!$I$22</definedName>
    <definedName name="NoLane_P7_4" localSheetId="4">'Split Phasing (6 Phases)'!$I$20</definedName>
    <definedName name="NoLane_P7_4">'Split Phasing (4 Phases)'!$I$18</definedName>
    <definedName name="NoLane_P8">'STD-8'!$I$23</definedName>
    <definedName name="NoLane_P8_3" localSheetId="4">'Split Phasing (6 Phases)'!$I$21</definedName>
    <definedName name="NoLane_P8_3">'Split Phasing (4 Phases)'!$I$19</definedName>
    <definedName name="PedViolate_P3_8" localSheetId="3">'4-phase Scheme'!$H$19</definedName>
    <definedName name="PedViolate_P3_8">'6-phase Scheme'!$H$21</definedName>
    <definedName name="PedViolate_P4">'STD-8'!$H$19</definedName>
    <definedName name="PedViolate_P4_7" localSheetId="3">'4-phase Scheme'!$H$18</definedName>
    <definedName name="PedViolate_P4_7">'6-phase Scheme'!$H$20</definedName>
    <definedName name="PedViolate_P7_4" localSheetId="4">'Split Phasing (6 Phases)'!$H$20</definedName>
    <definedName name="PedViolate_P7_4">'Split Phasing (4 Phases)'!$H$18</definedName>
    <definedName name="PedViolate_P8">'STD-8'!$H$23</definedName>
    <definedName name="PedViolate_P8_3" localSheetId="4">'Split Phasing (6 Phases)'!$H$21</definedName>
    <definedName name="PedViolate_P8_3">'Split Phasing (4 Phases)'!$H$19</definedName>
    <definedName name="PT_P1" localSheetId="2">'6-phase Scheme'!$M$16</definedName>
    <definedName name="PT_P1" localSheetId="4">'Split Phasing (6 Phases)'!$M$16</definedName>
    <definedName name="PT_P1">'STD-8'!$M$16</definedName>
    <definedName name="PT_P1_6" localSheetId="3">'4-phase Scheme'!$M$17</definedName>
    <definedName name="PT_P1_6" localSheetId="5">'Split Phasing (4 Phases)'!$M$17</definedName>
    <definedName name="PT_P2" localSheetId="2">'6-phase Scheme'!$M$17</definedName>
    <definedName name="PT_P2" localSheetId="4">'Split Phasing (6 Phases)'!$M$17</definedName>
    <definedName name="PT_P2">'STD-8'!$M$17</definedName>
    <definedName name="PT_P2_5" localSheetId="3">'4-phase Scheme'!$M$16</definedName>
    <definedName name="PT_P2_5" localSheetId="5">'Split Phasing (4 Phases)'!$M$16</definedName>
    <definedName name="PT_P3">'STD-8'!$M$18</definedName>
    <definedName name="PT_P3_8" localSheetId="3">'4-phase Scheme'!$M$19</definedName>
    <definedName name="PT_P3_8">'6-phase Scheme'!$M$21</definedName>
    <definedName name="PT_P4">'STD-8'!$M$19</definedName>
    <definedName name="PT_P4_7" localSheetId="3">'4-phase Scheme'!$M$18</definedName>
    <definedName name="PT_P4_7">'6-phase Scheme'!$M$20</definedName>
    <definedName name="PT_P5" localSheetId="2">'6-phase Scheme'!$M$18</definedName>
    <definedName name="PT_P5" localSheetId="4">'Split Phasing (6 Phases)'!$M$18</definedName>
    <definedName name="PT_P5">'STD-8'!$M$20</definedName>
    <definedName name="PT_P6" localSheetId="2">'6-phase Scheme'!$M$19</definedName>
    <definedName name="PT_P6" localSheetId="4">'Split Phasing (6 Phases)'!$M$19</definedName>
    <definedName name="PT_P6">'STD-8'!$M$21</definedName>
    <definedName name="PT_P7">'STD-8'!$M$22</definedName>
    <definedName name="PT_P7_3" localSheetId="4">'Split Phasing (6 Phases)'!$M$20</definedName>
    <definedName name="PT_P7_4">'Split Phasing (4 Phases)'!$M$18</definedName>
    <definedName name="PT_P8">'STD-8'!$M$23</definedName>
    <definedName name="PT_P8_3" localSheetId="4">'Split Phasing (6 Phases)'!$M$21</definedName>
    <definedName name="PT_P8_3">'Split Phasing (4 Phases)'!$M$19</definedName>
    <definedName name="SFR_LT" localSheetId="2">'6-phase Scheme'!$U$10</definedName>
    <definedName name="SFR_LT" localSheetId="4">'Split Phasing (6 Phases)'!$U$10</definedName>
    <definedName name="SFR_LT">'STD-8'!$U$10</definedName>
    <definedName name="SFR_ThrTL" localSheetId="3">'4-phase Scheme'!$U$10</definedName>
    <definedName name="SFR_ThrTL" localSheetId="2">'6-phase Scheme'!$U$8</definedName>
    <definedName name="SFR_ThrTL" localSheetId="5">'Split Phasing (4 Phases)'!$U$10</definedName>
    <definedName name="SFR_ThrTL" localSheetId="4">'Split Phasing (6 Phases)'!$U$8</definedName>
    <definedName name="SFR_Thru" localSheetId="2">'6-phase Scheme'!$U$9</definedName>
    <definedName name="SFR_Thru" localSheetId="4">'Split Phasing (6 Phases)'!$U$9</definedName>
    <definedName name="SFR_Thru">'STD-8'!$U$9</definedName>
    <definedName name="SLT" localSheetId="2">'6-phase Scheme'!$U$11</definedName>
    <definedName name="SLT">'STD-8'!$U$11</definedName>
    <definedName name="Split_P1" localSheetId="2">'6-phase Scheme'!$P$6</definedName>
    <definedName name="Split_P1" localSheetId="4">'Split Phasing (6 Phases)'!$P$6</definedName>
    <definedName name="Split_P1">'STD-8'!$P$6</definedName>
    <definedName name="Split_P2" localSheetId="2">'6-phase Scheme'!$M$8</definedName>
    <definedName name="Split_P2" localSheetId="4">'Split Phasing (6 Phases)'!$M$8</definedName>
    <definedName name="Split_P2">'STD-8'!$M$8</definedName>
    <definedName name="Split_P3">'STD-8'!$N$4</definedName>
    <definedName name="Split_P4">'STD-8'!$P$9</definedName>
    <definedName name="Split_P5" localSheetId="2">'6-phase Scheme'!$M$7</definedName>
    <definedName name="Split_P5" localSheetId="4">'Split Phasing (6 Phases)'!$M$7</definedName>
    <definedName name="Split_P5">'STD-8'!$M$7</definedName>
    <definedName name="Split_P6" localSheetId="2">'6-phase Scheme'!$P$5</definedName>
    <definedName name="Split_P6" localSheetId="4">'Split Phasing (6 Phases)'!$P$5</definedName>
    <definedName name="Split_P6">'STD-8'!$P$5</definedName>
    <definedName name="Split_P7" localSheetId="2">'6-phase Scheme'!$O$9</definedName>
    <definedName name="Split_P7" localSheetId="4">'Split Phasing (6 Phases)'!$O$9</definedName>
    <definedName name="Split_P7">'STD-8'!$O$9</definedName>
    <definedName name="Split_P8" localSheetId="2">'6-phase Scheme'!$M$4</definedName>
    <definedName name="Split_P8" localSheetId="4">'Split Phasing (6 Phases)'!$M$4</definedName>
    <definedName name="Split_P8">'STD-8'!$M$4</definedName>
    <definedName name="STL" localSheetId="3">'4-phase Scheme'!$U$11</definedName>
    <definedName name="STL" localSheetId="5">'Split Phasing (4 Phases)'!$U$11</definedName>
    <definedName name="STL" localSheetId="4">'Split Phasing (6 Phases)'!$U$11</definedName>
    <definedName name="Verify_P1_6" localSheetId="5">'Split Phasing (4 Phases)'!$P$17</definedName>
    <definedName name="Verify_P1_6">'4-phase Scheme'!$P$17</definedName>
    <definedName name="Verify_P2" localSheetId="2">'6-phase Scheme'!$P$17</definedName>
    <definedName name="Verify_P2" localSheetId="4">'Split Phasing (6 Phases)'!$P$17</definedName>
    <definedName name="Verify_P2">'STD-8'!$P$17</definedName>
    <definedName name="Verify_P2_5" localSheetId="5">'Split Phasing (4 Phases)'!$P$16</definedName>
    <definedName name="Verify_P2_5">'4-phase Scheme'!$P$16</definedName>
    <definedName name="Verify_P6" localSheetId="2">'6-phase Scheme'!$P$19</definedName>
    <definedName name="Verify_P6" localSheetId="4">'Split Phasing (6 Phases)'!$P$19</definedName>
    <definedName name="Verify_P6">'STD-8'!$P$21</definedName>
    <definedName name="Volume_P1" localSheetId="2">'6-phase Scheme'!$G$6</definedName>
    <definedName name="Volume_P1" localSheetId="4">'Split Phasing (6 Phases)'!$G$6</definedName>
    <definedName name="Volume_P1" comment="traffic volume for Phase 1 (vph)">'STD-8'!$G$6</definedName>
    <definedName name="Volume_P1_6" localSheetId="5">'Split Phasing (4 Phases)'!$G$5</definedName>
    <definedName name="Volume_P1_6">'4-phase Scheme'!$G$5</definedName>
    <definedName name="Volume_P2" localSheetId="2">'6-phase Scheme'!$D$8</definedName>
    <definedName name="Volume_P2" localSheetId="4">'Split Phasing (6 Phases)'!$D$8</definedName>
    <definedName name="Volume_P2" comment="traffic volume for Phase 2 (vph)">'STD-8'!$D$8</definedName>
    <definedName name="Volume_P2_5" localSheetId="5">'Split Phasing (4 Phases)'!$D$7</definedName>
    <definedName name="Volume_P2_5">'4-phase Scheme'!$D$7</definedName>
    <definedName name="Volume_P3" comment="traffic volume for Phase 3 (vph)">'STD-8'!$E$4</definedName>
    <definedName name="Volume_P3_8" localSheetId="3">'4-phase Scheme'!$D$4</definedName>
    <definedName name="Volume_P3_8">'6-phase Scheme'!$D$4</definedName>
    <definedName name="Volume_P4">'STD-8'!$G$9</definedName>
    <definedName name="Volume_P4_7" localSheetId="3">'4-phase Scheme'!$F$9</definedName>
    <definedName name="Volume_P4_7">'6-phase Scheme'!$F$9</definedName>
    <definedName name="Volume_P5" localSheetId="2">'6-phase Scheme'!$D$7</definedName>
    <definedName name="Volume_P5" localSheetId="4">'Split Phasing (6 Phases)'!$D$7</definedName>
    <definedName name="Volume_P5">'STD-8'!$D$7</definedName>
    <definedName name="Volume_P6" localSheetId="2">'6-phase Scheme'!$G$5</definedName>
    <definedName name="Volume_P6" localSheetId="4">'Split Phasing (6 Phases)'!$G$5</definedName>
    <definedName name="Volume_P6">'STD-8'!$G$5</definedName>
    <definedName name="Volume_P7">'STD-8'!$F$9</definedName>
    <definedName name="Volume_P7_4" localSheetId="4">'Split Phasing (6 Phases)'!$F$9</definedName>
    <definedName name="Volume_P7_4">'Split Phasing (4 Phases)'!$F$9</definedName>
    <definedName name="Volume_P8">'STD-8'!$D$4</definedName>
    <definedName name="Volume_P8_3" localSheetId="4">'Split Phasing (6 Phases)'!$D$4</definedName>
    <definedName name="Volume_P8_3">'Split Phasing (4 Phases)'!$D$4</definedName>
    <definedName name="Walk_P1_6" localSheetId="5">'Split Phasing (4 Phases)'!$F$17</definedName>
    <definedName name="Walk_P1_6">'4-phase Scheme'!$F$17</definedName>
    <definedName name="Walk_P2" localSheetId="2">'6-phase Scheme'!$F$17</definedName>
    <definedName name="Walk_P2" localSheetId="4">'Split Phasing (6 Phases)'!$F$17</definedName>
    <definedName name="Walk_P2">'STD-8'!$F$17</definedName>
    <definedName name="Walk_P2_5" localSheetId="5">'Split Phasing (4 Phases)'!$F$16</definedName>
    <definedName name="Walk_P2_5">'4-phase Scheme'!$F$16</definedName>
    <definedName name="Walk_P3_8" localSheetId="3">'4-phase Scheme'!$F$19</definedName>
    <definedName name="Walk_P3_8">'6-phase Scheme'!$F$21</definedName>
    <definedName name="Walk_P4">'STD-8'!$F$19</definedName>
    <definedName name="Walk_P4_7" localSheetId="3">'4-phase Scheme'!$F$18</definedName>
    <definedName name="Walk_P4_7">'6-phase Scheme'!$F$20</definedName>
    <definedName name="Walk_P6" localSheetId="2">'6-phase Scheme'!$F$19</definedName>
    <definedName name="Walk_P6" localSheetId="4">'Split Phasing (6 Phases)'!$F$19</definedName>
    <definedName name="Walk_P6">'STD-8'!$F$21</definedName>
    <definedName name="Walk_P7_4" localSheetId="4">'Split Phasing (6 Phases)'!$F$20</definedName>
    <definedName name="Walk_P7_4">'Split Phasing (4 Phases)'!$F$18</definedName>
    <definedName name="Walk_P8">'STD-8'!$F$23</definedName>
    <definedName name="Walk_P8_3" localSheetId="4">'Split Phasing (6 Phases)'!$F$21</definedName>
    <definedName name="Walk_P8_3">'Split Phasing (4 Phases)'!$F$19</definedName>
    <definedName name="Y_P1" localSheetId="2">'6-phase Scheme'!$C$16</definedName>
    <definedName name="Y_P1" localSheetId="4">'Split Phasing (6 Phases)'!$C$16</definedName>
    <definedName name="Y_P1">'STD-8'!$C$16</definedName>
    <definedName name="Y_P1_6" localSheetId="5">'Split Phasing (4 Phases)'!$C$17</definedName>
    <definedName name="Y_P1_6">'4-phase Scheme'!$C$17</definedName>
    <definedName name="Y_P2" localSheetId="2">'6-phase Scheme'!$C$17</definedName>
    <definedName name="Y_P2" localSheetId="4">'Split Phasing (6 Phases)'!$C$17</definedName>
    <definedName name="Y_P2">'STD-8'!$C$17</definedName>
    <definedName name="Y_P2_5" localSheetId="5">'Split Phasing (4 Phases)'!$C$16</definedName>
    <definedName name="Y_P2_5">'4-phase Scheme'!$C$16</definedName>
    <definedName name="Y_P3">'STD-8'!$C$18</definedName>
    <definedName name="Y_P3_8" localSheetId="3">'4-phase Scheme'!$C$19</definedName>
    <definedName name="Y_P3_8">'6-phase Scheme'!$C$21</definedName>
    <definedName name="Y_P4">'STD-8'!$C$19</definedName>
    <definedName name="Y_P4_7" localSheetId="3">'4-phase Scheme'!$C$18</definedName>
    <definedName name="Y_P4_7">'6-phase Scheme'!$C$20</definedName>
    <definedName name="Y_P5" localSheetId="2">'6-phase Scheme'!$C$18</definedName>
    <definedName name="Y_P5" localSheetId="4">'Split Phasing (6 Phases)'!$C$18</definedName>
    <definedName name="Y_P5">'STD-8'!$C$20</definedName>
    <definedName name="Y_P6" localSheetId="2">'6-phase Scheme'!$C$19</definedName>
    <definedName name="Y_P6" localSheetId="4">'Split Phasing (6 Phases)'!$C$19</definedName>
    <definedName name="Y_P6">'STD-8'!$C$21</definedName>
    <definedName name="Y_P7">'STD-8'!$C$22</definedName>
    <definedName name="Y_P7_4" localSheetId="4">'Split Phasing (6 Phases)'!$C$20</definedName>
    <definedName name="Y_P7_4">'Split Phasing (4 Phases)'!$C$18</definedName>
    <definedName name="Y_P8">'STD-8'!$C$23</definedName>
    <definedName name="Y_P8_3" localSheetId="4">'Split Phasing (6 Phases)'!$C$21</definedName>
    <definedName name="Y_P8_3">'Split Phasing (4 Phases)'!$C$19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J10" i="7"/>
  <c r="J12" i="7" s="1"/>
  <c r="J10" i="6"/>
  <c r="J12" i="6" s="1"/>
  <c r="J10" i="5"/>
  <c r="J12" i="5" s="1"/>
  <c r="J10" i="3"/>
  <c r="J12" i="3" s="1"/>
  <c r="J10" i="2"/>
  <c r="J12" i="2" s="1"/>
  <c r="L21" i="7"/>
  <c r="B21" i="7"/>
  <c r="L20" i="7"/>
  <c r="M20" i="7" s="1"/>
  <c r="B20" i="7"/>
  <c r="B19" i="7"/>
  <c r="L18" i="7"/>
  <c r="M18" i="7" s="1"/>
  <c r="N18" i="7" s="1"/>
  <c r="B18" i="7"/>
  <c r="B17" i="7"/>
  <c r="L16" i="7"/>
  <c r="M16" i="7" s="1"/>
  <c r="B16" i="7"/>
  <c r="O10" i="7"/>
  <c r="L8" i="7"/>
  <c r="L7" i="7"/>
  <c r="Q6" i="7"/>
  <c r="Q5" i="7"/>
  <c r="M3" i="7"/>
  <c r="L19" i="6"/>
  <c r="M17" i="6" s="1"/>
  <c r="N17" i="6" s="1"/>
  <c r="L18" i="6"/>
  <c r="M18" i="6" s="1"/>
  <c r="B19" i="6"/>
  <c r="B18" i="6"/>
  <c r="B17" i="6"/>
  <c r="B16" i="6"/>
  <c r="O10" i="6"/>
  <c r="L7" i="6"/>
  <c r="Q5" i="6"/>
  <c r="M3" i="6"/>
  <c r="L19" i="5"/>
  <c r="B19" i="5"/>
  <c r="L18" i="5"/>
  <c r="B18" i="5"/>
  <c r="B17" i="5"/>
  <c r="B16" i="5"/>
  <c r="O10" i="5"/>
  <c r="L7" i="5"/>
  <c r="Q5" i="5"/>
  <c r="M3" i="5"/>
  <c r="L21" i="3"/>
  <c r="L20" i="3"/>
  <c r="L18" i="3"/>
  <c r="M18" i="3" s="1"/>
  <c r="N18" i="3" s="1"/>
  <c r="L20" i="2"/>
  <c r="M20" i="2" s="1"/>
  <c r="N20" i="2" s="1"/>
  <c r="B21" i="3"/>
  <c r="B20" i="3"/>
  <c r="B19" i="3"/>
  <c r="B18" i="3"/>
  <c r="B17" i="3"/>
  <c r="L16" i="3"/>
  <c r="M16" i="3" s="1"/>
  <c r="N16" i="3" s="1"/>
  <c r="B16" i="3"/>
  <c r="O10" i="3"/>
  <c r="L8" i="3"/>
  <c r="L7" i="3"/>
  <c r="Q6" i="3"/>
  <c r="Q5" i="3"/>
  <c r="M3" i="3"/>
  <c r="L23" i="2"/>
  <c r="L19" i="2"/>
  <c r="L18" i="2"/>
  <c r="L16" i="2"/>
  <c r="M16" i="2" s="1"/>
  <c r="N16" i="2" s="1"/>
  <c r="M3" i="2"/>
  <c r="N3" i="2"/>
  <c r="Q5" i="2"/>
  <c r="Q6" i="2"/>
  <c r="L7" i="2"/>
  <c r="L8" i="2"/>
  <c r="O10" i="2"/>
  <c r="P10" i="2"/>
  <c r="B16" i="2"/>
  <c r="B17" i="2"/>
  <c r="B18" i="2"/>
  <c r="B19" i="2"/>
  <c r="B20" i="2"/>
  <c r="B21" i="2"/>
  <c r="B22" i="2"/>
  <c r="B23" i="2"/>
  <c r="M17" i="5" l="1"/>
  <c r="N17" i="5" s="1"/>
  <c r="M19" i="5"/>
  <c r="N19" i="5" s="1"/>
  <c r="M23" i="2"/>
  <c r="N23" i="2" s="1"/>
  <c r="N20" i="7"/>
  <c r="N18" i="6"/>
  <c r="M19" i="6"/>
  <c r="N19" i="6" s="1"/>
  <c r="M16" i="5"/>
  <c r="N16" i="5" s="1"/>
  <c r="O16" i="5" s="1"/>
  <c r="P16" i="5" s="1"/>
  <c r="M18" i="5"/>
  <c r="N18" i="5" s="1"/>
  <c r="O18" i="5" s="1"/>
  <c r="M16" i="6"/>
  <c r="N16" i="6" s="1"/>
  <c r="M17" i="7"/>
  <c r="N17" i="7" s="1"/>
  <c r="N16" i="7"/>
  <c r="O16" i="7" s="1"/>
  <c r="M19" i="7"/>
  <c r="N19" i="7" s="1"/>
  <c r="O19" i="7" s="1"/>
  <c r="P19" i="7" s="1"/>
  <c r="O18" i="7"/>
  <c r="M21" i="7"/>
  <c r="M17" i="3"/>
  <c r="N17" i="3" s="1"/>
  <c r="M20" i="3"/>
  <c r="N20" i="3" s="1"/>
  <c r="O20" i="3" s="1"/>
  <c r="M21" i="3"/>
  <c r="N21" i="3" s="1"/>
  <c r="O21" i="3" s="1"/>
  <c r="M19" i="3"/>
  <c r="N19" i="3" s="1"/>
  <c r="O20" i="2"/>
  <c r="M22" i="2"/>
  <c r="N22" i="2" s="1"/>
  <c r="M18" i="2"/>
  <c r="M19" i="2"/>
  <c r="N19" i="2" s="1"/>
  <c r="M17" i="2"/>
  <c r="N17" i="2" s="1"/>
  <c r="M21" i="2"/>
  <c r="N21" i="2" s="1"/>
  <c r="O16" i="2"/>
  <c r="O20" i="7"/>
  <c r="T17" i="6"/>
  <c r="O18" i="6"/>
  <c r="O19" i="6"/>
  <c r="O18" i="3"/>
  <c r="O16" i="3"/>
  <c r="T17" i="5" l="1"/>
  <c r="T19" i="7"/>
  <c r="N21" i="7"/>
  <c r="O21" i="7" s="1"/>
  <c r="P21" i="7"/>
  <c r="N18" i="2"/>
  <c r="O18" i="2" s="1"/>
  <c r="T17" i="7"/>
  <c r="O17" i="7"/>
  <c r="P17" i="7" s="1"/>
  <c r="M7" i="5"/>
  <c r="O17" i="6"/>
  <c r="P17" i="6" s="1"/>
  <c r="P5" i="6" s="1"/>
  <c r="P19" i="6"/>
  <c r="T16" i="6"/>
  <c r="O16" i="6"/>
  <c r="P16" i="6" s="1"/>
  <c r="T16" i="5"/>
  <c r="O19" i="5"/>
  <c r="O17" i="5"/>
  <c r="P17" i="5" s="1"/>
  <c r="P5" i="5" s="1"/>
  <c r="P19" i="5"/>
  <c r="O17" i="3"/>
  <c r="P17" i="3" s="1"/>
  <c r="T17" i="3"/>
  <c r="O19" i="3"/>
  <c r="P19" i="3" s="1"/>
  <c r="T19" i="3"/>
  <c r="O21" i="2"/>
  <c r="P21" i="2" s="1"/>
  <c r="T21" i="2"/>
  <c r="O17" i="2"/>
  <c r="P17" i="2" s="1"/>
  <c r="T17" i="2"/>
  <c r="P21" i="3"/>
  <c r="O23" i="2"/>
  <c r="O22" i="2"/>
  <c r="P19" i="2"/>
  <c r="O19" i="2"/>
  <c r="M4" i="5" l="1"/>
  <c r="O9" i="5"/>
  <c r="P6" i="7"/>
  <c r="P5" i="7"/>
  <c r="M4" i="7"/>
  <c r="M7" i="7"/>
  <c r="O9" i="7"/>
  <c r="M8" i="7"/>
  <c r="M7" i="6"/>
  <c r="O9" i="6"/>
  <c r="M4" i="6"/>
  <c r="P5" i="3"/>
  <c r="M8" i="3"/>
  <c r="O9" i="3"/>
  <c r="P6" i="3"/>
  <c r="M7" i="3"/>
  <c r="M4" i="3"/>
  <c r="M7" i="2"/>
  <c r="P6" i="2"/>
  <c r="P5" i="2"/>
  <c r="P9" i="2"/>
  <c r="O9" i="2"/>
  <c r="N4" i="2"/>
  <c r="M4" i="2"/>
  <c r="M8" i="2"/>
</calcChain>
</file>

<file path=xl/sharedStrings.xml><?xml version="1.0" encoding="utf-8"?>
<sst xmlns="http://schemas.openxmlformats.org/spreadsheetml/2006/main" count="295" uniqueCount="41">
  <si>
    <t>N</t>
  </si>
  <si>
    <t>---</t>
  </si>
  <si>
    <t>V/C</t>
  </si>
  <si>
    <t>Cycle Capacity</t>
  </si>
  <si>
    <t>Phase Split</t>
  </si>
  <si>
    <t>Expected Green</t>
  </si>
  <si>
    <t>Expected V/C</t>
  </si>
  <si>
    <t>Number of Lanes</t>
  </si>
  <si>
    <t>Ped Violation(Y/N)</t>
  </si>
  <si>
    <t>FDW</t>
  </si>
  <si>
    <t>Walk</t>
  </si>
  <si>
    <t>Min Green</t>
  </si>
  <si>
    <t>All-red</t>
  </si>
  <si>
    <t>Yellow</t>
  </si>
  <si>
    <t>Phase</t>
  </si>
  <si>
    <t>Result Check</t>
  </si>
  <si>
    <t>Basic Information</t>
  </si>
  <si>
    <t>Minor Street</t>
  </si>
  <si>
    <t>Min Cycle</t>
  </si>
  <si>
    <t>Cycle</t>
  </si>
  <si>
    <t>Lost Time</t>
  </si>
  <si>
    <t>Sat.Flow(LT)</t>
  </si>
  <si>
    <t>Volume</t>
  </si>
  <si>
    <t>Coordinated</t>
  </si>
  <si>
    <t>Sat.Flow(Thru)</t>
  </si>
  <si>
    <t>Main Street</t>
  </si>
  <si>
    <t>Output</t>
  </si>
  <si>
    <t>Input</t>
  </si>
  <si>
    <t>Split</t>
  </si>
  <si>
    <t>Sat.Flow(T+L)</t>
  </si>
  <si>
    <t>8(3)</t>
  </si>
  <si>
    <t>4(7)</t>
  </si>
  <si>
    <t>Y</t>
  </si>
  <si>
    <t>Throughput per Cycle per Lane</t>
  </si>
  <si>
    <t>2(5)</t>
  </si>
  <si>
    <t>6(1)</t>
  </si>
  <si>
    <t>7(4)</t>
  </si>
  <si>
    <t>Expected Effective Green</t>
  </si>
  <si>
    <t>Basic Parameter</t>
  </si>
  <si>
    <t>Start-up Lost Time</t>
  </si>
  <si>
    <t>Clearance Lost Time Constant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</si>
</sst>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1" fontId="6" fillId="7" borderId="13" xfId="0" applyNumberFormat="1" applyFont="1" applyFill="1" applyBorder="1" applyAlignment="1">
      <alignment horizontal="center" vertical="center"/>
    </xf>
    <xf numFmtId="0" fontId="1" fillId="0" borderId="0" xfId="0" applyFont="1"/>
    <xf numFmtId="1" fontId="6" fillId="7" borderId="14" xfId="0" applyNumberFormat="1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21" xfId="0" applyBorder="1"/>
    <xf numFmtId="0" fontId="9" fillId="0" borderId="0" xfId="0" applyFont="1"/>
    <xf numFmtId="0" fontId="2" fillId="11" borderId="0" xfId="0" applyFont="1" applyFill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" fontId="6" fillId="7" borderId="13" xfId="0" applyNumberFormat="1" applyFont="1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1" fontId="6" fillId="7" borderId="14" xfId="0" applyNumberFormat="1" applyFont="1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95250</xdr:rowOff>
    </xdr:from>
    <xdr:to>
      <xdr:col>18</xdr:col>
      <xdr:colOff>247650</xdr:colOff>
      <xdr:row>29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67338-E50F-2ADF-364F-7DCBEE96D3CF}"/>
            </a:ext>
          </a:extLst>
        </xdr:cNvPr>
        <xdr:cNvSpPr txBox="1"/>
      </xdr:nvSpPr>
      <xdr:spPr>
        <a:xfrm>
          <a:off x="628650" y="476250"/>
          <a:ext cx="10591800" cy="507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</a:p>
        <a:p>
          <a:endParaRPr lang="en-US" sz="1100"/>
        </a:p>
        <a:p>
          <a:r>
            <a:rPr lang="en-US" sz="1100"/>
            <a:t>1. Splits should satisfy phase minimum, and there should be a choice of accommodating/not-accommodating ped times.</a:t>
          </a:r>
        </a:p>
        <a:p>
          <a:r>
            <a:rPr lang="en-US" sz="1100"/>
            <a:t>2. Volume</a:t>
          </a:r>
          <a:r>
            <a:rPr lang="en-US" sz="1100" baseline="0"/>
            <a:t> by movement and PHF (default 0.9)</a:t>
          </a:r>
        </a:p>
        <a:p>
          <a:r>
            <a:rPr lang="en-US" sz="1100" baseline="0"/>
            <a:t>3. Saturation flow rate: LT = 1770; TH=1900 phpl; Two adjustment factors are considered: lane utilization and LT/RT volume factors. LaneUtilizationFactor=0.95 for two lanes and 0.91 for three lanes; LT and RT factor are based on HCM equations; </a:t>
          </a:r>
        </a:p>
        <a:p>
          <a:r>
            <a:rPr lang="en-US" sz="1100" baseline="0"/>
            <a:t>4. Protected LT (with exclusive LT lanes) is straightforward; split phasing is similar; more complicated with shared PPLT.</a:t>
          </a:r>
        </a:p>
        <a:p>
          <a:r>
            <a:rPr lang="en-US" sz="1100" baseline="0"/>
            <a:t>5. Lane input methods: If there is a LT and LT/TH shared, put 1.5 for LT, and 0.5 for TH. </a:t>
          </a:r>
        </a:p>
        <a:p>
          <a:r>
            <a:rPr lang="en-US" sz="1100" baseline="0"/>
            <a:t>6. Determine the critical lane group for the phase and use that for the cycle and split calculation. 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579953E5-78A4-496A-A5DA-F6E8D4D6F850}"/>
            </a:ext>
          </a:extLst>
        </xdr:cNvPr>
        <xdr:cNvCxnSpPr/>
      </xdr:nvCxnSpPr>
      <xdr:spPr>
        <a:xfrm>
          <a:off x="1219200" y="1097280"/>
          <a:ext cx="36649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17BBF22E-666E-43A1-AEC0-9D74EF4AA764}"/>
            </a:ext>
          </a:extLst>
        </xdr:cNvPr>
        <xdr:cNvCxnSpPr/>
      </xdr:nvCxnSpPr>
      <xdr:spPr>
        <a:xfrm flipV="1">
          <a:off x="3055327" y="366052"/>
          <a:ext cx="7327" cy="14700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2ABC44A4-EB38-47CE-B096-9208FC46CC17}"/>
            </a:ext>
          </a:extLst>
        </xdr:cNvPr>
        <xdr:cNvCxnSpPr/>
      </xdr:nvCxnSpPr>
      <xdr:spPr>
        <a:xfrm>
          <a:off x="2497015" y="13900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1EA16EBE-5B2C-403C-A3B6-8FD2BA4E55A3}"/>
            </a:ext>
          </a:extLst>
        </xdr:cNvPr>
        <xdr:cNvSpPr/>
      </xdr:nvSpPr>
      <xdr:spPr>
        <a:xfrm>
          <a:off x="2526323" y="115589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0DF5F8DB-E828-43F5-8D76-A7BF71923CE3}"/>
            </a:ext>
          </a:extLst>
        </xdr:cNvPr>
        <xdr:cNvCxnSpPr/>
      </xdr:nvCxnSpPr>
      <xdr:spPr>
        <a:xfrm flipV="1">
          <a:off x="3826119" y="1104607"/>
          <a:ext cx="0" cy="3514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6FB26426-4B9D-4F86-87E6-EDE1FCD69BF8}"/>
            </a:ext>
          </a:extLst>
        </xdr:cNvPr>
        <xdr:cNvSpPr/>
      </xdr:nvSpPr>
      <xdr:spPr>
        <a:xfrm rot="16200000">
          <a:off x="3161716" y="1218027"/>
          <a:ext cx="29883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4DA99696-CED3-4BEE-B424-5FBB9A9C2C55}"/>
            </a:ext>
          </a:extLst>
        </xdr:cNvPr>
        <xdr:cNvCxnSpPr/>
      </xdr:nvCxnSpPr>
      <xdr:spPr>
        <a:xfrm>
          <a:off x="2224454" y="746174"/>
          <a:ext cx="7328" cy="3440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069D8D24-951F-4819-839B-6265740AEBA8}"/>
            </a:ext>
          </a:extLst>
        </xdr:cNvPr>
        <xdr:cNvSpPr/>
      </xdr:nvSpPr>
      <xdr:spPr>
        <a:xfrm rot="5400000">
          <a:off x="2654690" y="870585"/>
          <a:ext cx="28912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2FD6FA71-22C5-4102-A0BA-F36A0FC350F0}"/>
            </a:ext>
          </a:extLst>
        </xdr:cNvPr>
        <xdr:cNvSpPr/>
      </xdr:nvSpPr>
      <xdr:spPr>
        <a:xfrm rot="10540172">
          <a:off x="3260485" y="93638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3A9BE368-8C46-4474-8B13-B2A246D8CFD3}"/>
            </a:ext>
          </a:extLst>
        </xdr:cNvPr>
        <xdr:cNvCxnSpPr/>
      </xdr:nvCxnSpPr>
      <xdr:spPr>
        <a:xfrm flipH="1" flipV="1">
          <a:off x="3150577" y="80478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3B96DBB3-4186-48A7-B126-0C023763C5C4}"/>
            </a:ext>
          </a:extLst>
        </xdr:cNvPr>
        <xdr:cNvCxnSpPr/>
      </xdr:nvCxnSpPr>
      <xdr:spPr>
        <a:xfrm>
          <a:off x="6705600" y="1097280"/>
          <a:ext cx="37030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C6AD576D-F403-4B0B-A137-99741B2131F5}"/>
            </a:ext>
          </a:extLst>
        </xdr:cNvPr>
        <xdr:cNvCxnSpPr/>
      </xdr:nvCxnSpPr>
      <xdr:spPr>
        <a:xfrm flipV="1">
          <a:off x="8541727" y="366052"/>
          <a:ext cx="7327" cy="14700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60AB3AF9-FA91-4697-9C0C-56CD877A2A34}"/>
            </a:ext>
          </a:extLst>
        </xdr:cNvPr>
        <xdr:cNvCxnSpPr/>
      </xdr:nvCxnSpPr>
      <xdr:spPr>
        <a:xfrm>
          <a:off x="7983415" y="13900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0734FFB1-A04A-4F33-AEA4-E9F90B921950}"/>
            </a:ext>
          </a:extLst>
        </xdr:cNvPr>
        <xdr:cNvSpPr/>
      </xdr:nvSpPr>
      <xdr:spPr>
        <a:xfrm>
          <a:off x="8012723" y="115589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896020C1-73DB-47C9-9CC8-DFA203519F0E}"/>
            </a:ext>
          </a:extLst>
        </xdr:cNvPr>
        <xdr:cNvCxnSpPr/>
      </xdr:nvCxnSpPr>
      <xdr:spPr>
        <a:xfrm flipV="1">
          <a:off x="9312519" y="1104607"/>
          <a:ext cx="0" cy="3514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5993B37F-A14C-4EC4-BFCB-12E168FEAB82}"/>
            </a:ext>
          </a:extLst>
        </xdr:cNvPr>
        <xdr:cNvSpPr/>
      </xdr:nvSpPr>
      <xdr:spPr>
        <a:xfrm rot="16200000">
          <a:off x="8648116" y="1218027"/>
          <a:ext cx="29883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8C064DAA-36F1-47A1-99BA-6BF7DECE7900}"/>
            </a:ext>
          </a:extLst>
        </xdr:cNvPr>
        <xdr:cNvCxnSpPr/>
      </xdr:nvCxnSpPr>
      <xdr:spPr>
        <a:xfrm>
          <a:off x="7710854" y="746174"/>
          <a:ext cx="7328" cy="3440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E8708587-A300-48E6-B6A4-B2766AC0C0AD}"/>
            </a:ext>
          </a:extLst>
        </xdr:cNvPr>
        <xdr:cNvSpPr/>
      </xdr:nvSpPr>
      <xdr:spPr>
        <a:xfrm rot="5400000">
          <a:off x="8141090" y="870585"/>
          <a:ext cx="28912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7EBCA3B6-C7DE-4DF7-8891-FEEFC3994AE7}"/>
            </a:ext>
          </a:extLst>
        </xdr:cNvPr>
        <xdr:cNvSpPr/>
      </xdr:nvSpPr>
      <xdr:spPr>
        <a:xfrm rot="10540172">
          <a:off x="8746885" y="93638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579F0AD3-D376-40AC-AD35-1152C6D18DC0}"/>
            </a:ext>
          </a:extLst>
        </xdr:cNvPr>
        <xdr:cNvCxnSpPr/>
      </xdr:nvCxnSpPr>
      <xdr:spPr>
        <a:xfrm flipH="1" flipV="1">
          <a:off x="8636977" y="80478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266700</xdr:colOff>
      <xdr:row>24</xdr:row>
      <xdr:rowOff>22860</xdr:rowOff>
    </xdr:from>
    <xdr:ext cx="7461145" cy="264560"/>
    <xdr:sp macro="" textlink="">
      <xdr:nvSpPr>
        <xdr:cNvPr id="22" name="TextBox 1">
          <a:extLst>
            <a:ext uri="{FF2B5EF4-FFF2-40B4-BE49-F238E27FC236}">
              <a16:creationId xmlns:a16="http://schemas.microsoft.com/office/drawing/2014/main" id="{AA69D10B-3E48-48EE-A691-AD29BE32F7EA}"/>
            </a:ext>
          </a:extLst>
        </xdr:cNvPr>
        <xdr:cNvSpPr txBox="1"/>
      </xdr:nvSpPr>
      <xdr:spPr>
        <a:xfrm>
          <a:off x="697006" y="5276178"/>
          <a:ext cx="7461145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*Note 1: The cells</a:t>
          </a:r>
          <a:r>
            <a:rPr lang="en-US" sz="1100" baseline="0"/>
            <a:t> highlighted in yellow are the required inputs. Change the given "Cycle" to generate a varitey of timing plans. </a:t>
          </a:r>
          <a:endParaRPr lang="en-US" sz="1100"/>
        </a:p>
      </xdr:txBody>
    </xdr:sp>
    <xdr:clientData/>
  </xdr:oneCellAnchor>
  <xdr:oneCellAnchor>
    <xdr:from>
      <xdr:col>1</xdr:col>
      <xdr:colOff>266700</xdr:colOff>
      <xdr:row>26</xdr:row>
      <xdr:rowOff>58720</xdr:rowOff>
    </xdr:from>
    <xdr:ext cx="13751137" cy="264560"/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3D4C882C-BCDE-4562-9A01-AE987B15317B}"/>
            </a:ext>
          </a:extLst>
        </xdr:cNvPr>
        <xdr:cNvSpPr txBox="1"/>
      </xdr:nvSpPr>
      <xdr:spPr>
        <a:xfrm>
          <a:off x="697006" y="5670626"/>
          <a:ext cx="13751137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*Note 2: </a:t>
          </a:r>
          <a:r>
            <a:rPr lang="en-US" altLang="zh-CN" sz="1100"/>
            <a:t>Lost time is computed</a:t>
          </a:r>
          <a:r>
            <a:rPr lang="en-US" altLang="zh-CN" sz="1100" baseline="0"/>
            <a:t> as a 2-second start-up lost time plus a clearance lost time that is yellow + all-red - 2 seconds; there have been other calculations for the clearance lost time such as using half of the yellow plus all-red.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20C78DF5-F6D5-490A-B86C-62EF1AEBE00F}"/>
            </a:ext>
          </a:extLst>
        </xdr:cNvPr>
        <xdr:cNvCxnSpPr/>
      </xdr:nvCxnSpPr>
      <xdr:spPr>
        <a:xfrm>
          <a:off x="1173480" y="1341120"/>
          <a:ext cx="386304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15A85B4B-4CFE-4A7C-B791-970559C27F8F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4BD4F0AA-0880-46A4-8786-532B2F315946}"/>
            </a:ext>
          </a:extLst>
        </xdr:cNvPr>
        <xdr:cNvCxnSpPr/>
      </xdr:nvCxnSpPr>
      <xdr:spPr>
        <a:xfrm>
          <a:off x="2451295" y="16567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9ABC5184-10FC-4497-B641-1C71B7761F70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9AADFAA1-4842-43A3-8A91-C7D9F9257248}"/>
            </a:ext>
          </a:extLst>
        </xdr:cNvPr>
        <xdr:cNvCxnSpPr/>
      </xdr:nvCxnSpPr>
      <xdr:spPr>
        <a:xfrm flipV="1">
          <a:off x="3879459" y="1348447"/>
          <a:ext cx="0" cy="37426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2A545EB4-A378-40AD-A91C-00F79CA746A6}"/>
            </a:ext>
          </a:extLst>
        </xdr:cNvPr>
        <xdr:cNvSpPr/>
      </xdr:nvSpPr>
      <xdr:spPr>
        <a:xfrm rot="16200000">
          <a:off x="3203626" y="1473297"/>
          <a:ext cx="32169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F89D2D4B-8DA9-406B-BA51-F65991A14007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80F52A00-D6DD-4EB3-AEFF-C4866A7E3D7A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F7ED4D9C-0AE1-4C37-9EF0-9899B4CD73F5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883A7D4E-5BB1-42BC-BB2C-E63EAD31CCD5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3AAB8C01-3A98-4AA2-8023-B525B43DEBB8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38DF20D3-B359-4D4E-B483-E5AFCEFC69B0}"/>
            </a:ext>
          </a:extLst>
        </xdr:cNvPr>
        <xdr:cNvCxnSpPr/>
      </xdr:nvCxnSpPr>
      <xdr:spPr>
        <a:xfrm flipV="1">
          <a:off x="938754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75E5F325-6B87-472E-919E-95ECDCA9533B}"/>
            </a:ext>
          </a:extLst>
        </xdr:cNvPr>
        <xdr:cNvCxnSpPr/>
      </xdr:nvCxnSpPr>
      <xdr:spPr>
        <a:xfrm>
          <a:off x="8829235" y="16567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526FA7CF-CC9A-4699-B83C-54ADECC5609E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140DF117-EDA7-4E7A-B71C-72841014562E}"/>
            </a:ext>
          </a:extLst>
        </xdr:cNvPr>
        <xdr:cNvCxnSpPr/>
      </xdr:nvCxnSpPr>
      <xdr:spPr>
        <a:xfrm flipV="1">
          <a:off x="10158339" y="1348447"/>
          <a:ext cx="0" cy="37426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ABA34B1E-255C-43C1-AC9F-B68E0F13D6EC}"/>
            </a:ext>
          </a:extLst>
        </xdr:cNvPr>
        <xdr:cNvSpPr/>
      </xdr:nvSpPr>
      <xdr:spPr>
        <a:xfrm rot="16200000">
          <a:off x="9482506" y="1473297"/>
          <a:ext cx="32169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4115F867-E6DB-4A68-9774-70A19EEE1522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D11BAED2-8A02-4610-8F42-606CE8014388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F8E6B04D-3C50-4285-BEB0-6F19A846A846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B710CA71-A236-4B47-BD15-2331A5FD5B6E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EFF0E5F7-2085-416B-B50A-A63AB0C059EB}"/>
            </a:ext>
          </a:extLst>
        </xdr:cNvPr>
        <xdr:cNvCxnSpPr/>
      </xdr:nvCxnSpPr>
      <xdr:spPr>
        <a:xfrm>
          <a:off x="1165412" y="1335741"/>
          <a:ext cx="38621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84A085D3-2D3B-4F7E-9C8F-A3FFAF47B659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3935D051-4D76-46AF-938A-D72CBAA02501}"/>
            </a:ext>
          </a:extLst>
        </xdr:cNvPr>
        <xdr:cNvCxnSpPr/>
      </xdr:nvCxnSpPr>
      <xdr:spPr>
        <a:xfrm>
          <a:off x="24512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B05D0EC9-9306-4778-A401-877128F02797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7F585B81-C70B-4AEF-B77D-8717FCA0BEBD}"/>
            </a:ext>
          </a:extLst>
        </xdr:cNvPr>
        <xdr:cNvCxnSpPr/>
      </xdr:nvCxnSpPr>
      <xdr:spPr>
        <a:xfrm flipV="1">
          <a:off x="387945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5B659E18-E368-4C8A-8FD4-0305738B1CAC}"/>
            </a:ext>
          </a:extLst>
        </xdr:cNvPr>
        <xdr:cNvSpPr/>
      </xdr:nvSpPr>
      <xdr:spPr>
        <a:xfrm rot="16200000">
          <a:off x="319981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61D5025C-B966-4F83-A53E-930D95DB7BD9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0ED5895B-DE05-409F-B597-32199B497AE0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AEADB5AA-9791-403D-99A8-33120B9D2E8A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50316BF2-E1D0-4950-81F8-45D886062ADA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63F458D3-8C63-4173-8178-A10AEE013330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89178805-CDFF-4C59-A102-FABAFB9B889D}"/>
            </a:ext>
          </a:extLst>
        </xdr:cNvPr>
        <xdr:cNvCxnSpPr/>
      </xdr:nvCxnSpPr>
      <xdr:spPr>
        <a:xfrm flipV="1">
          <a:off x="938754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37C3F823-744A-4053-95C3-981E5C38A4F9}"/>
            </a:ext>
          </a:extLst>
        </xdr:cNvPr>
        <xdr:cNvCxnSpPr/>
      </xdr:nvCxnSpPr>
      <xdr:spPr>
        <a:xfrm>
          <a:off x="882923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9CBE4B12-A246-46A9-B258-74C0DB7AFBE5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55B3DD63-A590-4EEB-ACBB-B8E0A388C6B0}"/>
            </a:ext>
          </a:extLst>
        </xdr:cNvPr>
        <xdr:cNvCxnSpPr/>
      </xdr:nvCxnSpPr>
      <xdr:spPr>
        <a:xfrm flipV="1">
          <a:off x="1015833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0E966633-CFEA-4908-ACA3-20E6433252F2}"/>
            </a:ext>
          </a:extLst>
        </xdr:cNvPr>
        <xdr:cNvSpPr/>
      </xdr:nvSpPr>
      <xdr:spPr>
        <a:xfrm rot="16200000">
          <a:off x="947869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A6FFC5E2-F3E8-4BA0-81F1-3278AC7D81D2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14B452D1-2D35-43D2-A95B-55678A25C0F2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8923BDB4-5228-47D9-8EC4-DD9A8C5357B5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8073E5F9-63B6-43B4-B0BD-6D362AD8DC7B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4320C7DD-8205-49E7-A311-62837EBA639F}"/>
            </a:ext>
          </a:extLst>
        </xdr:cNvPr>
        <xdr:cNvCxnSpPr/>
      </xdr:nvCxnSpPr>
      <xdr:spPr>
        <a:xfrm>
          <a:off x="1173480" y="1341120"/>
          <a:ext cx="37792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E553850C-D05D-4C56-9851-C1282BF9D411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C7F33E3C-2DF9-46A6-A9BE-7E2687C931AD}"/>
            </a:ext>
          </a:extLst>
        </xdr:cNvPr>
        <xdr:cNvCxnSpPr/>
      </xdr:nvCxnSpPr>
      <xdr:spPr>
        <a:xfrm>
          <a:off x="24512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5BADE4D5-FB24-4DC4-BCC7-B1A70DCE45AF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A41BA02A-6161-48D9-9528-14281F4874A9}"/>
            </a:ext>
          </a:extLst>
        </xdr:cNvPr>
        <xdr:cNvCxnSpPr/>
      </xdr:nvCxnSpPr>
      <xdr:spPr>
        <a:xfrm flipV="1">
          <a:off x="387945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CCEFCF08-9529-41C9-BA4B-32EC04D2950A}"/>
            </a:ext>
          </a:extLst>
        </xdr:cNvPr>
        <xdr:cNvSpPr/>
      </xdr:nvSpPr>
      <xdr:spPr>
        <a:xfrm rot="16200000">
          <a:off x="319981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7F5FC20F-5F13-4CF4-AB50-79499307EF2F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2AB59AFA-609A-4104-B586-0B4277E0C8F4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358D37E7-DF6B-4E31-911F-683668AD9365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96EE30CA-6407-4357-8CF3-322F0F74698D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B0A96790-13EA-43A7-99E2-4B7ED7C05310}"/>
            </a:ext>
          </a:extLst>
        </xdr:cNvPr>
        <xdr:cNvCxnSpPr/>
      </xdr:nvCxnSpPr>
      <xdr:spPr>
        <a:xfrm>
          <a:off x="7437120" y="1341120"/>
          <a:ext cx="41526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31331DFE-4AE6-4202-A02F-BACC4B4EC228}"/>
            </a:ext>
          </a:extLst>
        </xdr:cNvPr>
        <xdr:cNvCxnSpPr/>
      </xdr:nvCxnSpPr>
      <xdr:spPr>
        <a:xfrm flipV="1">
          <a:off x="960852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4B235495-29DC-44B8-8E32-23B4917C339F}"/>
            </a:ext>
          </a:extLst>
        </xdr:cNvPr>
        <xdr:cNvCxnSpPr/>
      </xdr:nvCxnSpPr>
      <xdr:spPr>
        <a:xfrm>
          <a:off x="87758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3DA7666E-149F-4C71-A942-6CA731E20CB2}"/>
            </a:ext>
          </a:extLst>
        </xdr:cNvPr>
        <xdr:cNvSpPr/>
      </xdr:nvSpPr>
      <xdr:spPr>
        <a:xfrm>
          <a:off x="88052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36A318C2-21B4-4E2A-BC5D-0E55B07DFC73}"/>
            </a:ext>
          </a:extLst>
        </xdr:cNvPr>
        <xdr:cNvCxnSpPr/>
      </xdr:nvCxnSpPr>
      <xdr:spPr>
        <a:xfrm flipV="1">
          <a:off x="1037931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048980FB-40E4-41F4-A8E2-5658E55D1BC1}"/>
            </a:ext>
          </a:extLst>
        </xdr:cNvPr>
        <xdr:cNvSpPr/>
      </xdr:nvSpPr>
      <xdr:spPr>
        <a:xfrm rot="16200000">
          <a:off x="969967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52B98D57-9823-4916-B2F4-9370E7876CA2}"/>
            </a:ext>
          </a:extLst>
        </xdr:cNvPr>
        <xdr:cNvCxnSpPr/>
      </xdr:nvCxnSpPr>
      <xdr:spPr>
        <a:xfrm>
          <a:off x="847285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5B0C65B2-FFAB-46F4-8E64-11DBD0631095}"/>
            </a:ext>
          </a:extLst>
        </xdr:cNvPr>
        <xdr:cNvSpPr/>
      </xdr:nvSpPr>
      <xdr:spPr>
        <a:xfrm rot="5400000">
          <a:off x="89259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AB6E1FE9-731A-4F09-9679-360D632BB35C}"/>
            </a:ext>
          </a:extLst>
        </xdr:cNvPr>
        <xdr:cNvSpPr/>
      </xdr:nvSpPr>
      <xdr:spPr>
        <a:xfrm rot="10540172">
          <a:off x="981368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50C6AFE4-830F-409F-8E72-FCCDAAC445E1}"/>
            </a:ext>
          </a:extLst>
        </xdr:cNvPr>
        <xdr:cNvCxnSpPr/>
      </xdr:nvCxnSpPr>
      <xdr:spPr>
        <a:xfrm flipH="1" flipV="1">
          <a:off x="970377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810045F2-AC5D-48BF-AAA3-C5D85F535796}"/>
            </a:ext>
          </a:extLst>
        </xdr:cNvPr>
        <xdr:cNvCxnSpPr/>
      </xdr:nvCxnSpPr>
      <xdr:spPr>
        <a:xfrm>
          <a:off x="1173480" y="1341120"/>
          <a:ext cx="386304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77602D75-F148-4A95-9C45-6D878A2AFD8D}"/>
            </a:ext>
          </a:extLst>
        </xdr:cNvPr>
        <xdr:cNvCxnSpPr/>
      </xdr:nvCxnSpPr>
      <xdr:spPr>
        <a:xfrm flipV="1">
          <a:off x="3108667" y="518452"/>
          <a:ext cx="7327" cy="16224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D6C84A92-A13A-4565-9841-E08866FC0997}"/>
            </a:ext>
          </a:extLst>
        </xdr:cNvPr>
        <xdr:cNvCxnSpPr/>
      </xdr:nvCxnSpPr>
      <xdr:spPr>
        <a:xfrm>
          <a:off x="2451295" y="164914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45238160-E81D-4757-97A4-8049E5AE4355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42F8214D-0864-4A12-8FF2-C2C94CCC40DB}"/>
            </a:ext>
          </a:extLst>
        </xdr:cNvPr>
        <xdr:cNvCxnSpPr/>
      </xdr:nvCxnSpPr>
      <xdr:spPr>
        <a:xfrm flipV="1">
          <a:off x="3879459" y="1348447"/>
          <a:ext cx="0" cy="36664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1D72C454-1D34-485C-8E1F-E2EDF9378AEC}"/>
            </a:ext>
          </a:extLst>
        </xdr:cNvPr>
        <xdr:cNvSpPr/>
      </xdr:nvSpPr>
      <xdr:spPr>
        <a:xfrm rot="16200000">
          <a:off x="3207436" y="1469487"/>
          <a:ext cx="31407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DC7F8874-4660-4AE4-BDFF-6A53FC089522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75DF14AB-9AF4-463E-8B72-911D239AE085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AD1B154A-1DD6-4183-966B-23ADE5E3F17E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8B283C00-D66E-4CD6-A363-9318720EFCC1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B6EC07E7-37D3-4E16-84CD-6A41B4410B25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B8D11A81-8009-4FA9-869F-4C403C6A4FE6}"/>
            </a:ext>
          </a:extLst>
        </xdr:cNvPr>
        <xdr:cNvCxnSpPr/>
      </xdr:nvCxnSpPr>
      <xdr:spPr>
        <a:xfrm flipV="1">
          <a:off x="9387547" y="518452"/>
          <a:ext cx="7327" cy="16224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632EC5C0-5079-4F7E-99C7-A58BF62F372C}"/>
            </a:ext>
          </a:extLst>
        </xdr:cNvPr>
        <xdr:cNvCxnSpPr/>
      </xdr:nvCxnSpPr>
      <xdr:spPr>
        <a:xfrm>
          <a:off x="8829235" y="164914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0D90DAE1-CF97-4EE9-AFE9-9C015901ED65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A1A9063D-6CA3-4E78-8367-11DCA7561FC3}"/>
            </a:ext>
          </a:extLst>
        </xdr:cNvPr>
        <xdr:cNvCxnSpPr/>
      </xdr:nvCxnSpPr>
      <xdr:spPr>
        <a:xfrm flipV="1">
          <a:off x="10158339" y="1348447"/>
          <a:ext cx="0" cy="36664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DE46CEEF-697B-4301-BA3E-9BE24596F863}"/>
            </a:ext>
          </a:extLst>
        </xdr:cNvPr>
        <xdr:cNvSpPr/>
      </xdr:nvSpPr>
      <xdr:spPr>
        <a:xfrm rot="16200000">
          <a:off x="9486316" y="1469487"/>
          <a:ext cx="31407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C44CE132-F072-44FC-B156-54DAEFE8A4CC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B778280D-138C-4CFB-B1EF-EB7191050C5C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CE208515-E4FF-4C72-BF68-0687D4ECE1DF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F43499AA-240E-42D6-ACFD-1E84B829B018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1D1F-F9CB-41E3-B05F-A12B4F13F672}">
  <dimension ref="A1"/>
  <sheetViews>
    <sheetView workbookViewId="0">
      <selection activeCell="C35" sqref="C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3915-0744-473A-807B-AA87EA373BEC}">
  <dimension ref="B1:V32"/>
  <sheetViews>
    <sheetView tabSelected="1" topLeftCell="B3" zoomScale="85" zoomScaleNormal="85" workbookViewId="0">
      <selection activeCell="M18" sqref="M18"/>
    </sheetView>
  </sheetViews>
  <sheetFormatPr defaultRowHeight="14.4" x14ac:dyDescent="0.3"/>
  <cols>
    <col min="1" max="1" width="6.33203125" customWidth="1"/>
    <col min="2" max="2" width="10.6640625" customWidth="1"/>
    <col min="5" max="5" width="10.33203125" bestFit="1" customWidth="1"/>
    <col min="8" max="8" width="9" customWidth="1"/>
    <col min="9" max="9" width="14.109375" customWidth="1"/>
    <col min="10" max="10" width="11.109375" customWidth="1"/>
    <col min="11" max="11" width="11.5546875" customWidth="1"/>
    <col min="14" max="14" width="14" customWidth="1"/>
    <col min="17" max="17" width="10.5546875" customWidth="1"/>
    <col min="18" max="18" width="12" customWidth="1"/>
    <col min="19" max="19" width="10.44140625" customWidth="1"/>
    <col min="20" max="20" width="30" customWidth="1"/>
    <col min="21" max="21" width="11.109375" customWidth="1"/>
    <col min="22" max="22" width="14.33203125" customWidth="1"/>
  </cols>
  <sheetData>
    <row r="1" spans="2:21" ht="26.4" thickTop="1" x14ac:dyDescent="0.5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2" t="s">
        <v>26</v>
      </c>
      <c r="L1" s="63"/>
      <c r="M1" s="63"/>
      <c r="N1" s="63"/>
      <c r="O1" s="63"/>
      <c r="P1" s="63"/>
      <c r="Q1" s="63"/>
      <c r="R1" s="63"/>
      <c r="S1" s="64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28">
        <v>8</v>
      </c>
      <c r="E3" s="31">
        <v>3</v>
      </c>
      <c r="K3" s="18"/>
      <c r="L3" s="3" t="s">
        <v>14</v>
      </c>
      <c r="M3" s="28">
        <f>D3</f>
        <v>8</v>
      </c>
      <c r="N3" s="31">
        <f>E3</f>
        <v>3</v>
      </c>
      <c r="S3" s="17"/>
    </row>
    <row r="4" spans="2:21" ht="16.2" thickBot="1" x14ac:dyDescent="0.35">
      <c r="B4" s="18"/>
      <c r="C4" s="3" t="s">
        <v>22</v>
      </c>
      <c r="D4" s="39">
        <v>672</v>
      </c>
      <c r="E4" s="38">
        <v>162</v>
      </c>
      <c r="F4" s="24"/>
      <c r="G4" s="32" t="s">
        <v>22</v>
      </c>
      <c r="H4" s="3" t="s">
        <v>14</v>
      </c>
      <c r="K4" s="18"/>
      <c r="L4" s="3" t="s">
        <v>28</v>
      </c>
      <c r="M4" s="30">
        <f>IF(Verify_P2="feasible",IF(Verify_P6="feasible",PT_P8,"NA"),"NA")</f>
        <v>38</v>
      </c>
      <c r="N4" s="25">
        <f>IF(Verify_P2="feasible",IF(Verify_P6="feasible",PT_P3,"NA"),"NA")</f>
        <v>24</v>
      </c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4">
        <v>776</v>
      </c>
      <c r="H5" s="31">
        <v>6</v>
      </c>
      <c r="I5" s="68" t="s">
        <v>23</v>
      </c>
      <c r="J5" s="69"/>
      <c r="K5" s="18"/>
      <c r="M5" s="24"/>
      <c r="N5" s="24"/>
      <c r="O5" s="24"/>
      <c r="P5" s="23">
        <f>IF(Verify_P2="feasible",IF(Verify_P6="feasible",PT_P6,"NA"),"NA")</f>
        <v>88</v>
      </c>
      <c r="Q5" s="31">
        <f>H5</f>
        <v>6</v>
      </c>
      <c r="R5" s="68" t="s">
        <v>23</v>
      </c>
      <c r="S5" s="69"/>
    </row>
    <row r="6" spans="2:21" ht="18" thickBot="1" x14ac:dyDescent="0.5">
      <c r="B6" s="18"/>
      <c r="D6" s="24"/>
      <c r="E6" s="24"/>
      <c r="F6" s="24"/>
      <c r="G6" s="39">
        <v>96</v>
      </c>
      <c r="H6" s="29">
        <v>1</v>
      </c>
      <c r="I6" s="66" t="s">
        <v>25</v>
      </c>
      <c r="J6" s="67"/>
      <c r="K6" s="18"/>
      <c r="M6" s="24"/>
      <c r="N6" s="24"/>
      <c r="O6" s="24"/>
      <c r="P6" s="30">
        <f>IF(Verify_P2="feasible",IF(Verify_P6="feasible",PT_P1,"NA"),"NA")</f>
        <v>15</v>
      </c>
      <c r="Q6" s="29">
        <f>H6</f>
        <v>1</v>
      </c>
      <c r="R6" s="66" t="s">
        <v>25</v>
      </c>
      <c r="S6" s="67"/>
    </row>
    <row r="7" spans="2:21" ht="15.6" x14ac:dyDescent="0.3">
      <c r="B7" s="18"/>
      <c r="C7" s="28">
        <v>5</v>
      </c>
      <c r="D7" s="37">
        <v>308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21</v>
      </c>
      <c r="N7" s="24"/>
      <c r="O7" s="24"/>
      <c r="P7" s="24"/>
      <c r="S7" s="17"/>
    </row>
    <row r="8" spans="2:21" ht="16.2" thickBot="1" x14ac:dyDescent="0.35">
      <c r="B8" s="26" t="s">
        <v>23</v>
      </c>
      <c r="C8" s="21">
        <v>2</v>
      </c>
      <c r="D8" s="38">
        <v>1133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94</v>
      </c>
      <c r="N8" s="24"/>
      <c r="O8" s="24"/>
      <c r="P8" s="24"/>
      <c r="T8" s="60" t="s">
        <v>38</v>
      </c>
      <c r="U8" s="61"/>
    </row>
    <row r="9" spans="2:21" ht="16.8" thickTop="1" thickBot="1" x14ac:dyDescent="0.35">
      <c r="B9" s="18"/>
      <c r="C9" s="3" t="s">
        <v>14</v>
      </c>
      <c r="D9" s="3" t="s">
        <v>22</v>
      </c>
      <c r="F9" s="34">
        <v>84</v>
      </c>
      <c r="G9" s="37">
        <v>322</v>
      </c>
      <c r="H9" s="3" t="s">
        <v>22</v>
      </c>
      <c r="K9" s="18"/>
      <c r="L9" s="3" t="s">
        <v>14</v>
      </c>
      <c r="M9" s="3" t="s">
        <v>28</v>
      </c>
      <c r="O9" s="23">
        <f>IF(Verify_P2="feasible",IF(Verify_P6="feasible",PT_P7,"NA"),"NA")</f>
        <v>13</v>
      </c>
      <c r="P9" s="22">
        <f>IF(Verify_P2="feasible",IF(Verify_P6="feasible",PT_P4,"NA"),"NA")</f>
        <v>27</v>
      </c>
      <c r="Q9" s="3" t="s">
        <v>28</v>
      </c>
      <c r="T9" s="49" t="s">
        <v>24</v>
      </c>
      <c r="U9" s="44">
        <v>1900</v>
      </c>
    </row>
    <row r="10" spans="2:21" ht="15.6" thickTop="1" thickBot="1" x14ac:dyDescent="0.35">
      <c r="B10" s="18"/>
      <c r="F10" s="21">
        <v>7</v>
      </c>
      <c r="G10" s="20">
        <v>4</v>
      </c>
      <c r="H10" s="3" t="s">
        <v>14</v>
      </c>
      <c r="I10" s="27" t="s">
        <v>20</v>
      </c>
      <c r="J10" s="43">
        <f>IF((Volume_P8/NoLane_P8+Volume_P7/NoLane_P7)&gt;(Volume_P3/NoLane_P3+Volume_P4/NoLane_P4),SLT+Y_P8+AR_P8-CLT_e+SLT+Y_P7+AR_P7-CLT_e,SLT+Y_P3+AR_P3-CLT_e+SLT+Y_P4+AR_P4-CLT_e)+IF((Volume_P1/NoLane_P1+Volume_P2/NoLane_P2)&gt;(Volume_P5/NoLane_P5+Volume_P6/NoLane_P6),SLT+Y_P1+AR_P1-CLT_e+SLT+Y_P2+AR_P2-CLT_e,SLT+Y_P5+AR_P5-CLT_e+SLT+Y_P6+AR_P6-CLT_e)</f>
        <v>16</v>
      </c>
      <c r="K10" s="18"/>
      <c r="O10" s="21">
        <f>F10</f>
        <v>7</v>
      </c>
      <c r="P10" s="20">
        <f>G10</f>
        <v>4</v>
      </c>
      <c r="Q10" s="3" t="s">
        <v>14</v>
      </c>
      <c r="T10" s="50" t="s">
        <v>21</v>
      </c>
      <c r="U10" s="45">
        <v>1800</v>
      </c>
    </row>
    <row r="11" spans="2:21" ht="15" thickBot="1" x14ac:dyDescent="0.35">
      <c r="B11" s="18"/>
      <c r="F11" s="3"/>
      <c r="G11" s="3"/>
      <c r="I11" s="19" t="s">
        <v>19</v>
      </c>
      <c r="J11" s="36">
        <v>160</v>
      </c>
      <c r="K11" s="18"/>
      <c r="T11" s="50" t="s">
        <v>39</v>
      </c>
      <c r="U11" s="46">
        <v>2</v>
      </c>
    </row>
    <row r="12" spans="2:21" ht="18" thickBot="1" x14ac:dyDescent="0.5">
      <c r="B12" s="15"/>
      <c r="C12" s="14"/>
      <c r="D12" s="72" t="s">
        <v>17</v>
      </c>
      <c r="E12" s="72"/>
      <c r="F12" s="72"/>
      <c r="G12" s="72"/>
      <c r="H12" s="14"/>
      <c r="I12" s="16" t="s">
        <v>18</v>
      </c>
      <c r="J12" s="35">
        <f>LostTime/(1-MAX(Volume_P1/NoLane_P1/SFR_LT+Volume_P2/NoLane_P2/SFR_Thru,Volume_P5/NoLane_P5/SFR_LT+Volume_P6/NoLane_P6/SFR_Thru)-MAX(Volume_P3/NoLane_P3/SFR_LT+Volume_P4/NoLane_P4/SFR_Thru,Volume_P7/NoLane_P7/SFR_LT+Volume_P8/NoLane_P8/SFR_Thru))*1.5</f>
        <v>45.767815322850453</v>
      </c>
      <c r="K12" s="15"/>
      <c r="L12" s="14"/>
      <c r="M12" s="72" t="s">
        <v>17</v>
      </c>
      <c r="N12" s="72"/>
      <c r="O12" s="72"/>
      <c r="P12" s="72"/>
      <c r="Q12" s="14"/>
      <c r="R12" s="14"/>
      <c r="S12" s="13"/>
      <c r="T12" s="51" t="s">
        <v>40</v>
      </c>
      <c r="U12" s="47">
        <v>2</v>
      </c>
    </row>
    <row r="13" spans="2:21" ht="15" thickTop="1" x14ac:dyDescent="0.3"/>
    <row r="14" spans="2:21" x14ac:dyDescent="0.3">
      <c r="B14" s="70" t="s">
        <v>16</v>
      </c>
      <c r="C14" s="70"/>
      <c r="D14" s="70"/>
      <c r="E14" s="70"/>
      <c r="F14" s="70"/>
      <c r="G14" s="70"/>
      <c r="H14" s="70"/>
      <c r="I14" s="70"/>
      <c r="J14" s="70"/>
      <c r="L14" s="70" t="s">
        <v>15</v>
      </c>
      <c r="M14" s="70"/>
      <c r="N14" s="70"/>
      <c r="O14" s="70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37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0.85</v>
      </c>
      <c r="L16" s="3">
        <f>MAX(MinG_P1,ROUNDUP(Volume_P1/NoLane_P1*Cycle/ExpVC_P1/SFR_LT,0))</f>
        <v>11</v>
      </c>
      <c r="M16" s="3">
        <f>ROUNDUP(ExpGreen_P1+AR_P1+Y_P1+SLT-CLT_e,0)</f>
        <v>15</v>
      </c>
      <c r="N16" s="2">
        <f>SFR_LT*((PT_P1-SLT-Y_P1-AR_P1+CLT_e)/Cycle)</f>
        <v>123.75000000000001</v>
      </c>
      <c r="O16" s="1">
        <f>G6/I16/N16</f>
        <v>0.77575757575757565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3</v>
      </c>
      <c r="J17" s="7" t="s">
        <v>1</v>
      </c>
      <c r="M17" s="3">
        <f>IF((ExpGreen_P3+ExpGreen_P4+Y_P3+Y_P4+AR_P3+AR_P4)&gt;(ExpGreen_P7+ExpGreen_P8+Y_P7+Y_P8+AR_P7+AR_P8),Cycle-ExpGreen_P3-ExpGreen_P4-Y_P3-Y_P4-AR_P3-AR_P4-2*SLT+2*CLT_e-ExpGreen_P1-Y_P1-AR_P1-SLT+CLT_e,Cycle-ExpGreen_P7-ExpGreen_P8-Y_P7-Y_P8-AR_P7-AR_P8-2*SLT+2*CLT_e-ExpGreen_P1-Y_P1-AR_P1-SLT+CLT_e)</f>
        <v>94</v>
      </c>
      <c r="N17" s="2">
        <f>SFR_Thru*((PT_P2-SLT-AR_P2-Y_P2+CLT_e)/Cycle)</f>
        <v>1068.75</v>
      </c>
      <c r="O17" s="40">
        <f>D8/I17/N17</f>
        <v>0.35337231968810917</v>
      </c>
      <c r="P17" s="65" t="str">
        <f>IF(ActualVC_P2&lt;0,"incorrect timing",IF(ActualVC_P2&gt;0.8,"Increase Cycle",IF(ActualVC_P2&lt;0.25,"Reduce Cycle","feasible")))</f>
        <v>feasible</v>
      </c>
      <c r="Q17" s="65"/>
      <c r="R17" s="65"/>
      <c r="S17" s="65"/>
      <c r="T17" s="59" t="str">
        <f>IF(PT_P2-Walk_P2-FDW_P2+Y_P2+AR_P2&gt;0, "Ped Timing Accomodated", "Ped Timing Violated: Increase Cycle")</f>
        <v>Ped Timing Accomodated</v>
      </c>
      <c r="U17" s="59"/>
      <c r="V17" s="59"/>
    </row>
    <row r="18" spans="2:22" ht="15" thickBot="1" x14ac:dyDescent="0.35">
      <c r="B18" s="8">
        <f>E3</f>
        <v>3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0.85</v>
      </c>
      <c r="L18" s="3">
        <f>MAX(MinG_P3,ROUNDUP(Volume_P3/NoLane_P3*Cycle/ExpVC_P3/SFR_LT,0))</f>
        <v>17</v>
      </c>
      <c r="M18" s="3">
        <f>IF((ExpGreen_P3+ExpGreen_P4+Y_P3+Y_P4+AR_P3+AR_P4)&gt;(ExpGreen_P7+ExpGreen_P8+Y_P7+Y_P8+AR_P7+AR_P8),ROUNDUP(ExpGreen_P3+Y_P3+AR_P3+SLT-CLT_e,0),ROUNDUP(ExpGreen_P7+Y_P7+AR_P7+SLT-CLT_e,0)+ROUNDUP(ExpGreen_P8+Y_P8+AR_P8+SLT-CLT_e,0)-ROUNDUP((ExpGreen_P4+Y_P4+AR_P4+SLT-CLT_e)*(ExpGreen_P7+ExpGreen_P8+Y_P7+Y_P8+AR_P7+AR_P8+2*SLT-2*CLT_e)/(ExpGreen_P3+ExpGreen_P4+Y_P3+Y_P4+AR_P3+AR_P4+2*SLT-2*CLT_e),0))</f>
        <v>24</v>
      </c>
      <c r="N18" s="2">
        <f>SFR_LT*((PT_P3-SLT-AR_P3-Y_P3+CLT_e)/Cycle)</f>
        <v>225</v>
      </c>
      <c r="O18" s="1">
        <f>E4/I18/N18</f>
        <v>0.72</v>
      </c>
    </row>
    <row r="19" spans="2:22" ht="15" thickBot="1" x14ac:dyDescent="0.35">
      <c r="B19" s="8">
        <f>G10</f>
        <v>4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6" t="s">
        <v>0</v>
      </c>
      <c r="I19" s="6">
        <v>2</v>
      </c>
      <c r="J19" s="6">
        <v>0.85</v>
      </c>
      <c r="L19" s="3">
        <f>IF(PedViolate_P4="N",MAX((Walk_P4+FDW_P4-Y_P4-AR_P4),MAX(MinG_P4,ROUNDUP(Volume_P4/NoLane_P4*Cycle/ExpVC_P4/SFR_Thru,0))),MAX(MinG_P4,ROUNDUP(FDW_P4/NoLane_P4*Cycle/ExpVC_P4/SFR_Thru,0)))</f>
        <v>18</v>
      </c>
      <c r="M19" s="3">
        <f>IF((ExpGreen_P3+ExpGreen_P4+Y_P3+Y_P4+AR_P3+AR_P4)&gt;(ExpGreen_P7+ExpGreen_P8+Y_P7+Y_P8+AR_P7+AR_P8),ROUNDUP(ExpGreen_P4+Y_P4+AR_P4+SLT-CLT_e,0),ROUNDUP((ExpGreen_P4+Y_P4+AR_P4+SLT-CLT_e)*(ExpGreen_P7+ExpGreen_P8+Y_P7+Y_P8+AR_P7+AR_P8+2*SLT-2*CLT_e)/(ExpGreen_P3+ExpGreen_P4+Y_P3+Y_P4+AR_P3+AR_P4+2*SLT-2*CLT_e),0))</f>
        <v>27</v>
      </c>
      <c r="N19" s="2">
        <f>SFR_Thru*((PT_P4-SLT-AR_P4-Y_P4+CLT_e)/Cycle)</f>
        <v>273.125</v>
      </c>
      <c r="O19" s="1">
        <f>G9/I19/N19</f>
        <v>0.58947368421052626</v>
      </c>
      <c r="P19" s="71" t="str">
        <f>IF(PT_P1+PT_P2-PT_P5-PT_P6=0,IF(PT_P3+PT_P4-PT_P7-PT_P8=0,IF(SUM(M16:M23)-Cycle*2=0,"Ring-barrier Check: PASS","Ring-barrier Check: FAIL"),"Ring-barrier Check: FAIL"),"Ring-barrier Check: FAIL")</f>
        <v>Ring-barrier Check: PASS</v>
      </c>
      <c r="Q19" s="71"/>
      <c r="R19" s="71"/>
      <c r="S19" s="71"/>
    </row>
    <row r="20" spans="2:22" ht="15" thickBot="1" x14ac:dyDescent="0.35">
      <c r="B20" s="8">
        <f>C7</f>
        <v>5</v>
      </c>
      <c r="C20" s="6">
        <v>3</v>
      </c>
      <c r="D20" s="6">
        <v>1</v>
      </c>
      <c r="E20" s="6">
        <v>5</v>
      </c>
      <c r="F20" s="6"/>
      <c r="G20" s="6"/>
      <c r="H20" s="7" t="s">
        <v>1</v>
      </c>
      <c r="I20" s="6">
        <v>2</v>
      </c>
      <c r="J20" s="6">
        <v>0.85</v>
      </c>
      <c r="L20" s="3">
        <f>MAX(MinG_P5,ROUNDUP(Volume_P5/NoLane_P5*Cycle/ExpVC_P5/SFR_LT,0))</f>
        <v>17</v>
      </c>
      <c r="M20" s="3">
        <f>ROUNDUP(ExpGreen_P5+Y_P5+AR_P5+SLT-CLT_e,0)</f>
        <v>21</v>
      </c>
      <c r="N20" s="2">
        <f>SFR_LT*((PT_P5-SLT-AR_P5-Y_P5+CLT_e)/Cycle)</f>
        <v>191.25</v>
      </c>
      <c r="O20" s="1">
        <f>D7/I20/N20</f>
        <v>0.80522875816993467</v>
      </c>
    </row>
    <row r="21" spans="2:22" ht="15" thickBot="1" x14ac:dyDescent="0.35">
      <c r="B21" s="8">
        <f>H5</f>
        <v>6</v>
      </c>
      <c r="C21" s="6">
        <v>3</v>
      </c>
      <c r="D21" s="6">
        <v>1</v>
      </c>
      <c r="E21" s="6">
        <v>10</v>
      </c>
      <c r="F21" s="6">
        <v>7</v>
      </c>
      <c r="G21" s="6">
        <v>15</v>
      </c>
      <c r="H21" s="7" t="s">
        <v>1</v>
      </c>
      <c r="I21" s="6">
        <v>3</v>
      </c>
      <c r="J21" s="7" t="s">
        <v>1</v>
      </c>
      <c r="L21" s="3"/>
      <c r="M21" s="3">
        <f>IF((ExpGreen_P3+ExpGreen_P4+Y_P3+Y_P4+AR_P3+AR_P4)&gt;(ExpGreen_P7+ExpGreen_P8+Y_P7+Y_P8+AR_P7+AR_P8),Cycle-ExpGreen_P3-ExpGreen_P4-Y_P3-Y_P4-AR_P3-AR_P4-2*SLT+2*CLT_e-ExpGreen_P5-Y_P5-AR_P5-2*SLT+2*CLT_e,Cycle-ExpGreen_P7-ExpGreen_P8-Y_P7-Y_P8-AR_P7-AR_P8-2*SLT+2*CLT_e-ExpGreen_P5-Y_P5-AR_P5-SLT+CLT_e)</f>
        <v>88</v>
      </c>
      <c r="N21" s="2">
        <f>SFR_Thru*((PT_P6-SLT-AR_P6-Y_P6+CLT_e)/Cycle)</f>
        <v>997.5</v>
      </c>
      <c r="O21" s="40">
        <f>G5/I21/N21</f>
        <v>0.25931495405179616</v>
      </c>
      <c r="P21" s="65" t="str">
        <f>IF(ActualVC_P6&lt;0,"incorrect timing",IF(ActualVC_P6&gt;0.8,"Increase Cycle",IF(ActualVC_P6&lt;0.25,"Reduce Cycle","feasible")))</f>
        <v>feasible</v>
      </c>
      <c r="Q21" s="65"/>
      <c r="R21" s="65"/>
      <c r="S21" s="65"/>
      <c r="T21" s="59" t="str">
        <f>IF(PT_P6-Walk_P6-FDW_P6+Y_P6+AR_P6&gt;0, "Ped Timing Accomodated", "Ped Timing Violated: Increase Cycle")</f>
        <v>Ped Timing Accomodated</v>
      </c>
      <c r="U21" s="59"/>
      <c r="V21" s="59"/>
    </row>
    <row r="22" spans="2:22" ht="15" thickBot="1" x14ac:dyDescent="0.35">
      <c r="B22" s="8">
        <f>F10</f>
        <v>7</v>
      </c>
      <c r="C22" s="6">
        <v>3</v>
      </c>
      <c r="D22" s="6">
        <v>1</v>
      </c>
      <c r="E22" s="6">
        <v>5</v>
      </c>
      <c r="F22" s="6"/>
      <c r="G22" s="6"/>
      <c r="H22" s="7" t="s">
        <v>1</v>
      </c>
      <c r="I22" s="6">
        <v>1</v>
      </c>
      <c r="J22" s="6">
        <v>0.85</v>
      </c>
      <c r="L22" s="3">
        <f>MAX(MinG_P7,ROUNDUP(Volume_P7/NoLane_P7*Cycle/ExpVC_P7/SFR_LT,0))</f>
        <v>9</v>
      </c>
      <c r="M22" s="3">
        <f>IF((ExpGreen_P3+ExpGreen_P4+Y_P3+Y_P4+AR_P3+AR_P4)&gt;(ExpGreen_P7+ExpGreen_P8+Y_P7+Y_P8+AR_P7+AR_P8),ROUNDUP(ExpGreen_P3+Y_P3+AR_P3+SLT-CLT_e,0)+ROUNDUP(ExpGreen_P4+Y_P4+AR_P4+SLT-CLT_e,0)-ROUNDUP((ExpGreen_P8+Y_P8+AR_P8-SLT-CLT_e)*(ExpGreen_P3+ExpGreen_P4+Y_P3+Y_P4+AR_P3+AR_P4+2*SLT-2*CLT_e)/(ExpGreen_P7+ExpGreen_P8+Y_P7+Y_P8+AR_P7+AR_P8+2*SLT-2*CLT_e),0),ROUNDUP(ExpGreen_P7+Y_P7+AR_P7+SLT-CLT_e,0))</f>
        <v>13</v>
      </c>
      <c r="N22" s="2">
        <f>SFR_LT*((PT_P7-SLT-AR_P7-Y_P7+CLT_e)/Cycle)</f>
        <v>101.25</v>
      </c>
      <c r="O22" s="1">
        <f>F9/I22/N22</f>
        <v>0.82962962962962961</v>
      </c>
    </row>
    <row r="23" spans="2:22" ht="15" thickBot="1" x14ac:dyDescent="0.35">
      <c r="B23" s="5">
        <f>D3</f>
        <v>8</v>
      </c>
      <c r="C23" s="4">
        <v>3</v>
      </c>
      <c r="D23" s="4">
        <v>1</v>
      </c>
      <c r="E23" s="4">
        <v>10</v>
      </c>
      <c r="F23" s="4">
        <v>7</v>
      </c>
      <c r="G23" s="4">
        <v>15</v>
      </c>
      <c r="H23" s="4" t="s">
        <v>0</v>
      </c>
      <c r="I23" s="4">
        <v>2</v>
      </c>
      <c r="J23" s="4">
        <v>0.85</v>
      </c>
      <c r="L23" s="3">
        <f>IF(PedViolate_P8="N",MAX((Walk_P8+FDW_P8-Y_P8-AR_P8),MAX(MinG_P8,ROUNDUP(Volume_P8/NoLane_P8*Cycle/ExpVC_P8/SFR_Thru,0))),MAX(MinG_P8,ROUNDUP(Volume_P8/NoLane_P8*Cycle/ExpVC_P8/SFR_Thru,0)))</f>
        <v>34</v>
      </c>
      <c r="M23" s="3">
        <f>IF((ExpGreen_P3+ExpGreen_P4+Y_P3+Y_P4+AR_P3+AR_P4)&gt;(ExpGreen_P7+ExpGreen_P8+Y_P7+Y_P8+AR_P7+AR_P8),ROUNDUP((ExpGreen_P8+Y_P8+AR_P8+SLT-CLT_e)*(ExpGreen_P3+ExpGreen_P4+Y_P3+Y_P4+AR_P3+AR_P4+2*SLT-2*CLT_e)/(ExpGreen_P7+ExpGreen_P8+Y_P7+Y_P8+AR_P7+AR_P8+2*SLT-2*CLT_e),0),ROUNDUP(ExpGreen_P8+Y_P8+AR_P8+SLT-CLT_e,0))</f>
        <v>38</v>
      </c>
      <c r="N23" s="2">
        <f>SFR_Thru*((PT_P8-SLT-AR_P8-Y_P8+CLT_e)/Cycle)</f>
        <v>403.75</v>
      </c>
      <c r="O23" s="1">
        <f>D4/I23/N23</f>
        <v>0.83219814241486068</v>
      </c>
    </row>
    <row r="24" spans="2:22" ht="15" thickTop="1" x14ac:dyDescent="0.3"/>
    <row r="32" spans="2:22" ht="21" x14ac:dyDescent="0.4">
      <c r="B32" s="58"/>
    </row>
  </sheetData>
  <mergeCells count="16">
    <mergeCell ref="T17:V17"/>
    <mergeCell ref="T21:V21"/>
    <mergeCell ref="T8:U8"/>
    <mergeCell ref="B1:J1"/>
    <mergeCell ref="K1:S1"/>
    <mergeCell ref="P17:S17"/>
    <mergeCell ref="P21:S21"/>
    <mergeCell ref="I6:J6"/>
    <mergeCell ref="I5:J5"/>
    <mergeCell ref="R5:S5"/>
    <mergeCell ref="L14:O14"/>
    <mergeCell ref="B14:J14"/>
    <mergeCell ref="R6:S6"/>
    <mergeCell ref="P19:S19"/>
    <mergeCell ref="D12:G12"/>
    <mergeCell ref="M12:P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7257-319A-4DA8-8591-4D6060F39EDD}">
  <dimension ref="B1:V22"/>
  <sheetViews>
    <sheetView topLeftCell="B1" zoomScale="85" zoomScaleNormal="85" workbookViewId="0">
      <selection activeCell="L20" sqref="L20"/>
    </sheetView>
  </sheetViews>
  <sheetFormatPr defaultRowHeight="14.4" x14ac:dyDescent="0.3"/>
  <cols>
    <col min="1" max="1" width="6.33203125" customWidth="1"/>
    <col min="2" max="2" width="10.6640625" customWidth="1"/>
    <col min="5" max="5" width="10.33203125" bestFit="1" customWidth="1"/>
    <col min="8" max="8" width="9.109375" customWidth="1"/>
    <col min="9" max="9" width="14.109375" customWidth="1"/>
    <col min="10" max="10" width="11.109375" customWidth="1"/>
    <col min="11" max="11" width="11.5546875" customWidth="1"/>
    <col min="13" max="13" width="9.33203125" customWidth="1"/>
    <col min="14" max="14" width="12.88671875" customWidth="1"/>
    <col min="17" max="17" width="10.5546875" customWidth="1"/>
    <col min="18" max="18" width="12" customWidth="1"/>
    <col min="19" max="19" width="10.44140625" customWidth="1"/>
    <col min="20" max="20" width="32.88671875" customWidth="1"/>
    <col min="21" max="21" width="11.6640625" customWidth="1"/>
    <col min="22" max="22" width="7.33203125" customWidth="1"/>
  </cols>
  <sheetData>
    <row r="1" spans="2:21" ht="26.4" thickTop="1" x14ac:dyDescent="0.5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2" t="s">
        <v>26</v>
      </c>
      <c r="L1" s="63"/>
      <c r="M1" s="63"/>
      <c r="N1" s="63"/>
      <c r="O1" s="63"/>
      <c r="P1" s="63"/>
      <c r="Q1" s="63"/>
      <c r="R1" s="63"/>
      <c r="S1" s="64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81" t="s">
        <v>30</v>
      </c>
      <c r="E3" s="74"/>
      <c r="K3" s="18"/>
      <c r="L3" s="3" t="s">
        <v>14</v>
      </c>
      <c r="M3" s="73" t="str">
        <f>D3</f>
        <v>8(3)</v>
      </c>
      <c r="N3" s="74"/>
      <c r="S3" s="17"/>
    </row>
    <row r="4" spans="2:21" ht="16.2" thickBot="1" x14ac:dyDescent="0.35">
      <c r="B4" s="18"/>
      <c r="C4" s="3" t="s">
        <v>22</v>
      </c>
      <c r="D4" s="85">
        <v>360</v>
      </c>
      <c r="E4" s="86"/>
      <c r="F4" s="24"/>
      <c r="G4" s="32" t="s">
        <v>22</v>
      </c>
      <c r="H4" s="3" t="s">
        <v>14</v>
      </c>
      <c r="K4" s="18"/>
      <c r="L4" s="3" t="s">
        <v>28</v>
      </c>
      <c r="M4" s="79">
        <f>IF(Verify_P2="feasible",IF(Verify_P6="feasible",PT_P3_8,"NA"),"NA")</f>
        <v>41</v>
      </c>
      <c r="N4" s="80"/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4">
        <v>731</v>
      </c>
      <c r="H5" s="31">
        <v>6</v>
      </c>
      <c r="I5" s="68" t="s">
        <v>23</v>
      </c>
      <c r="J5" s="69"/>
      <c r="K5" s="18"/>
      <c r="M5" s="24"/>
      <c r="N5" s="24"/>
      <c r="O5" s="24"/>
      <c r="P5" s="23">
        <f>IF(Verify_P2="feasible",IF(Verify_P6="feasible",PT_P6,"NA"),"NA")</f>
        <v>53</v>
      </c>
      <c r="Q5" s="31">
        <f>H5</f>
        <v>6</v>
      </c>
      <c r="R5" s="68" t="s">
        <v>23</v>
      </c>
      <c r="S5" s="69"/>
    </row>
    <row r="6" spans="2:21" ht="18" thickBot="1" x14ac:dyDescent="0.5">
      <c r="B6" s="18"/>
      <c r="D6" s="24"/>
      <c r="E6" s="24"/>
      <c r="F6" s="24"/>
      <c r="G6" s="39">
        <v>185</v>
      </c>
      <c r="H6" s="29">
        <v>1</v>
      </c>
      <c r="I6" s="66" t="s">
        <v>25</v>
      </c>
      <c r="J6" s="67"/>
      <c r="K6" s="18"/>
      <c r="M6" s="24"/>
      <c r="N6" s="24"/>
      <c r="O6" s="24"/>
      <c r="P6" s="30">
        <f>IF(Verify_P2="feasible",IF(Verify_P6="feasible",PT_P1,"NA"),"NA")</f>
        <v>18</v>
      </c>
      <c r="Q6" s="29">
        <f>H6</f>
        <v>1</v>
      </c>
      <c r="R6" s="66" t="s">
        <v>25</v>
      </c>
      <c r="S6" s="67"/>
    </row>
    <row r="7" spans="2:21" ht="16.2" thickBot="1" x14ac:dyDescent="0.35">
      <c r="B7" s="18"/>
      <c r="C7" s="28">
        <v>5</v>
      </c>
      <c r="D7" s="37">
        <v>144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16</v>
      </c>
      <c r="N7" s="24"/>
      <c r="O7" s="24"/>
      <c r="P7" s="24"/>
      <c r="S7" s="17"/>
      <c r="T7" s="60" t="s">
        <v>38</v>
      </c>
      <c r="U7" s="61"/>
    </row>
    <row r="8" spans="2:21" ht="16.8" thickTop="1" thickBot="1" x14ac:dyDescent="0.35">
      <c r="B8" s="26" t="s">
        <v>23</v>
      </c>
      <c r="C8" s="21">
        <v>2</v>
      </c>
      <c r="D8" s="38">
        <v>1082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51</v>
      </c>
      <c r="N8" s="24"/>
      <c r="O8" s="24"/>
      <c r="P8" s="24"/>
      <c r="S8" s="17"/>
      <c r="T8" s="49" t="s">
        <v>29</v>
      </c>
      <c r="U8" s="52">
        <v>1750</v>
      </c>
    </row>
    <row r="9" spans="2:21" ht="16.2" thickBot="1" x14ac:dyDescent="0.35">
      <c r="B9" s="18"/>
      <c r="C9" s="3" t="s">
        <v>14</v>
      </c>
      <c r="D9" s="3" t="s">
        <v>22</v>
      </c>
      <c r="F9" s="83">
        <v>494</v>
      </c>
      <c r="G9" s="84"/>
      <c r="H9" s="3" t="s">
        <v>22</v>
      </c>
      <c r="K9" s="18"/>
      <c r="L9" s="3" t="s">
        <v>14</v>
      </c>
      <c r="M9" s="3" t="s">
        <v>28</v>
      </c>
      <c r="O9" s="77">
        <f>IF(Verify_P2="feasible",IF(Verify_P6="feasible",PT_P4_7,"NA"),"NA")</f>
        <v>41</v>
      </c>
      <c r="P9" s="78"/>
      <c r="Q9" s="3" t="s">
        <v>28</v>
      </c>
      <c r="S9" s="17"/>
      <c r="T9" s="50" t="s">
        <v>24</v>
      </c>
      <c r="U9" s="53">
        <v>1800</v>
      </c>
    </row>
    <row r="10" spans="2:21" ht="15.6" thickTop="1" thickBot="1" x14ac:dyDescent="0.35">
      <c r="B10" s="18"/>
      <c r="F10" s="82" t="s">
        <v>31</v>
      </c>
      <c r="G10" s="76"/>
      <c r="H10" s="3" t="s">
        <v>14</v>
      </c>
      <c r="I10" s="27" t="s">
        <v>20</v>
      </c>
      <c r="J10" s="43">
        <f>IF((Volume_P3_8/NoLane_P3_8)&gt;(Volume_P4_7/NoLane_P4_7),Y_P3_8+AR_P3_8+SLT-CLT_e,Y_P4_7+AR_P4_7+SLT-CLT_e)+IF((Volume_P1/NoLane_P1+Volume_P2/NoLane_P2)&gt;(Volume_P5/NoLane_P5+Volume_P6/NoLane_P6),Y_P1+AR_P1+SLT-CLT_e+Y_P2+AR_P2+SLT-CLT_e,Y_P5+AR_P5+SLT-CLT_e+Y_P6+AR_P6-CLT_e+SLT)</f>
        <v>12</v>
      </c>
      <c r="K10" s="18"/>
      <c r="O10" s="75" t="str">
        <f>F10</f>
        <v>4(7)</v>
      </c>
      <c r="P10" s="76"/>
      <c r="Q10" s="3" t="s">
        <v>14</v>
      </c>
      <c r="S10" s="17"/>
      <c r="T10" s="50" t="s">
        <v>21</v>
      </c>
      <c r="U10" s="53">
        <v>1770</v>
      </c>
    </row>
    <row r="11" spans="2:21" ht="15" thickBot="1" x14ac:dyDescent="0.35">
      <c r="B11" s="18"/>
      <c r="F11" s="3"/>
      <c r="G11" s="3"/>
      <c r="I11" s="19" t="s">
        <v>19</v>
      </c>
      <c r="J11" s="48">
        <v>110</v>
      </c>
      <c r="K11" s="18"/>
      <c r="S11" s="17"/>
      <c r="T11" s="50" t="s">
        <v>39</v>
      </c>
      <c r="U11" s="54">
        <v>2</v>
      </c>
    </row>
    <row r="12" spans="2:21" ht="18" thickBot="1" x14ac:dyDescent="0.5">
      <c r="B12" s="15"/>
      <c r="C12" s="14"/>
      <c r="D12" s="72" t="s">
        <v>17</v>
      </c>
      <c r="E12" s="72"/>
      <c r="F12" s="72"/>
      <c r="G12" s="72"/>
      <c r="H12" s="14"/>
      <c r="I12" s="16" t="s">
        <v>18</v>
      </c>
      <c r="J12" s="35">
        <f>LostTime/(1-MAX(Volume_P1/NoLane_P1/SFR_LT+Volume_P2/NoLane_P2/SFR_Thru,Volume_P5/NoLane_P5/SFR_LT+Volume_P6/NoLane_P6/SFR_Thru)-MAX(Volume_P3_8/NoLane_P3_8/SFR_ThrTL,Volume_P4_7/NoLane_P4_7/SFR_ThrTL))*1.5</f>
        <v>57.574398986643764</v>
      </c>
      <c r="K12" s="15"/>
      <c r="L12" s="14"/>
      <c r="M12" s="72" t="s">
        <v>17</v>
      </c>
      <c r="N12" s="72"/>
      <c r="O12" s="72"/>
      <c r="P12" s="72"/>
      <c r="Q12" s="14"/>
      <c r="R12" s="14"/>
      <c r="S12" s="13"/>
      <c r="T12" s="51" t="s">
        <v>40</v>
      </c>
      <c r="U12" s="55">
        <v>2</v>
      </c>
    </row>
    <row r="13" spans="2:21" ht="15" thickTop="1" x14ac:dyDescent="0.3"/>
    <row r="14" spans="2:21" x14ac:dyDescent="0.3">
      <c r="B14" s="70" t="s">
        <v>16</v>
      </c>
      <c r="C14" s="70"/>
      <c r="D14" s="70"/>
      <c r="E14" s="70"/>
      <c r="F14" s="70"/>
      <c r="G14" s="70"/>
      <c r="H14" s="70"/>
      <c r="I14" s="70"/>
      <c r="J14" s="70"/>
      <c r="L14" s="70" t="s">
        <v>15</v>
      </c>
      <c r="M14" s="70"/>
      <c r="N14" s="70"/>
      <c r="O14" s="70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0.85</v>
      </c>
      <c r="L16" s="3">
        <f>MAX(MinG_P1,ROUNDUP(Volume_P1/NoLane_P1*Cycle/ExpVC_P1/SFR_LT,0))</f>
        <v>14</v>
      </c>
      <c r="M16" s="3">
        <f>ROUNDUP(ExpGreen_P1+AR_P1+Y_P1+SLT-CLT_e,0)</f>
        <v>18</v>
      </c>
      <c r="N16" s="2">
        <f>SFR_LT*((PT_P1-SLT-Y_P1-AR_P1+CLT_e)/Cycle)</f>
        <v>225.27272727272725</v>
      </c>
      <c r="O16" s="1">
        <f>G6/I16/N16</f>
        <v>0.82122679580306701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M17" s="3">
        <f>IF((ExpGreen_P3_8+Y_P3_8+AR_P3_8)&gt;(ExpGreen_P4_7+Y_P4_7+AR_P4_7),Cycle-ExpGreen_P3_8-Y_P3_8-AR_P3_8-SLT+CLT_e-ExpGreen_P1-Y_P1-AR_P1-SLT+CLT_e,Cycle-ExpGreen_P4_7-Y_P4_7-AR_P4_7-SLT+CLT_e-ExpGreen_P1-Y_P1-AR_P1-SLT+CLT_e)</f>
        <v>51</v>
      </c>
      <c r="N17" s="2">
        <f>SFR_Thru*((PT_P2-SLT-Y_P2-AR_P2+CLT_e)/Cycle)</f>
        <v>769.09090909090901</v>
      </c>
      <c r="O17" s="40">
        <f>D8/I17/N17</f>
        <v>0.70342789598108757</v>
      </c>
      <c r="P17" s="65" t="str">
        <f>IF(ActualVC_P2&lt;0,"incorrect timing",IF(ActualVC_P2&gt;0.8,"Increase Cycle",IF(ActualVC_P2&lt;0.25,"Reduce Cycle","feasible")))</f>
        <v>feasible</v>
      </c>
      <c r="Q17" s="65"/>
      <c r="R17" s="65"/>
      <c r="S17" s="65"/>
      <c r="T17" s="59" t="str">
        <f>IF(PT_P2-Walk_P2-FDW_P2+Y_P2+AR_P2&gt;0,"Ped Timing Accomodated", "Ped Timing Violated: Increase Cycle")</f>
        <v>Ped Timing Accomodated</v>
      </c>
      <c r="U17" s="59"/>
      <c r="V17" s="59"/>
    </row>
    <row r="18" spans="2:22" ht="15" thickBot="1" x14ac:dyDescent="0.35">
      <c r="B18" s="8">
        <f>C7</f>
        <v>5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</v>
      </c>
      <c r="L18" s="3">
        <f>MAX(MinG_P5,ROUNDUP(Volume_P5/NoLane_P5*Cycle/ExpVC_P5/SFR_LT,0))</f>
        <v>12</v>
      </c>
      <c r="M18" s="3">
        <f>ROUNDUP(ExpGreen_P5+AR_P5+Y_P5+SLT-CLT_e,0)</f>
        <v>16</v>
      </c>
      <c r="N18" s="2">
        <f>SFR_LT*((PT_P5-SLT-Y_P5-AR_P5+CLT_e)/Cycle)</f>
        <v>193.09090909090909</v>
      </c>
      <c r="O18" s="1">
        <f>D7/I18/N18</f>
        <v>0.74576271186440679</v>
      </c>
    </row>
    <row r="19" spans="2:22" ht="15" thickBot="1" x14ac:dyDescent="0.35">
      <c r="B19" s="8">
        <f>H5</f>
        <v>6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7" t="s">
        <v>1</v>
      </c>
      <c r="I19" s="6">
        <v>2</v>
      </c>
      <c r="J19" s="7" t="s">
        <v>1</v>
      </c>
      <c r="L19" s="3"/>
      <c r="M19" s="3">
        <f>IF((ExpGreen_P3_8+Y_P3_8+AR_P3_8)&gt;(ExpGreen_P4_7+Y_P4_7+AR_P4_7),Cycle-ExpGreen_P3_8-Y_P3_8-AR_P3_8-SLT+CLT_e-ExpGreen_P5-Y_P5-AR_P5-SLT+CLT_e,Cycle-ExpGreen_P4_7-Y_P4_7-AR_P4_7-SLT+CLT_e-ExpGreen_P5-Y_P5-AR_P5-SLT+CLT_e)</f>
        <v>53</v>
      </c>
      <c r="N19" s="2">
        <f>SFR_Thru*((PT_P6-SLT-Y_P6-AR_P6+CLT_e)/Cycle)</f>
        <v>801.81818181818176</v>
      </c>
      <c r="O19" s="40">
        <f>G5/I19/N19</f>
        <v>0.45583900226757373</v>
      </c>
      <c r="P19" s="65" t="str">
        <f>IF(ActualVC_P6&lt;0,"incorrect timing",IF(ActualVC_P6&gt;0.8,"Increase Cycle",IF(ActualVC_P6&lt;0.25,"Reduce Cycle","feasible")))</f>
        <v>feasible</v>
      </c>
      <c r="Q19" s="65"/>
      <c r="R19" s="65"/>
      <c r="S19" s="65"/>
      <c r="T19" s="59" t="str">
        <f>IF(PT_P6-Walk_P6-FDW_P6+Y_P6+AR_P6&gt;0,"Ped Timing Accomodated", "Ped Timing Violated: Increase Cycle")</f>
        <v>Ped Timing Accomodated</v>
      </c>
      <c r="U19" s="59"/>
      <c r="V19" s="59"/>
    </row>
    <row r="20" spans="2:22" ht="15" thickBot="1" x14ac:dyDescent="0.35">
      <c r="B20" s="8" t="str">
        <f>F10</f>
        <v>4(7)</v>
      </c>
      <c r="C20" s="6">
        <v>3</v>
      </c>
      <c r="D20" s="6">
        <v>1</v>
      </c>
      <c r="E20" s="6">
        <v>5</v>
      </c>
      <c r="F20" s="6">
        <v>7</v>
      </c>
      <c r="G20" s="6">
        <v>15</v>
      </c>
      <c r="H20" s="4" t="s">
        <v>0</v>
      </c>
      <c r="I20" s="6">
        <v>1</v>
      </c>
      <c r="J20" s="6">
        <v>0.85</v>
      </c>
      <c r="L20" s="3">
        <f>IF(PedViolate_P4_7="N",MAX((Walk_P4_7+FDW_P4_7-Y_P4_7-AR_P4_7),MAX(MinG_P4_7,ROUNDUP(Volume_P4_7/NoLane_P4_7*Cycle/ExpVC_P4_7/SFR_ThrTL,0))),MAX(MinG_P4_7,ROUNDUP(Volume_P4_7/NoLane_P4_7*Cycle/ExpVC_P4_7/SFR_ThrTL,0)))</f>
        <v>37</v>
      </c>
      <c r="M20" s="3">
        <f>IF((ExpGreen_P3_8+Y_P3_8+AR_P3_8)&gt;(ExpGreen_P4_7+Y_P4_7+AR_P4_7),ROUNDUP(ExpGreen_P3_8+Y_P3_8+AR_P3_8+SLT-CLT_e,0),ROUNDUP(ExpGreen_P4_7+Y_P4_7+AR_P4_7+SLT-CLT_e,0))</f>
        <v>41</v>
      </c>
      <c r="N20" s="2">
        <f>SFR_ThrTL*((PT_P4_7-SLT-Y_P4_7-AR_P4_7+CLT_e)/Cycle)</f>
        <v>588.63636363636363</v>
      </c>
      <c r="O20" s="1">
        <f>F9/I20/N20</f>
        <v>0.83922779922779922</v>
      </c>
    </row>
    <row r="21" spans="2:22" ht="15" thickBot="1" x14ac:dyDescent="0.35">
      <c r="B21" s="5" t="str">
        <f>D3</f>
        <v>8(3)</v>
      </c>
      <c r="C21" s="4">
        <v>3</v>
      </c>
      <c r="D21" s="4">
        <v>1</v>
      </c>
      <c r="E21" s="4">
        <v>10</v>
      </c>
      <c r="F21" s="4">
        <v>7</v>
      </c>
      <c r="G21" s="4">
        <v>15</v>
      </c>
      <c r="H21" s="4" t="s">
        <v>0</v>
      </c>
      <c r="I21" s="4">
        <v>2</v>
      </c>
      <c r="J21" s="4">
        <v>0.85</v>
      </c>
      <c r="L21" s="3">
        <f>IF(PedViolate_P3_8="N",MAX((Walk_P3_8+FDW_P3_8-Y_P3_8-AR_P3_8),MAX(MinG_P3_8,ROUNDUP(Volume_P3_8/NoLane_P3_8*Cycle/ExpVC_P3_8/SFR_ThrTL,0))),MAX(MinG_P3_8,ROUNDUP(Volume_P3_8/NoLane_P3_8*Cycle/ExpVC_P3_8/SFR_ThrTL,0)))</f>
        <v>18</v>
      </c>
      <c r="M21" s="3">
        <f>IF((ExpGreen_P3_8+Y_P3_8+AR_P3_8)&gt;(ExpGreen_P4_7+Y_P4_7+AR_P4_7),ROUNDUP(ExpGreen_P3_8+Y_P3_8+AR_P3_8+SLT-CLT_e,0),ROUNDUP(ExpGreen_P4_7+Y_P4_7+AR_P4_7+SLT-CLT_e,0))</f>
        <v>41</v>
      </c>
      <c r="N21" s="2">
        <f>SFR_ThrTL*((PT_P3_8-SLT-Y_P3_8-AR_P3_8+CLT_e)/Cycle)</f>
        <v>588.63636363636363</v>
      </c>
      <c r="O21" s="1">
        <f>D4/I21/N21</f>
        <v>0.30579150579150582</v>
      </c>
      <c r="P21" s="71" t="str">
        <f>IF(PT_P1+PT_P2-PT_P5-PT_P6=0,IF(PT_P3_8-PT_P4_7=0,IF(SUM(M16:M21)-Cycle*2=0,"Ring-barrier Check: PASS","Ring-barrier Check: FAIL"),"Ring-barrier Check: FAIL"),"Ring-barrier Check: FAIL")</f>
        <v>Ring-barrier Check: PASS</v>
      </c>
      <c r="Q21" s="71"/>
      <c r="R21" s="71"/>
      <c r="S21" s="71"/>
    </row>
    <row r="22" spans="2:22" ht="15" thickTop="1" x14ac:dyDescent="0.3"/>
  </sheetData>
  <mergeCells count="24">
    <mergeCell ref="T17:V17"/>
    <mergeCell ref="T19:V19"/>
    <mergeCell ref="T7:U7"/>
    <mergeCell ref="P19:S19"/>
    <mergeCell ref="D3:E3"/>
    <mergeCell ref="F10:G10"/>
    <mergeCell ref="F9:G9"/>
    <mergeCell ref="D4:E4"/>
    <mergeCell ref="D12:G12"/>
    <mergeCell ref="M12:P12"/>
    <mergeCell ref="B14:J14"/>
    <mergeCell ref="L14:O14"/>
    <mergeCell ref="P17:S17"/>
    <mergeCell ref="P21:S21"/>
    <mergeCell ref="M3:N3"/>
    <mergeCell ref="O10:P10"/>
    <mergeCell ref="O9:P9"/>
    <mergeCell ref="M4:N4"/>
    <mergeCell ref="B1:J1"/>
    <mergeCell ref="K1:S1"/>
    <mergeCell ref="I5:J5"/>
    <mergeCell ref="R5:S5"/>
    <mergeCell ref="I6:J6"/>
    <mergeCell ref="R6:S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4011-0A69-4D7B-A409-EE1B277BEB49}">
  <dimension ref="B1:V20"/>
  <sheetViews>
    <sheetView zoomScale="85" zoomScaleNormal="85" workbookViewId="0">
      <selection activeCell="T22" sqref="T22"/>
    </sheetView>
  </sheetViews>
  <sheetFormatPr defaultRowHeight="14.4" x14ac:dyDescent="0.3"/>
  <cols>
    <col min="1" max="1" width="6.33203125" customWidth="1"/>
    <col min="2" max="2" width="10.6640625" customWidth="1"/>
    <col min="5" max="5" width="10.33203125" bestFit="1" customWidth="1"/>
    <col min="8" max="8" width="10.33203125" customWidth="1"/>
    <col min="9" max="9" width="14.109375" customWidth="1"/>
    <col min="10" max="10" width="11.109375" customWidth="1"/>
    <col min="11" max="11" width="11.5546875" customWidth="1"/>
    <col min="14" max="14" width="11.5546875" customWidth="1"/>
    <col min="17" max="17" width="10.5546875" customWidth="1"/>
    <col min="18" max="18" width="12" customWidth="1"/>
    <col min="19" max="19" width="10.44140625" customWidth="1"/>
    <col min="20" max="20" width="30.6640625" customWidth="1"/>
    <col min="22" max="22" width="17.5546875" customWidth="1"/>
  </cols>
  <sheetData>
    <row r="1" spans="2:22" ht="26.4" thickTop="1" x14ac:dyDescent="0.5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2" t="s">
        <v>26</v>
      </c>
      <c r="L1" s="63"/>
      <c r="M1" s="63"/>
      <c r="N1" s="63"/>
      <c r="O1" s="63"/>
      <c r="P1" s="63"/>
      <c r="Q1" s="63"/>
      <c r="R1" s="63"/>
      <c r="S1" s="64"/>
    </row>
    <row r="2" spans="2:22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2" x14ac:dyDescent="0.3">
      <c r="B3" s="18"/>
      <c r="C3" s="3" t="s">
        <v>14</v>
      </c>
      <c r="D3" s="81" t="s">
        <v>30</v>
      </c>
      <c r="E3" s="74"/>
      <c r="K3" s="18"/>
      <c r="L3" s="3" t="s">
        <v>14</v>
      </c>
      <c r="M3" s="73" t="str">
        <f>D3</f>
        <v>8(3)</v>
      </c>
      <c r="N3" s="74"/>
      <c r="S3" s="17"/>
    </row>
    <row r="4" spans="2:22" ht="16.2" thickBot="1" x14ac:dyDescent="0.35">
      <c r="B4" s="18"/>
      <c r="C4" s="3" t="s">
        <v>22</v>
      </c>
      <c r="D4" s="85">
        <v>285</v>
      </c>
      <c r="E4" s="86"/>
      <c r="F4" s="24"/>
      <c r="G4" s="32" t="s">
        <v>22</v>
      </c>
      <c r="H4" s="3" t="s">
        <v>14</v>
      </c>
      <c r="K4" s="18"/>
      <c r="L4" s="3" t="s">
        <v>28</v>
      </c>
      <c r="M4" s="79">
        <f>IF(Verify_P2_5="feasible",IF(Verify_P1_6="feasible",PT_P3_8,"NA"),"NA")</f>
        <v>22</v>
      </c>
      <c r="N4" s="80"/>
      <c r="O4" s="24"/>
      <c r="P4" s="3" t="s">
        <v>28</v>
      </c>
      <c r="Q4" s="3" t="s">
        <v>14</v>
      </c>
      <c r="S4" s="17"/>
    </row>
    <row r="5" spans="2:22" ht="15.6" customHeight="1" x14ac:dyDescent="0.3">
      <c r="B5" s="18"/>
      <c r="D5" s="24"/>
      <c r="E5" s="24"/>
      <c r="F5" s="24"/>
      <c r="G5" s="83">
        <v>950</v>
      </c>
      <c r="H5" s="74" t="s">
        <v>35</v>
      </c>
      <c r="I5" s="68" t="s">
        <v>23</v>
      </c>
      <c r="J5" s="69"/>
      <c r="K5" s="18"/>
      <c r="M5" s="24"/>
      <c r="N5" s="24"/>
      <c r="O5" s="24"/>
      <c r="P5" s="77">
        <f>IF(Verify_P1_6="feasible",IF(Verify_P1_6="feasible",PT_P1_6,"NA"),"NA")</f>
        <v>33</v>
      </c>
      <c r="Q5" s="74" t="str">
        <f>H5</f>
        <v>6(1)</v>
      </c>
      <c r="R5" s="68" t="s">
        <v>23</v>
      </c>
      <c r="S5" s="69"/>
    </row>
    <row r="6" spans="2:22" ht="18" thickBot="1" x14ac:dyDescent="0.5">
      <c r="B6" s="18"/>
      <c r="D6" s="24"/>
      <c r="E6" s="24"/>
      <c r="F6" s="24"/>
      <c r="G6" s="85"/>
      <c r="H6" s="76"/>
      <c r="I6" s="66" t="s">
        <v>25</v>
      </c>
      <c r="J6" s="67"/>
      <c r="K6" s="18"/>
      <c r="M6" s="24"/>
      <c r="N6" s="24"/>
      <c r="O6" s="24"/>
      <c r="P6" s="79"/>
      <c r="Q6" s="76"/>
      <c r="R6" s="66" t="s">
        <v>25</v>
      </c>
      <c r="S6" s="67"/>
    </row>
    <row r="7" spans="2:22" ht="15.6" customHeight="1" x14ac:dyDescent="0.3">
      <c r="B7" s="18"/>
      <c r="C7" s="73" t="s">
        <v>34</v>
      </c>
      <c r="D7" s="84">
        <v>1194</v>
      </c>
      <c r="E7" s="24"/>
      <c r="F7" s="24"/>
      <c r="G7" s="24"/>
      <c r="I7" s="42"/>
      <c r="J7" s="17"/>
      <c r="L7" s="73" t="str">
        <f>C7</f>
        <v>2(5)</v>
      </c>
      <c r="M7" s="78">
        <f>IF(Verify_P2_5="feasible",IF(Verify_P2_5="feasible",PT_P2_5,"NA"),"NA")</f>
        <v>33</v>
      </c>
      <c r="N7" s="24"/>
      <c r="O7" s="24"/>
      <c r="P7" s="24"/>
      <c r="S7" s="17"/>
    </row>
    <row r="8" spans="2:22" ht="15" thickBot="1" x14ac:dyDescent="0.35">
      <c r="B8" s="26" t="s">
        <v>23</v>
      </c>
      <c r="C8" s="75"/>
      <c r="D8" s="86"/>
      <c r="E8" s="24"/>
      <c r="F8" s="24"/>
      <c r="G8" s="24"/>
      <c r="I8" s="42"/>
      <c r="J8" s="57"/>
      <c r="K8" s="41" t="s">
        <v>23</v>
      </c>
      <c r="L8" s="75"/>
      <c r="M8" s="80"/>
      <c r="N8" s="24"/>
      <c r="O8" s="24"/>
      <c r="P8" s="24"/>
      <c r="S8" s="17"/>
    </row>
    <row r="9" spans="2:22" ht="16.2" thickBot="1" x14ac:dyDescent="0.35">
      <c r="B9" s="18"/>
      <c r="C9" s="3" t="s">
        <v>14</v>
      </c>
      <c r="D9" s="3" t="s">
        <v>22</v>
      </c>
      <c r="F9" s="83">
        <v>296</v>
      </c>
      <c r="G9" s="84"/>
      <c r="H9" s="3" t="s">
        <v>22</v>
      </c>
      <c r="J9" s="13"/>
      <c r="K9" s="18"/>
      <c r="L9" s="3" t="s">
        <v>14</v>
      </c>
      <c r="M9" s="3" t="s">
        <v>28</v>
      </c>
      <c r="O9" s="77">
        <f>IF(Verify_P2_5="feasible",IF(Verify_P1_6="feasible",PT_P4_7,"NA"),"NA")</f>
        <v>22</v>
      </c>
      <c r="P9" s="78"/>
      <c r="Q9" s="3" t="s">
        <v>28</v>
      </c>
      <c r="S9" s="17"/>
      <c r="T9" s="60" t="s">
        <v>38</v>
      </c>
      <c r="U9" s="61"/>
    </row>
    <row r="10" spans="2:22" ht="15.6" thickTop="1" thickBot="1" x14ac:dyDescent="0.35">
      <c r="B10" s="18"/>
      <c r="F10" s="82" t="s">
        <v>31</v>
      </c>
      <c r="G10" s="76"/>
      <c r="H10" s="3" t="s">
        <v>14</v>
      </c>
      <c r="I10" s="27" t="s">
        <v>20</v>
      </c>
      <c r="J10" s="43">
        <f>IF((Volume_P3_8/NoLane_P3_8)&gt;(Volume_P4_7/NoLane_P4_7),Y_P3_8+AR_P3_8+STL-CLT_e,Y_P4_7+AR_P4_7+STL-CLT_e)+IF((Volume_P1_6/NoLane_P1_6)&gt;(Volume_P2_5/NoLane_P2_5),Y_P1_6+AR_P1_6+STL-CLT_e,Y_P2_5+AR_P2_5+STL-CLT_e)</f>
        <v>8</v>
      </c>
      <c r="K10" s="18"/>
      <c r="O10" s="75" t="str">
        <f>F10</f>
        <v>4(7)</v>
      </c>
      <c r="P10" s="76"/>
      <c r="Q10" s="3" t="s">
        <v>14</v>
      </c>
      <c r="S10" s="17"/>
      <c r="T10" s="49" t="s">
        <v>29</v>
      </c>
      <c r="U10" s="56">
        <v>1600</v>
      </c>
    </row>
    <row r="11" spans="2:22" ht="15" thickBot="1" x14ac:dyDescent="0.35">
      <c r="B11" s="18"/>
      <c r="F11" s="3"/>
      <c r="G11" s="3"/>
      <c r="I11" s="19" t="s">
        <v>19</v>
      </c>
      <c r="J11" s="48">
        <v>55</v>
      </c>
      <c r="K11" s="18"/>
      <c r="S11" s="17"/>
      <c r="T11" s="50" t="s">
        <v>39</v>
      </c>
      <c r="U11" s="54">
        <v>2</v>
      </c>
    </row>
    <row r="12" spans="2:22" ht="18" thickBot="1" x14ac:dyDescent="0.5">
      <c r="B12" s="15"/>
      <c r="C12" s="14"/>
      <c r="D12" s="72" t="s">
        <v>17</v>
      </c>
      <c r="E12" s="72"/>
      <c r="F12" s="72"/>
      <c r="G12" s="72"/>
      <c r="H12" s="14"/>
      <c r="I12" s="16" t="s">
        <v>18</v>
      </c>
      <c r="J12" s="35">
        <f>LostTime/(1-MAX(Volume_P1_6/NoLane_P1_6/SFR_ThrTL,Volume_P2_5/NoLane_P2_5/SFR_ThrTL)-MAX(Volume_P3_8/NoLane_P3_8/SFR_ThrTL,Volume_P4_7/NoLane_P4_7/SFR_ThrTL))*1.5</f>
        <v>27.15700141442715</v>
      </c>
      <c r="K12" s="15"/>
      <c r="L12" s="14"/>
      <c r="M12" s="72" t="s">
        <v>17</v>
      </c>
      <c r="N12" s="72"/>
      <c r="O12" s="72"/>
      <c r="P12" s="72"/>
      <c r="Q12" s="14"/>
      <c r="R12" s="14"/>
      <c r="S12" s="13"/>
      <c r="T12" s="51" t="s">
        <v>40</v>
      </c>
      <c r="U12" s="55">
        <v>2</v>
      </c>
    </row>
    <row r="13" spans="2:22" ht="15" thickTop="1" x14ac:dyDescent="0.3"/>
    <row r="14" spans="2:22" x14ac:dyDescent="0.3">
      <c r="B14" s="70" t="s">
        <v>16</v>
      </c>
      <c r="C14" s="70"/>
      <c r="D14" s="70"/>
      <c r="E14" s="70"/>
      <c r="F14" s="70"/>
      <c r="G14" s="70"/>
      <c r="H14" s="70"/>
      <c r="I14" s="70"/>
      <c r="J14" s="70"/>
      <c r="L14" s="70" t="s">
        <v>15</v>
      </c>
      <c r="M14" s="70"/>
      <c r="N14" s="70"/>
      <c r="O14" s="70"/>
    </row>
    <row r="15" spans="2:22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2" ht="15" thickBot="1" x14ac:dyDescent="0.35">
      <c r="B16" s="8" t="str">
        <f>C7</f>
        <v>2(5)</v>
      </c>
      <c r="C16" s="6">
        <v>3</v>
      </c>
      <c r="D16" s="6">
        <v>1</v>
      </c>
      <c r="E16" s="6">
        <v>10</v>
      </c>
      <c r="F16" s="6">
        <v>7</v>
      </c>
      <c r="G16" s="6">
        <v>15</v>
      </c>
      <c r="H16" s="7" t="s">
        <v>1</v>
      </c>
      <c r="I16" s="6">
        <v>2</v>
      </c>
      <c r="J16" s="7" t="s">
        <v>1</v>
      </c>
      <c r="M16" s="3">
        <f>IF((ExpGreen_P3_8+Y_P3_8+AR_P3_8)&gt;(ExpGreen_P4_7+Y_P4_7+AR_P4_7),Cycle-ExpGreen_P3_8-Y_P3_8-AR_P3_8-STL+CLT_e,Cycle-ExpGreen_P4_7-Y_P4_7-AR_P4_7-STL+CLT_e)</f>
        <v>33</v>
      </c>
      <c r="N16" s="2">
        <f>SFR_ThrTL*((PT_P2_5-SLT-Y_P2_5-AR_P2_5+CLT_e)/Cycle)</f>
        <v>843.63636363636351</v>
      </c>
      <c r="O16" s="1">
        <f>D7/NoLane_P2_5/N16</f>
        <v>0.70765086206896566</v>
      </c>
      <c r="P16" s="65" t="str">
        <f>IF(ActualVC_P2_5&lt;0,"incorrect timing",IF(ActualVC_P2_5&gt;0.9,"Increase Cycle",IF(ActualVC_P2_5&lt;0.25,"Reduce Cycle","feasible")))</f>
        <v>feasible</v>
      </c>
      <c r="Q16" s="65"/>
      <c r="R16" s="65"/>
      <c r="S16" s="65"/>
      <c r="T16" s="59" t="str">
        <f>IF(PT_P2_5-Walk_P2_5-FDW_P2_5+Y_P2_5+AR_P2_5&gt;0,"Ped Timing Accomodated", "Ped Timing Violated: Increase Cycle")</f>
        <v>Ped Timing Accomodated</v>
      </c>
      <c r="U16" s="59"/>
      <c r="V16" s="59"/>
    </row>
    <row r="17" spans="2:22" ht="15" thickBot="1" x14ac:dyDescent="0.35">
      <c r="B17" s="8" t="str">
        <f>H5</f>
        <v>6(1)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L17" s="3"/>
      <c r="M17" s="3">
        <f>IF((ExpGreen_P3_8+Y_P3_8+AR_P3_8)&gt;(ExpGreen_P4_7+Y_P4_7+AR_P4_7),Cycle-ExpGreen_P3_8-Y_P3_8-AR_P3_8-STL+CLT_e,Cycle-ExpGreen_P4_7-Y_P4_7-AR_P4_7-STL+CLT_e)</f>
        <v>33</v>
      </c>
      <c r="N17" s="2">
        <f>SFR_ThrTL*((PT_P1_6-SLT-Y_P1_6-AR_P1_6+CLT_e)/Cycle)</f>
        <v>843.63636363636351</v>
      </c>
      <c r="O17" s="1">
        <f>G5/I17/N17</f>
        <v>0.5630387931034484</v>
      </c>
      <c r="P17" s="65" t="str">
        <f>IF(ActualVC_P1_6&lt;0,"incorrect timing",IF(ActualVC_P1_6&gt;0.9,"Increase Cycle",IF(ActualVC_P1_6&lt;0.25,"Reduce Cycle","feasible")))</f>
        <v>feasible</v>
      </c>
      <c r="Q17" s="65"/>
      <c r="R17" s="65"/>
      <c r="S17" s="65"/>
      <c r="T17" s="59" t="str">
        <f>IF(PT_P1_6-Walk_P1_6-FDW_P1_6+Y_P1_6+AR_P1_6&gt;0,"Ped Timing Accomodated", "Ped Timing Violated: Increase Cycle")</f>
        <v>Ped Timing Accomodated</v>
      </c>
      <c r="U17" s="59"/>
      <c r="V17" s="59"/>
    </row>
    <row r="18" spans="2:22" ht="15" thickBot="1" x14ac:dyDescent="0.35">
      <c r="B18" s="8" t="str">
        <f>F10</f>
        <v>4(7)</v>
      </c>
      <c r="C18" s="6">
        <v>3</v>
      </c>
      <c r="D18" s="6">
        <v>1</v>
      </c>
      <c r="E18" s="6">
        <v>10</v>
      </c>
      <c r="F18" s="6">
        <v>7</v>
      </c>
      <c r="G18" s="6">
        <v>15</v>
      </c>
      <c r="H18" s="4" t="s">
        <v>0</v>
      </c>
      <c r="I18" s="6">
        <v>1</v>
      </c>
      <c r="J18" s="6">
        <v>0.85</v>
      </c>
      <c r="L18" s="3">
        <f>IF(PedViolate_P4_7="N",MAX((Walk_P4_7+FDW_P4_7-Y_P4_7-AR_P4_7),MAX(MinG_P4_7,ROUNDUP(Volume_P4_7/NoLane_P4_7*Cycle/ExpVC_P4_7/SFR_ThrTL,0))),MAX(MinG_P4_7,ROUNDUP(Volume_P4_7/NoLane_P4_7*Cycle/ExpVC_P4_7/SFR_ThrTL,0)))</f>
        <v>18</v>
      </c>
      <c r="M18" s="3">
        <f>IF((ExpGreen_P3_8+Y_P3_8+AR_P3_8)&gt;(ExpGreen_P4_7+Y_P4_7+AR_P4_7),ROUNDUP(ExpGreen_P3_8+Y_P3_8+AR_P3_8+STL-CLT_e,0),ROUNDUP(ExpGreen_P4_7+Y_P4_7+AR_P4_7+STL-CLT_e,0))</f>
        <v>22</v>
      </c>
      <c r="N18" s="2">
        <f>SFR_ThrTL*((PT_P4_7-SLT-Y_P4_7-AR_P4_7+CLT_e)/Cycle)</f>
        <v>523.63636363636363</v>
      </c>
      <c r="O18" s="1">
        <f>F9/I18/N18</f>
        <v>0.56527777777777777</v>
      </c>
    </row>
    <row r="19" spans="2:22" ht="15" thickBot="1" x14ac:dyDescent="0.35">
      <c r="B19" s="5" t="str">
        <f>D3</f>
        <v>8(3)</v>
      </c>
      <c r="C19" s="4">
        <v>3</v>
      </c>
      <c r="D19" s="4">
        <v>1</v>
      </c>
      <c r="E19" s="4">
        <v>10</v>
      </c>
      <c r="F19" s="4">
        <v>7</v>
      </c>
      <c r="G19" s="4">
        <v>15</v>
      </c>
      <c r="H19" s="4" t="s">
        <v>0</v>
      </c>
      <c r="I19" s="4">
        <v>1</v>
      </c>
      <c r="J19" s="4">
        <v>0.85</v>
      </c>
      <c r="L19" s="3">
        <f>IF(PedViolate_P3_8="N",MAX((Walk_P3_8+FDW_P3_8-Y_P3_8-AR_P3_8),MAX(MinG_P3_8,ROUNDUP(Volume_P3_8/NoLane_P3_8*Cycle/ExpVC_P3_8/SFR_ThrTL,0))),MAX(MinG_P3_8,ROUNDUP(Volume_P3_8/NoLane_P3_8*Cycle/ExpVC_P3_8/SFR_ThrTL,0)))</f>
        <v>18</v>
      </c>
      <c r="M19" s="3">
        <f>IF((ExpGreen_P3_8+Y_P3_8+AR_P3_8)&gt;(ExpGreen_P4_7+Y_P4_7+AR_P4_7),ROUNDUP(ExpGreen_P3_8+Y_P3_8+AR_P3_8+STL-CLT_e,0),ROUNDUP(ExpGreen_P4_7+Y_P4_7+AR_P4_7+STL-CLT_e,0))</f>
        <v>22</v>
      </c>
      <c r="N19" s="2">
        <f>SFR_ThrTL*((PT_P3_8-SLT-Y_P3_8-AR_P3_8+CLT_e)/Cycle)</f>
        <v>523.63636363636363</v>
      </c>
      <c r="O19" s="1">
        <f>D4/I19/N19</f>
        <v>0.54427083333333337</v>
      </c>
      <c r="P19" s="71" t="str">
        <f>IF(PT_P1_6-PT_P2_5=0,IF(PT_P3_8-PT_P4_7=0,IF(SUM(M16:M19)-Cycle*2=0,"Ring-barrier Check: PASS","Ring-barrier Check: FAIL"),"Ring-barrier Check: FAIL"),"Ring-barrier Check: FAIL")</f>
        <v>Ring-barrier Check: PASS</v>
      </c>
      <c r="Q19" s="71"/>
      <c r="R19" s="71"/>
      <c r="S19" s="71"/>
    </row>
    <row r="20" spans="2:22" ht="15" thickTop="1" x14ac:dyDescent="0.3"/>
  </sheetData>
  <mergeCells count="32">
    <mergeCell ref="T16:V16"/>
    <mergeCell ref="T17:V17"/>
    <mergeCell ref="M7:M8"/>
    <mergeCell ref="P5:P6"/>
    <mergeCell ref="T9:U9"/>
    <mergeCell ref="P17:S17"/>
    <mergeCell ref="P19:S19"/>
    <mergeCell ref="P16:S16"/>
    <mergeCell ref="L7:L8"/>
    <mergeCell ref="Q5:Q6"/>
    <mergeCell ref="C7:C8"/>
    <mergeCell ref="H5:H6"/>
    <mergeCell ref="D7:D8"/>
    <mergeCell ref="G5:G6"/>
    <mergeCell ref="F10:G10"/>
    <mergeCell ref="O10:P10"/>
    <mergeCell ref="D12:G12"/>
    <mergeCell ref="M12:P12"/>
    <mergeCell ref="B14:J14"/>
    <mergeCell ref="L14:O14"/>
    <mergeCell ref="I5:J5"/>
    <mergeCell ref="R5:S5"/>
    <mergeCell ref="I6:J6"/>
    <mergeCell ref="R6:S6"/>
    <mergeCell ref="F9:G9"/>
    <mergeCell ref="O9:P9"/>
    <mergeCell ref="B1:J1"/>
    <mergeCell ref="K1:S1"/>
    <mergeCell ref="D3:E3"/>
    <mergeCell ref="M3:N3"/>
    <mergeCell ref="D4:E4"/>
    <mergeCell ref="M4:N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8CD6-C3EE-4E95-B78A-D2EF46D92A42}">
  <dimension ref="B1:V22"/>
  <sheetViews>
    <sheetView zoomScale="85" zoomScaleNormal="85" workbookViewId="0">
      <selection activeCell="L20" sqref="L20"/>
    </sheetView>
  </sheetViews>
  <sheetFormatPr defaultRowHeight="14.4" x14ac:dyDescent="0.3"/>
  <cols>
    <col min="1" max="1" width="6.33203125" customWidth="1"/>
    <col min="2" max="2" width="10.6640625" customWidth="1"/>
    <col min="5" max="5" width="10.33203125" bestFit="1" customWidth="1"/>
    <col min="8" max="8" width="9.109375" customWidth="1"/>
    <col min="9" max="9" width="14.109375" customWidth="1"/>
    <col min="10" max="10" width="11.109375" customWidth="1"/>
    <col min="11" max="11" width="11.5546875" customWidth="1"/>
    <col min="13" max="13" width="9.33203125" customWidth="1"/>
    <col min="14" max="14" width="12.88671875" customWidth="1"/>
    <col min="17" max="17" width="10.5546875" customWidth="1"/>
    <col min="18" max="18" width="12" customWidth="1"/>
    <col min="19" max="19" width="10.44140625" customWidth="1"/>
    <col min="20" max="20" width="30.44140625" customWidth="1"/>
    <col min="22" max="22" width="13.109375" customWidth="1"/>
  </cols>
  <sheetData>
    <row r="1" spans="2:21" ht="26.4" thickTop="1" x14ac:dyDescent="0.5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2" t="s">
        <v>26</v>
      </c>
      <c r="L1" s="63"/>
      <c r="M1" s="63"/>
      <c r="N1" s="63"/>
      <c r="O1" s="63"/>
      <c r="P1" s="63"/>
      <c r="Q1" s="63"/>
      <c r="R1" s="63"/>
      <c r="S1" s="64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81" t="s">
        <v>30</v>
      </c>
      <c r="E3" s="74"/>
      <c r="K3" s="18"/>
      <c r="L3" s="3" t="s">
        <v>14</v>
      </c>
      <c r="M3" s="73" t="str">
        <f>D3</f>
        <v>8(3)</v>
      </c>
      <c r="N3" s="74"/>
      <c r="S3" s="17"/>
    </row>
    <row r="4" spans="2:21" ht="16.2" thickBot="1" x14ac:dyDescent="0.35">
      <c r="B4" s="18"/>
      <c r="C4" s="3" t="s">
        <v>22</v>
      </c>
      <c r="D4" s="85">
        <v>208</v>
      </c>
      <c r="E4" s="86"/>
      <c r="F4" s="24"/>
      <c r="G4" s="32" t="s">
        <v>22</v>
      </c>
      <c r="H4" s="3" t="s">
        <v>14</v>
      </c>
      <c r="K4" s="18"/>
      <c r="L4" s="3" t="s">
        <v>28</v>
      </c>
      <c r="M4" s="79">
        <f>IF(Verify_P2="feasible",IF(Verify_P6="feasible",PT_P8_3,"NA"),"NA")</f>
        <v>14</v>
      </c>
      <c r="N4" s="80"/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4">
        <v>853</v>
      </c>
      <c r="H5" s="31">
        <v>6</v>
      </c>
      <c r="I5" s="68" t="s">
        <v>23</v>
      </c>
      <c r="J5" s="69"/>
      <c r="K5" s="18"/>
      <c r="M5" s="24"/>
      <c r="N5" s="24"/>
      <c r="O5" s="24"/>
      <c r="P5" s="23">
        <f>IF(Verify_P2="feasible",IF(Verify_P6="feasible",PT_P6,"NA"),"NA")</f>
        <v>28</v>
      </c>
      <c r="Q5" s="31">
        <f>H5</f>
        <v>6</v>
      </c>
      <c r="R5" s="68" t="s">
        <v>23</v>
      </c>
      <c r="S5" s="69"/>
    </row>
    <row r="6" spans="2:21" ht="18" thickBot="1" x14ac:dyDescent="0.5">
      <c r="B6" s="18"/>
      <c r="D6" s="24"/>
      <c r="E6" s="24"/>
      <c r="F6" s="24"/>
      <c r="G6" s="39">
        <v>160</v>
      </c>
      <c r="H6" s="29">
        <v>1</v>
      </c>
      <c r="I6" s="66" t="s">
        <v>25</v>
      </c>
      <c r="J6" s="67"/>
      <c r="K6" s="18"/>
      <c r="M6" s="24"/>
      <c r="N6" s="24"/>
      <c r="O6" s="24"/>
      <c r="P6" s="30">
        <f>IF(Verify_P2="feasible",IF(Verify_P6="feasible",PT_P1,"NA"),"NA")</f>
        <v>11</v>
      </c>
      <c r="Q6" s="29">
        <f>H6</f>
        <v>1</v>
      </c>
      <c r="R6" s="66" t="s">
        <v>25</v>
      </c>
      <c r="S6" s="67"/>
    </row>
    <row r="7" spans="2:21" ht="16.2" thickBot="1" x14ac:dyDescent="0.35">
      <c r="B7" s="18"/>
      <c r="C7" s="28">
        <v>5</v>
      </c>
      <c r="D7" s="37">
        <v>100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9</v>
      </c>
      <c r="N7" s="24"/>
      <c r="O7" s="24"/>
      <c r="P7" s="24"/>
      <c r="S7" s="17"/>
      <c r="T7" s="60" t="s">
        <v>38</v>
      </c>
      <c r="U7" s="61"/>
    </row>
    <row r="8" spans="2:21" ht="16.8" thickTop="1" thickBot="1" x14ac:dyDescent="0.35">
      <c r="B8" s="26" t="s">
        <v>23</v>
      </c>
      <c r="C8" s="21">
        <v>2</v>
      </c>
      <c r="D8" s="38">
        <v>808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26</v>
      </c>
      <c r="N8" s="24"/>
      <c r="O8" s="24"/>
      <c r="P8" s="24"/>
      <c r="S8" s="17"/>
      <c r="T8" s="49" t="s">
        <v>29</v>
      </c>
      <c r="U8" s="52">
        <v>1750</v>
      </c>
    </row>
    <row r="9" spans="2:21" ht="16.2" thickBot="1" x14ac:dyDescent="0.35">
      <c r="B9" s="18"/>
      <c r="C9" s="3" t="s">
        <v>14</v>
      </c>
      <c r="D9" s="3" t="s">
        <v>22</v>
      </c>
      <c r="F9" s="83">
        <v>50</v>
      </c>
      <c r="G9" s="84"/>
      <c r="H9" s="3" t="s">
        <v>22</v>
      </c>
      <c r="K9" s="18"/>
      <c r="L9" s="3" t="s">
        <v>14</v>
      </c>
      <c r="M9" s="3" t="s">
        <v>28</v>
      </c>
      <c r="O9" s="77">
        <f>IF(Verify_P2="feasible",IF(Verify_P6="feasible",PT_P7_3,"NA"),"NA")</f>
        <v>9</v>
      </c>
      <c r="P9" s="78"/>
      <c r="Q9" s="3" t="s">
        <v>28</v>
      </c>
      <c r="S9" s="17"/>
      <c r="T9" s="50" t="s">
        <v>24</v>
      </c>
      <c r="U9" s="53">
        <v>1800</v>
      </c>
    </row>
    <row r="10" spans="2:21" ht="15.6" thickTop="1" thickBot="1" x14ac:dyDescent="0.35">
      <c r="B10" s="18"/>
      <c r="F10" s="82" t="s">
        <v>36</v>
      </c>
      <c r="G10" s="76"/>
      <c r="H10" s="3" t="s">
        <v>14</v>
      </c>
      <c r="I10" s="27" t="s">
        <v>20</v>
      </c>
      <c r="J10" s="43">
        <f>Y_P8_3+AR_P8_3+STL-CLT_e+Y_P7_4+AR_P7_4+STL-CLT_e+IF((Volume_P1/NoLane_P1+Volume_P2/NoLane_P2)&gt;(Volume_P5/NoLane_P5+Volume_P6/NoLane_P6),Y_P1+AR_P1+STL-CLT_e+Y_P2+AR_P2+STL-CLT_e,Y_P5+AR_P5+STL-CLT_e+Y_P6+AR_P6+STL-CLT_e)</f>
        <v>16</v>
      </c>
      <c r="K10" s="18"/>
      <c r="O10" s="75" t="str">
        <f>F10</f>
        <v>7(4)</v>
      </c>
      <c r="P10" s="76"/>
      <c r="Q10" s="3" t="s">
        <v>14</v>
      </c>
      <c r="S10" s="17"/>
      <c r="T10" s="50" t="s">
        <v>21</v>
      </c>
      <c r="U10" s="53">
        <v>1700</v>
      </c>
    </row>
    <row r="11" spans="2:21" ht="15" thickBot="1" x14ac:dyDescent="0.35">
      <c r="B11" s="18"/>
      <c r="F11" s="3"/>
      <c r="G11" s="3"/>
      <c r="I11" s="19" t="s">
        <v>19</v>
      </c>
      <c r="J11" s="48">
        <v>60</v>
      </c>
      <c r="K11" s="18"/>
      <c r="S11" s="17"/>
      <c r="T11" s="50" t="s">
        <v>39</v>
      </c>
      <c r="U11" s="54">
        <v>2</v>
      </c>
    </row>
    <row r="12" spans="2:21" ht="18" thickBot="1" x14ac:dyDescent="0.5">
      <c r="B12" s="15"/>
      <c r="C12" s="14"/>
      <c r="D12" s="72" t="s">
        <v>17</v>
      </c>
      <c r="E12" s="72"/>
      <c r="F12" s="72"/>
      <c r="G12" s="72"/>
      <c r="H12" s="14"/>
      <c r="I12" s="16" t="s">
        <v>18</v>
      </c>
      <c r="J12" s="35">
        <f>LostTime/(1-MAX(Volume_P1/NoLane_P1/SFR_LT+Volume_P2/NoLane_P2/SFR_Thru,Volume_P5/NoLane_P5/SFR_LT+Volume_P6/NoLane_P6/SFR_Thru)-Volume_P8_3/NoLane_P8_3/SFR_ThrTL-Volume_P7_4/NoLane_P7_4/SFR_ThrTL)*1.5</f>
        <v>44.943034389184582</v>
      </c>
      <c r="K12" s="15"/>
      <c r="L12" s="14"/>
      <c r="M12" s="72" t="s">
        <v>17</v>
      </c>
      <c r="N12" s="72"/>
      <c r="O12" s="72"/>
      <c r="P12" s="72"/>
      <c r="Q12" s="14"/>
      <c r="R12" s="14"/>
      <c r="S12" s="13"/>
      <c r="T12" s="51" t="s">
        <v>40</v>
      </c>
      <c r="U12" s="55">
        <v>2</v>
      </c>
    </row>
    <row r="13" spans="2:21" ht="15" thickTop="1" x14ac:dyDescent="0.3"/>
    <row r="14" spans="2:21" x14ac:dyDescent="0.3">
      <c r="B14" s="70" t="s">
        <v>16</v>
      </c>
      <c r="C14" s="70"/>
      <c r="D14" s="70"/>
      <c r="E14" s="70"/>
      <c r="F14" s="70"/>
      <c r="G14" s="70"/>
      <c r="H14" s="70"/>
      <c r="I14" s="70"/>
      <c r="J14" s="70"/>
      <c r="L14" s="70" t="s">
        <v>15</v>
      </c>
      <c r="M14" s="70"/>
      <c r="N14" s="70"/>
      <c r="O14" s="70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0.85</v>
      </c>
      <c r="L16" s="3">
        <f>MAX(MinG_P1,ROUNDUP(Volume_P1/NoLane_P1*Cycle/ExpVC_P1/SFR_LT,0))</f>
        <v>7</v>
      </c>
      <c r="M16" s="3">
        <f>ROUNDUP(ExpGreen_P1+AR_P1+Y_P1+STL-CLT_e,0)</f>
        <v>11</v>
      </c>
      <c r="N16" s="2">
        <f>SFR_LT*((PT_P1-SLT-Y_P1-AR_P1+CLT_e)/Cycle)</f>
        <v>198.33333333333334</v>
      </c>
      <c r="O16" s="1">
        <f>G6/I16/N16</f>
        <v>0.80672268907563016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M17" s="3">
        <f>Cycle-ExpGreen_P8_3-Y_P8_3-AR_P8_3-STL+CLT_e-ExpGreen_P1-Y_P1-AR_P1-STL+CLT_e-ExpGreen_P7_4-Y_P7_4-AR_P7_4-STL+CLT_e</f>
        <v>26</v>
      </c>
      <c r="N17" s="2">
        <f>SFR_Thru*((PT_P2-SLT-Y_P2-AR_P2+CLT_e)/Cycle)</f>
        <v>660</v>
      </c>
      <c r="O17" s="40">
        <f>D8/I17/N17</f>
        <v>0.61212121212121207</v>
      </c>
      <c r="P17" s="65" t="str">
        <f>IF(ActualVC_P2&lt;0,"incorrect timing",IF(ActualVC_P2&gt;0.8,"Increase Cycle",IF(ActualVC_P2&lt;0.25,"Reduce Cycle","feasible")))</f>
        <v>feasible</v>
      </c>
      <c r="Q17" s="65"/>
      <c r="R17" s="65"/>
      <c r="S17" s="65"/>
      <c r="T17" s="59" t="str">
        <f>IF(PT_P2-Walk_P2-FDW_P2+Y_P2+AR_P2&gt;0,"Ped Timing Accomodated", "Ped Timing Violated: Increase Cycle")</f>
        <v>Ped Timing Accomodated</v>
      </c>
      <c r="U17" s="59"/>
      <c r="V17" s="59"/>
    </row>
    <row r="18" spans="2:22" ht="15" thickBot="1" x14ac:dyDescent="0.35">
      <c r="B18" s="8">
        <f>C7</f>
        <v>5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</v>
      </c>
      <c r="L18" s="3">
        <f>MAX(MinG_P5,ROUNDUP(Volume_P5/NoLane_P5*Cycle/ExpVC_P5/SFR_LT,0))</f>
        <v>5</v>
      </c>
      <c r="M18" s="3">
        <f>ROUNDUP(ExpGreen_P5+AR_P5+Y_P5+STL-CLT_e,0)</f>
        <v>9</v>
      </c>
      <c r="N18" s="2">
        <f>SFR_LT*((PT_P5-SLT-Y_P5-AR_P5+CLT_e)/Cycle)</f>
        <v>141.66666666666666</v>
      </c>
      <c r="O18" s="1">
        <f>D7/I18/N18</f>
        <v>0.70588235294117652</v>
      </c>
    </row>
    <row r="19" spans="2:22" ht="15" thickBot="1" x14ac:dyDescent="0.35">
      <c r="B19" s="8">
        <f>H5</f>
        <v>6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7" t="s">
        <v>1</v>
      </c>
      <c r="I19" s="6">
        <v>2</v>
      </c>
      <c r="J19" s="7" t="s">
        <v>1</v>
      </c>
      <c r="L19" s="3"/>
      <c r="M19" s="3">
        <f>Cycle-ExpGreen_P8_3-Y_P8_3-AR_P8_3-STL+CLT_e-ExpGreen_P5-Y_P5-AR_P5-STL+CLT_e-ExpGreen_P7_4-Y_P7_4-AR_P7_4-STL+CLT_e</f>
        <v>28</v>
      </c>
      <c r="N19" s="2">
        <f>SFR_Thru*((PT_P6-SLT-Y_P6-AR_P6+CLT_e)/Cycle)</f>
        <v>720</v>
      </c>
      <c r="O19" s="40">
        <f>G5/I19/N19</f>
        <v>0.59236111111111112</v>
      </c>
      <c r="P19" s="65" t="str">
        <f>IF(ActualVC_P6&lt;0,"incorrect timing",IF(ActualVC_P6&gt;0.8,"Increase Cycle",IF(ActualVC_P6&lt;0.25,"Reduce Cycle","feasible")))</f>
        <v>feasible</v>
      </c>
      <c r="Q19" s="65"/>
      <c r="R19" s="65"/>
      <c r="S19" s="65"/>
      <c r="T19" s="59" t="str">
        <f>IF(PT_P6-Walk_P6-FDW_P6+Y_P6+AR_P6&gt;0,"Ped Timing Accomodated", "Ped Timing Violated: Increase Cycle")</f>
        <v>Ped Timing Accomodated</v>
      </c>
      <c r="U19" s="59"/>
      <c r="V19" s="59"/>
    </row>
    <row r="20" spans="2:22" ht="15" thickBot="1" x14ac:dyDescent="0.35">
      <c r="B20" s="8" t="str">
        <f>F10</f>
        <v>7(4)</v>
      </c>
      <c r="C20" s="6">
        <v>3</v>
      </c>
      <c r="D20" s="6">
        <v>1</v>
      </c>
      <c r="E20" s="6">
        <v>5</v>
      </c>
      <c r="F20" s="6">
        <v>7</v>
      </c>
      <c r="G20" s="6">
        <v>15</v>
      </c>
      <c r="H20" s="4" t="s">
        <v>32</v>
      </c>
      <c r="I20" s="6">
        <v>1</v>
      </c>
      <c r="J20" s="6">
        <v>0.85</v>
      </c>
      <c r="L20" s="3">
        <f>IF(PedViolate_P7_4="N",MAX((Walk_P7_4+FDW_P7_4-Y_P7_4-AR_P7_4),MAX(MinG_P7_4,ROUNDUP(Volume_P7_4/NoLane_P7_4*Cycle/ExpVC_P7_4/SFR_ThrTL,0))),MAX(MinG_P7_4,ROUNDUP(Volume_P7_4/NoLane_P7_4*Cycle/ExpVC_P7_4/SFR_ThrTL,0)))</f>
        <v>5</v>
      </c>
      <c r="M20" s="3">
        <f>ROUNDUP(ExpGreen_P7_4+Y_P7_4+AR_P7_4+STL-CLT_e,0)</f>
        <v>9</v>
      </c>
      <c r="N20" s="2">
        <f>SFR_ThrTL*((PT_P7_4-SLT-Y_P7_4-AR_P7_4+CLT_e)/Cycle)</f>
        <v>554.16666666666663</v>
      </c>
      <c r="O20" s="1">
        <f>F9/I20/N20</f>
        <v>9.0225563909774445E-2</v>
      </c>
    </row>
    <row r="21" spans="2:22" ht="15" thickBot="1" x14ac:dyDescent="0.35">
      <c r="B21" s="5" t="str">
        <f>D3</f>
        <v>8(3)</v>
      </c>
      <c r="C21" s="4">
        <v>3</v>
      </c>
      <c r="D21" s="4">
        <v>1</v>
      </c>
      <c r="E21" s="4">
        <v>10</v>
      </c>
      <c r="F21" s="4">
        <v>7</v>
      </c>
      <c r="G21" s="4">
        <v>15</v>
      </c>
      <c r="H21" s="4" t="s">
        <v>32</v>
      </c>
      <c r="I21" s="4">
        <v>1</v>
      </c>
      <c r="J21" s="4">
        <v>0.85</v>
      </c>
      <c r="L21" s="3">
        <f>IF(PedViolate_P8_3="N",MAX((Walk_P8_3+FDW_P8_3-Y_P8_3-AR_P8_3),MAX(MinG_P8_3,ROUNDUP(Volume_P8_3/NoLane_P8_3*Cycle/ExpVC_P8_3/SFR_ThrTL,0))),MAX(MinG_P8_3,ROUNDUP(Volume_P8_3/NoLane_P8_3*Cycle/ExpVC_P8_3/SFR_ThrTL,0)))</f>
        <v>10</v>
      </c>
      <c r="M21" s="3">
        <f>ROUNDUP(ExpGreen_P8_3+Y_P8_3+AR_P8_3+STL-CLT_e,0)</f>
        <v>14</v>
      </c>
      <c r="N21" s="2">
        <f>SFR_ThrTL*((PT_P8_3-SLT-Y_P8_3-AR_P8_3+CLT_e)/Cycle)</f>
        <v>291.66666666666663</v>
      </c>
      <c r="O21" s="1">
        <f>D4/I21/N21</f>
        <v>0.71314285714285719</v>
      </c>
      <c r="P21" s="71" t="str">
        <f>IF(PT_P1+PT_P2-PT_P5-PT_P6=0,IF((PT_P1+PT_P2+PT_P6+PT_P5)/2+PT_P7_3+PT_P8_3=Cycle,"Ring-barrier Check: PASS","Ring-barrier Check: FAIL"),"Ring-barrier Check: FAIL")</f>
        <v>Ring-barrier Check: PASS</v>
      </c>
      <c r="Q21" s="71"/>
      <c r="R21" s="71"/>
      <c r="S21" s="71"/>
    </row>
    <row r="22" spans="2:22" ht="15" thickTop="1" x14ac:dyDescent="0.3"/>
  </sheetData>
  <mergeCells count="24">
    <mergeCell ref="P17:S17"/>
    <mergeCell ref="T17:V17"/>
    <mergeCell ref="P19:S19"/>
    <mergeCell ref="T19:V19"/>
    <mergeCell ref="P21:S21"/>
    <mergeCell ref="T7:U7"/>
    <mergeCell ref="F10:G10"/>
    <mergeCell ref="O10:P10"/>
    <mergeCell ref="D12:G12"/>
    <mergeCell ref="M12:P12"/>
    <mergeCell ref="B14:J14"/>
    <mergeCell ref="L14:O14"/>
    <mergeCell ref="I5:J5"/>
    <mergeCell ref="R5:S5"/>
    <mergeCell ref="I6:J6"/>
    <mergeCell ref="R6:S6"/>
    <mergeCell ref="F9:G9"/>
    <mergeCell ref="O9:P9"/>
    <mergeCell ref="B1:J1"/>
    <mergeCell ref="K1:S1"/>
    <mergeCell ref="D3:E3"/>
    <mergeCell ref="M3:N3"/>
    <mergeCell ref="D4:E4"/>
    <mergeCell ref="M4:N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226D-9937-4BA1-B469-F041B2176810}">
  <dimension ref="B1:V20"/>
  <sheetViews>
    <sheetView zoomScale="85" zoomScaleNormal="85" workbookViewId="0">
      <selection activeCell="N19" sqref="N19"/>
    </sheetView>
  </sheetViews>
  <sheetFormatPr defaultRowHeight="14.4" x14ac:dyDescent="0.3"/>
  <cols>
    <col min="1" max="1" width="6.33203125" customWidth="1"/>
    <col min="2" max="2" width="10.6640625" customWidth="1"/>
    <col min="5" max="5" width="10.33203125" bestFit="1" customWidth="1"/>
    <col min="8" max="8" width="10.33203125" customWidth="1"/>
    <col min="9" max="9" width="14.109375" customWidth="1"/>
    <col min="10" max="10" width="11.109375" customWidth="1"/>
    <col min="11" max="11" width="11.5546875" customWidth="1"/>
    <col min="17" max="17" width="10.5546875" customWidth="1"/>
    <col min="18" max="18" width="12" customWidth="1"/>
    <col min="19" max="19" width="10.44140625" customWidth="1"/>
    <col min="20" max="20" width="30.44140625" customWidth="1"/>
    <col min="22" max="22" width="12.109375" customWidth="1"/>
  </cols>
  <sheetData>
    <row r="1" spans="2:22" ht="26.4" thickTop="1" x14ac:dyDescent="0.5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2" t="s">
        <v>26</v>
      </c>
      <c r="L1" s="63"/>
      <c r="M1" s="63"/>
      <c r="N1" s="63"/>
      <c r="O1" s="63"/>
      <c r="P1" s="63"/>
      <c r="Q1" s="63"/>
      <c r="R1" s="63"/>
      <c r="S1" s="64"/>
    </row>
    <row r="2" spans="2:22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2" x14ac:dyDescent="0.3">
      <c r="B3" s="18"/>
      <c r="C3" s="3" t="s">
        <v>14</v>
      </c>
      <c r="D3" s="81" t="s">
        <v>30</v>
      </c>
      <c r="E3" s="74"/>
      <c r="K3" s="18"/>
      <c r="L3" s="3" t="s">
        <v>14</v>
      </c>
      <c r="M3" s="73" t="str">
        <f>D3</f>
        <v>8(3)</v>
      </c>
      <c r="N3" s="74"/>
      <c r="S3" s="17"/>
    </row>
    <row r="4" spans="2:22" ht="16.2" thickBot="1" x14ac:dyDescent="0.35">
      <c r="B4" s="18"/>
      <c r="C4" s="3" t="s">
        <v>22</v>
      </c>
      <c r="D4" s="85">
        <v>208</v>
      </c>
      <c r="E4" s="86"/>
      <c r="F4" s="24"/>
      <c r="G4" s="32" t="s">
        <v>22</v>
      </c>
      <c r="H4" s="3" t="s">
        <v>14</v>
      </c>
      <c r="K4" s="18"/>
      <c r="L4" s="3" t="s">
        <v>28</v>
      </c>
      <c r="M4" s="79">
        <f>IF(Verify_P2_5="feasible",IF(Verify_P1_6="feasible",PT_P3_8,"NA"),"NA")</f>
        <v>41</v>
      </c>
      <c r="N4" s="80"/>
      <c r="O4" s="24"/>
      <c r="P4" s="3" t="s">
        <v>28</v>
      </c>
      <c r="Q4" s="3" t="s">
        <v>14</v>
      </c>
      <c r="S4" s="17"/>
    </row>
    <row r="5" spans="2:22" ht="15.6" customHeight="1" x14ac:dyDescent="0.3">
      <c r="B5" s="18"/>
      <c r="D5" s="24"/>
      <c r="E5" s="24"/>
      <c r="F5" s="24"/>
      <c r="G5" s="83">
        <v>540</v>
      </c>
      <c r="H5" s="74" t="s">
        <v>35</v>
      </c>
      <c r="I5" s="68" t="s">
        <v>23</v>
      </c>
      <c r="J5" s="69"/>
      <c r="K5" s="18"/>
      <c r="M5" s="24"/>
      <c r="N5" s="24"/>
      <c r="O5" s="24"/>
      <c r="P5" s="77">
        <f>IF(Verify_P1_6="feasible",IF(Verify_P1_6="feasible",PT_P1_6,"NA"),"NA")</f>
        <v>45</v>
      </c>
      <c r="Q5" s="74" t="str">
        <f>H5</f>
        <v>6(1)</v>
      </c>
      <c r="R5" s="68" t="s">
        <v>23</v>
      </c>
      <c r="S5" s="69"/>
    </row>
    <row r="6" spans="2:22" ht="18" thickBot="1" x14ac:dyDescent="0.5">
      <c r="B6" s="18"/>
      <c r="D6" s="24"/>
      <c r="E6" s="24"/>
      <c r="F6" s="24"/>
      <c r="G6" s="85"/>
      <c r="H6" s="76"/>
      <c r="I6" s="66" t="s">
        <v>25</v>
      </c>
      <c r="J6" s="67"/>
      <c r="K6" s="18"/>
      <c r="M6" s="24"/>
      <c r="N6" s="24"/>
      <c r="O6" s="24"/>
      <c r="P6" s="79"/>
      <c r="Q6" s="76"/>
      <c r="R6" s="66" t="s">
        <v>25</v>
      </c>
      <c r="S6" s="67"/>
    </row>
    <row r="7" spans="2:22" ht="15.6" customHeight="1" x14ac:dyDescent="0.3">
      <c r="B7" s="18"/>
      <c r="C7" s="73" t="s">
        <v>34</v>
      </c>
      <c r="D7" s="84">
        <v>600</v>
      </c>
      <c r="E7" s="24"/>
      <c r="F7" s="24"/>
      <c r="G7" s="24"/>
      <c r="I7" s="42"/>
      <c r="J7" s="17"/>
      <c r="L7" s="73" t="str">
        <f>C7</f>
        <v>2(5)</v>
      </c>
      <c r="M7" s="78">
        <f>IF(Verify_P2_5="feasible",IF(Verify_P2_5="feasible",PT_P2_5,"NA"),"NA")</f>
        <v>45</v>
      </c>
      <c r="N7" s="24"/>
      <c r="O7" s="24"/>
      <c r="P7" s="24"/>
      <c r="S7" s="17"/>
    </row>
    <row r="8" spans="2:22" ht="15" thickBot="1" x14ac:dyDescent="0.35">
      <c r="B8" s="26" t="s">
        <v>23</v>
      </c>
      <c r="C8" s="75"/>
      <c r="D8" s="86"/>
      <c r="E8" s="24"/>
      <c r="F8" s="24"/>
      <c r="G8" s="24"/>
      <c r="I8" s="42"/>
      <c r="J8" s="57"/>
      <c r="K8" s="41" t="s">
        <v>23</v>
      </c>
      <c r="L8" s="75"/>
      <c r="M8" s="80"/>
      <c r="N8" s="24"/>
      <c r="O8" s="24"/>
      <c r="P8" s="24"/>
      <c r="S8" s="17"/>
    </row>
    <row r="9" spans="2:22" ht="16.2" thickBot="1" x14ac:dyDescent="0.35">
      <c r="B9" s="18"/>
      <c r="C9" s="3" t="s">
        <v>14</v>
      </c>
      <c r="D9" s="3" t="s">
        <v>22</v>
      </c>
      <c r="F9" s="83">
        <v>300</v>
      </c>
      <c r="G9" s="84"/>
      <c r="H9" s="3" t="s">
        <v>22</v>
      </c>
      <c r="J9" s="13"/>
      <c r="K9" s="18"/>
      <c r="L9" s="3" t="s">
        <v>14</v>
      </c>
      <c r="M9" s="3" t="s">
        <v>28</v>
      </c>
      <c r="O9" s="77">
        <f>IF(Verify_P2_5="feasible",IF(Verify_P1_6="feasible",PT_P4_7,"NA"),"NA")</f>
        <v>41</v>
      </c>
      <c r="P9" s="78"/>
      <c r="Q9" s="3" t="s">
        <v>28</v>
      </c>
      <c r="S9" s="17"/>
      <c r="T9" s="60" t="s">
        <v>38</v>
      </c>
      <c r="U9" s="61"/>
    </row>
    <row r="10" spans="2:22" ht="15.6" thickTop="1" thickBot="1" x14ac:dyDescent="0.35">
      <c r="B10" s="18"/>
      <c r="F10" s="82" t="s">
        <v>36</v>
      </c>
      <c r="G10" s="76"/>
      <c r="H10" s="3" t="s">
        <v>14</v>
      </c>
      <c r="I10" s="27" t="s">
        <v>20</v>
      </c>
      <c r="J10" s="43">
        <f>Y_P7_4+AR_P7_4+STL-CLT_e+Y_P8_3+AR_P8_3+STL-CLT_e+IF((Volume_P1_6/NoLane_P1_6)&gt;(Volume_P2_5/NoLane_P2_5),Y_P1_6+AR_P1_6+STL-CLT_e,Y_P2_5+AR_P2_5+STL-CLT_e)</f>
        <v>12</v>
      </c>
      <c r="K10" s="18"/>
      <c r="O10" s="75" t="str">
        <f>F10</f>
        <v>7(4)</v>
      </c>
      <c r="P10" s="76"/>
      <c r="Q10" s="3" t="s">
        <v>14</v>
      </c>
      <c r="S10" s="17"/>
      <c r="T10" s="49" t="s">
        <v>29</v>
      </c>
      <c r="U10" s="56">
        <v>1750</v>
      </c>
    </row>
    <row r="11" spans="2:22" ht="15" thickBot="1" x14ac:dyDescent="0.35">
      <c r="B11" s="18"/>
      <c r="F11" s="3"/>
      <c r="G11" s="3"/>
      <c r="I11" s="19" t="s">
        <v>19</v>
      </c>
      <c r="J11" s="48">
        <v>90</v>
      </c>
      <c r="K11" s="18"/>
      <c r="S11" s="17"/>
      <c r="T11" s="50" t="s">
        <v>39</v>
      </c>
      <c r="U11" s="54">
        <v>2</v>
      </c>
    </row>
    <row r="12" spans="2:22" ht="18" thickBot="1" x14ac:dyDescent="0.5">
      <c r="B12" s="15"/>
      <c r="C12" s="14"/>
      <c r="D12" s="72" t="s">
        <v>17</v>
      </c>
      <c r="E12" s="72"/>
      <c r="F12" s="72"/>
      <c r="G12" s="72"/>
      <c r="H12" s="14"/>
      <c r="I12" s="16" t="s">
        <v>18</v>
      </c>
      <c r="J12" s="35">
        <f>LostTime/(1-MAX(Volume_P1_6/NoLane_P1_6/SFR_ThrTL,Volume_P2_5/NoLane_P2_5/SFR_ThrTL)-Volume_P8_3/NoLane_P8_3/SFR_ThrTL-Volume_P7_4/NoLane_P7_4/SFR_ThrTL)*1.5</f>
        <v>49.065420560747668</v>
      </c>
      <c r="K12" s="15"/>
      <c r="L12" s="14"/>
      <c r="M12" s="72" t="s">
        <v>17</v>
      </c>
      <c r="N12" s="72"/>
      <c r="O12" s="72"/>
      <c r="P12" s="72"/>
      <c r="Q12" s="14"/>
      <c r="R12" s="14"/>
      <c r="S12" s="13"/>
      <c r="T12" s="51" t="s">
        <v>40</v>
      </c>
      <c r="U12" s="55">
        <v>2</v>
      </c>
    </row>
    <row r="13" spans="2:22" ht="15" thickTop="1" x14ac:dyDescent="0.3"/>
    <row r="14" spans="2:22" x14ac:dyDescent="0.3">
      <c r="B14" s="70" t="s">
        <v>16</v>
      </c>
      <c r="C14" s="70"/>
      <c r="D14" s="70"/>
      <c r="E14" s="70"/>
      <c r="F14" s="70"/>
      <c r="G14" s="70"/>
      <c r="H14" s="70"/>
      <c r="I14" s="70"/>
      <c r="J14" s="70"/>
      <c r="L14" s="70" t="s">
        <v>15</v>
      </c>
      <c r="M14" s="70"/>
      <c r="N14" s="70"/>
      <c r="O14" s="70"/>
    </row>
    <row r="15" spans="2:22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</v>
      </c>
      <c r="O15" s="11" t="s">
        <v>2</v>
      </c>
    </row>
    <row r="16" spans="2:22" ht="15" thickBot="1" x14ac:dyDescent="0.35">
      <c r="B16" s="8" t="str">
        <f>C7</f>
        <v>2(5)</v>
      </c>
      <c r="C16" s="6">
        <v>3</v>
      </c>
      <c r="D16" s="6">
        <v>1</v>
      </c>
      <c r="E16" s="6">
        <v>10</v>
      </c>
      <c r="F16" s="6">
        <v>7</v>
      </c>
      <c r="G16" s="6">
        <v>15</v>
      </c>
      <c r="H16" s="7" t="s">
        <v>1</v>
      </c>
      <c r="I16" s="6">
        <v>1</v>
      </c>
      <c r="J16" s="7" t="s">
        <v>1</v>
      </c>
      <c r="M16" s="3">
        <f>Cycle-ExpGreen_P8_3-Y_P8_3-AR_P8_3-STL+CLT_e-ExpGreen_P7_4-Y_P7_4-AR_P7_4-STL+CLT_e</f>
        <v>45</v>
      </c>
      <c r="N16" s="2">
        <f>SFR_ThrTL*((PT_P2_5-SLT-Y_P2_5-AR_P2_5+CLT_e)/Cycle)</f>
        <v>797.22222222222217</v>
      </c>
      <c r="O16" s="1">
        <f>D7/NoLane_P2_5/N16</f>
        <v>0.7526132404181185</v>
      </c>
      <c r="P16" s="65" t="str">
        <f>IF(ActualVC_P2_5&lt;0,"incorrect timing",IF(ActualVC_P2_5&gt;0.9,"Increase Cycle",IF(ActualVC_P2_5&lt;0.25,"Reduce Cycle","feasible")))</f>
        <v>feasible</v>
      </c>
      <c r="Q16" s="65"/>
      <c r="R16" s="65"/>
      <c r="S16" s="65"/>
      <c r="T16" s="59" t="str">
        <f>IF(PT_P2_5-Walk_P2_5-FDW_P2_5+Y_P2_5+AR_P2_5&gt;0,"Ped Timing Accomodated", "Ped Timing Violated: Increase Cycle")</f>
        <v>Ped Timing Accomodated</v>
      </c>
      <c r="U16" s="59"/>
      <c r="V16" s="59"/>
    </row>
    <row r="17" spans="2:22" ht="15" thickBot="1" x14ac:dyDescent="0.35">
      <c r="B17" s="8" t="str">
        <f>H5</f>
        <v>6(1)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1</v>
      </c>
      <c r="J17" s="7" t="s">
        <v>1</v>
      </c>
      <c r="L17" s="3"/>
      <c r="M17" s="3">
        <f>Cycle-ExpGreen_P8_3-Y_P8_3-AR_P8_3-STL+CLT_e-ExpGreen_P7_4-Y_P7_4-AR_P7_4-STL+CLT_e</f>
        <v>45</v>
      </c>
      <c r="N17" s="2">
        <f>SFR_ThrTL*((PT_P1_6-SLT-Y_P1_6-AR_P1_6+CLT_e)/Cycle)</f>
        <v>797.22222222222217</v>
      </c>
      <c r="O17" s="1">
        <f>G5/I17/N17</f>
        <v>0.67735191637630665</v>
      </c>
      <c r="P17" s="65" t="str">
        <f>IF(ActualVC_P1_6&lt;0,"incorrect timing",IF(ActualVC_P1_6&gt;0.9,"Increase Cycle",IF(ActualVC_P1_6&lt;0.25,"Reduce Cycle","feasible")))</f>
        <v>feasible</v>
      </c>
      <c r="Q17" s="65"/>
      <c r="R17" s="65"/>
      <c r="S17" s="65"/>
      <c r="T17" s="59" t="str">
        <f>IF(PT_P1_6-Walk_P1_6-FDW_P1_6+Y_P1_6+AR_P1_6&gt;0,"Ped Timing Accomodated", "Ped Timing Violated: Increase Cycle")</f>
        <v>Ped Timing Accomodated</v>
      </c>
      <c r="U17" s="59"/>
      <c r="V17" s="59"/>
    </row>
    <row r="18" spans="2:22" ht="15" thickBot="1" x14ac:dyDescent="0.35">
      <c r="B18" s="8" t="str">
        <f>F10</f>
        <v>7(4)</v>
      </c>
      <c r="C18" s="6">
        <v>3</v>
      </c>
      <c r="D18" s="6">
        <v>1</v>
      </c>
      <c r="E18" s="6">
        <v>10</v>
      </c>
      <c r="F18" s="6">
        <v>7</v>
      </c>
      <c r="G18" s="6">
        <v>15</v>
      </c>
      <c r="H18" s="4" t="s">
        <v>0</v>
      </c>
      <c r="I18" s="6">
        <v>1</v>
      </c>
      <c r="J18" s="6">
        <v>0.85</v>
      </c>
      <c r="L18" s="3">
        <f>IF(PedViolate_P7_4="N",MAX((Walk_P7_4+FDW_P7_4-Y_P7_4-AR_P7_4),MAX(MinG_P7_4,ROUNDUP(Volume_P7_4/NoLane_P7_4*Cycle/ExpVC_P7_4/SFR_ThrTL,0))),MAX(MinG_P7_4,ROUNDUP(Volume_P7_4/NoLane_P7_4*Cycle/ExpVC_P7_4/SFR_ThrTL,0)))</f>
        <v>19</v>
      </c>
      <c r="M18" s="3">
        <f>ROUNDUP(ExpGreen_P7_4+Y_P7_4+AR_P7_4+STL-CLT_e,0)</f>
        <v>23</v>
      </c>
      <c r="N18" s="2">
        <f>SFR_ThrTL*((PT_P7_4-SLT-Y_P7_4-AR_P7_4+CLT_e)/Cycle)</f>
        <v>369.44444444444446</v>
      </c>
      <c r="O18" s="1">
        <f>F9/I18/N18</f>
        <v>0.81203007518796988</v>
      </c>
    </row>
    <row r="19" spans="2:22" ht="15" thickBot="1" x14ac:dyDescent="0.35">
      <c r="B19" s="5" t="str">
        <f>D3</f>
        <v>8(3)</v>
      </c>
      <c r="C19" s="4">
        <v>3</v>
      </c>
      <c r="D19" s="4">
        <v>1</v>
      </c>
      <c r="E19" s="4">
        <v>10</v>
      </c>
      <c r="F19" s="4">
        <v>7</v>
      </c>
      <c r="G19" s="4">
        <v>15</v>
      </c>
      <c r="H19" s="4" t="s">
        <v>0</v>
      </c>
      <c r="I19" s="4">
        <v>1</v>
      </c>
      <c r="J19" s="4">
        <v>0.85</v>
      </c>
      <c r="L19" s="3">
        <f>IF(PedViolate_P8_3="N",MAX((Walk_P8_3+FDW_P8_3-Y_P8_3-AR_P8_3),MAX(MinG_P8_3,ROUNDUP(Volume_P8_3/NoLane_P8_3*Cycle/ExpVC_P8_3/SFR_ThrTL,0))),MAX(MinG_P8_3,ROUNDUP(Volume_P8_3/NoLane_P8_3*Cycle/ExpVC_P8_3/SFR_ThrTL,0)))</f>
        <v>18</v>
      </c>
      <c r="M19" s="3">
        <f>ROUNDUP(ExpGreen_P8_3+Y_P8_3+AR_P8_3+STL-CLT_e,0)</f>
        <v>22</v>
      </c>
      <c r="N19" s="2">
        <f>SFR_ThrTL*((PT_P8_3-SLT-Y_P8_3-AR_P8_3+CLT_e)/Cycle)</f>
        <v>350</v>
      </c>
      <c r="O19" s="1">
        <f>D4/I19/N19</f>
        <v>0.59428571428571431</v>
      </c>
      <c r="P19" s="71" t="str">
        <f>IF(PT_P1_6-PT_P2_5=0,IF(PT_P7_4+PT_P8_3+PT_P1_6=Cycle,"Ring-barrier Check: PASS","Ring-barrier Check: FAIL"),"Ring-barrier Check: FAIL")</f>
        <v>Ring-barrier Check: PASS</v>
      </c>
      <c r="Q19" s="71"/>
      <c r="R19" s="71"/>
      <c r="S19" s="71"/>
    </row>
    <row r="20" spans="2:22" ht="15" thickTop="1" x14ac:dyDescent="0.3"/>
  </sheetData>
  <mergeCells count="32">
    <mergeCell ref="T9:U9"/>
    <mergeCell ref="P16:S16"/>
    <mergeCell ref="T16:V16"/>
    <mergeCell ref="P17:S17"/>
    <mergeCell ref="T17:V17"/>
    <mergeCell ref="O9:P9"/>
    <mergeCell ref="P19:S19"/>
    <mergeCell ref="F10:G10"/>
    <mergeCell ref="O10:P10"/>
    <mergeCell ref="D12:G12"/>
    <mergeCell ref="M12:P12"/>
    <mergeCell ref="B14:J14"/>
    <mergeCell ref="L14:O14"/>
    <mergeCell ref="C7:C8"/>
    <mergeCell ref="D7:D8"/>
    <mergeCell ref="L7:L8"/>
    <mergeCell ref="M7:M8"/>
    <mergeCell ref="F9:G9"/>
    <mergeCell ref="R5:S5"/>
    <mergeCell ref="I6:J6"/>
    <mergeCell ref="R6:S6"/>
    <mergeCell ref="B1:J1"/>
    <mergeCell ref="K1:S1"/>
    <mergeCell ref="D3:E3"/>
    <mergeCell ref="M3:N3"/>
    <mergeCell ref="D4:E4"/>
    <mergeCell ref="M4:N4"/>
    <mergeCell ref="G5:G6"/>
    <mergeCell ref="H5:H6"/>
    <mergeCell ref="I5:J5"/>
    <mergeCell ref="P5:P6"/>
    <mergeCell ref="Q5:Q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353</vt:i4>
      </vt:variant>
    </vt:vector>
  </HeadingPairs>
  <TitlesOfParts>
    <vt:vector size="359" baseType="lpstr">
      <vt:lpstr>Notes</vt:lpstr>
      <vt:lpstr>STD-8</vt:lpstr>
      <vt:lpstr>6-phase Scheme</vt:lpstr>
      <vt:lpstr>4-phase Scheme</vt:lpstr>
      <vt:lpstr>Split Phasing (6 Phases)</vt:lpstr>
      <vt:lpstr>Split Phasing (4 Phases)</vt:lpstr>
      <vt:lpstr>'6-phase Scheme'!ActualVC_P1</vt:lpstr>
      <vt:lpstr>'Split Phasing (6 Phases)'!ActualVC_P1</vt:lpstr>
      <vt:lpstr>ActualVC_P1</vt:lpstr>
      <vt:lpstr>'4-phase Scheme'!ActualVC_P1_6</vt:lpstr>
      <vt:lpstr>'Split Phasing (4 Phases)'!ActualVC_P1_6</vt:lpstr>
      <vt:lpstr>'6-phase Scheme'!ActualVC_P2</vt:lpstr>
      <vt:lpstr>'Split Phasing (6 Phases)'!ActualVC_P2</vt:lpstr>
      <vt:lpstr>ActualVC_P2</vt:lpstr>
      <vt:lpstr>'4-phase Scheme'!ActualVC_P2_5</vt:lpstr>
      <vt:lpstr>'Split Phasing (4 Phases)'!ActualVC_P2_5</vt:lpstr>
      <vt:lpstr>ActualVC_P3</vt:lpstr>
      <vt:lpstr>'4-phase Scheme'!ActualVC_P3_8</vt:lpstr>
      <vt:lpstr>ActualVC_P3_8</vt:lpstr>
      <vt:lpstr>ActualVC_P4</vt:lpstr>
      <vt:lpstr>'4-phase Scheme'!ActualVC_P4_7</vt:lpstr>
      <vt:lpstr>ActualVC_P4_7</vt:lpstr>
      <vt:lpstr>'6-phase Scheme'!ActualVC_P5</vt:lpstr>
      <vt:lpstr>'Split Phasing (6 Phases)'!ActualVC_P5</vt:lpstr>
      <vt:lpstr>ActualVC_P5</vt:lpstr>
      <vt:lpstr>'6-phase Scheme'!ActualVC_P6</vt:lpstr>
      <vt:lpstr>'Split Phasing (6 Phases)'!ActualVC_P6</vt:lpstr>
      <vt:lpstr>ActualVC_P6</vt:lpstr>
      <vt:lpstr>ActualVC_P7</vt:lpstr>
      <vt:lpstr>'Split Phasing (6 Phases)'!ActualVC_P7_4</vt:lpstr>
      <vt:lpstr>ActualVC_P7_4</vt:lpstr>
      <vt:lpstr>ActualVC_P8</vt:lpstr>
      <vt:lpstr>'Split Phasing (6 Phases)'!ActualVC_P8_3</vt:lpstr>
      <vt:lpstr>ActualVC_P8_3</vt:lpstr>
      <vt:lpstr>'6-phase Scheme'!AR_P1</vt:lpstr>
      <vt:lpstr>'Split Phasing (6 Phases)'!AR_P1</vt:lpstr>
      <vt:lpstr>AR_P1</vt:lpstr>
      <vt:lpstr>'Split Phasing (4 Phases)'!AR_P1_6</vt:lpstr>
      <vt:lpstr>AR_P1_6</vt:lpstr>
      <vt:lpstr>'6-phase Scheme'!AR_P2</vt:lpstr>
      <vt:lpstr>'Split Phasing (6 Phases)'!AR_P2</vt:lpstr>
      <vt:lpstr>AR_P2</vt:lpstr>
      <vt:lpstr>'Split Phasing (4 Phases)'!AR_P2_5</vt:lpstr>
      <vt:lpstr>AR_P2_5</vt:lpstr>
      <vt:lpstr>AR_P3</vt:lpstr>
      <vt:lpstr>'4-phase Scheme'!AR_P3_8</vt:lpstr>
      <vt:lpstr>AR_P3_8</vt:lpstr>
      <vt:lpstr>AR_P4</vt:lpstr>
      <vt:lpstr>'4-phase Scheme'!AR_P4_7</vt:lpstr>
      <vt:lpstr>AR_P4_7</vt:lpstr>
      <vt:lpstr>'6-phase Scheme'!AR_P5</vt:lpstr>
      <vt:lpstr>'Split Phasing (6 Phases)'!AR_P5</vt:lpstr>
      <vt:lpstr>AR_P5</vt:lpstr>
      <vt:lpstr>'6-phase Scheme'!AR_P6</vt:lpstr>
      <vt:lpstr>'Split Phasing (6 Phases)'!AR_P6</vt:lpstr>
      <vt:lpstr>AR_P6</vt:lpstr>
      <vt:lpstr>AR_P7</vt:lpstr>
      <vt:lpstr>'Split Phasing (6 Phases)'!AR_P7_4</vt:lpstr>
      <vt:lpstr>AR_P7_4</vt:lpstr>
      <vt:lpstr>AR_P8</vt:lpstr>
      <vt:lpstr>'Split Phasing (6 Phases)'!AR_P8_3</vt:lpstr>
      <vt:lpstr>AR_P8_3</vt:lpstr>
      <vt:lpstr>'4-phase Scheme'!CLT_e</vt:lpstr>
      <vt:lpstr>'6-phase Scheme'!CLT_e</vt:lpstr>
      <vt:lpstr>'Split Phasing (4 Phases)'!CLT_e</vt:lpstr>
      <vt:lpstr>'Split Phasing (6 Phases)'!CLT_e</vt:lpstr>
      <vt:lpstr>CLT_e</vt:lpstr>
      <vt:lpstr>'4-phase Scheme'!Cycle</vt:lpstr>
      <vt:lpstr>'6-phase Scheme'!Cycle</vt:lpstr>
      <vt:lpstr>'Split Phasing (4 Phases)'!Cycle</vt:lpstr>
      <vt:lpstr>'Split Phasing (6 Phases)'!Cycle</vt:lpstr>
      <vt:lpstr>Cycle</vt:lpstr>
      <vt:lpstr>'6-phase Scheme'!ExpGreen_P1</vt:lpstr>
      <vt:lpstr>'Split Phasing (6 Phases)'!ExpGreen_P1</vt:lpstr>
      <vt:lpstr>ExpGreen_P1</vt:lpstr>
      <vt:lpstr>ExpGreen_P3</vt:lpstr>
      <vt:lpstr>'4-phase Scheme'!ExpGreen_P3_8</vt:lpstr>
      <vt:lpstr>ExpGreen_P3_8</vt:lpstr>
      <vt:lpstr>ExpGreen_P4</vt:lpstr>
      <vt:lpstr>'4-phase Scheme'!ExpGreen_P4_7</vt:lpstr>
      <vt:lpstr>ExpGreen_P4_7</vt:lpstr>
      <vt:lpstr>'6-phase Scheme'!ExpGreen_P5</vt:lpstr>
      <vt:lpstr>'Split Phasing (6 Phases)'!ExpGreen_P5</vt:lpstr>
      <vt:lpstr>ExpGreen_P5</vt:lpstr>
      <vt:lpstr>ExpGreen_P7</vt:lpstr>
      <vt:lpstr>'Split Phasing (6 Phases)'!ExpGreen_P7_4</vt:lpstr>
      <vt:lpstr>ExpGreen_P7_4</vt:lpstr>
      <vt:lpstr>ExpGreen_P8</vt:lpstr>
      <vt:lpstr>'Split Phasing (6 Phases)'!ExpGreen_P8_3</vt:lpstr>
      <vt:lpstr>ExpGreen_P8_3</vt:lpstr>
      <vt:lpstr>'6-phase Scheme'!ExpVC_P1</vt:lpstr>
      <vt:lpstr>'Split Phasing (6 Phases)'!ExpVC_P1</vt:lpstr>
      <vt:lpstr>ExpVC_P1</vt:lpstr>
      <vt:lpstr>'Split Phasing (4 Phases)'!ExpVC_P1_6</vt:lpstr>
      <vt:lpstr>ExpVC_P1_6</vt:lpstr>
      <vt:lpstr>ExpVC_P2</vt:lpstr>
      <vt:lpstr>'Split Phasing (4 Phases)'!ExpVC_P2_5</vt:lpstr>
      <vt:lpstr>ExpVC_P2_5</vt:lpstr>
      <vt:lpstr>ExpVC_P3</vt:lpstr>
      <vt:lpstr>'4-phase Scheme'!ExpVC_P3_8</vt:lpstr>
      <vt:lpstr>ExpVC_P3_8</vt:lpstr>
      <vt:lpstr>ExpVC_P4</vt:lpstr>
      <vt:lpstr>'4-phase Scheme'!ExpVC_P4_7</vt:lpstr>
      <vt:lpstr>ExpVC_P4_7</vt:lpstr>
      <vt:lpstr>'6-phase Scheme'!ExpVC_P5</vt:lpstr>
      <vt:lpstr>'Split Phasing (6 Phases)'!ExpVC_P5</vt:lpstr>
      <vt:lpstr>ExpVC_P5</vt:lpstr>
      <vt:lpstr>ExpVC_P6</vt:lpstr>
      <vt:lpstr>ExpVC_P7</vt:lpstr>
      <vt:lpstr>'Split Phasing (6 Phases)'!ExpVC_P7_4</vt:lpstr>
      <vt:lpstr>ExpVC_P7_4</vt:lpstr>
      <vt:lpstr>ExpVC_P8</vt:lpstr>
      <vt:lpstr>'Split Phasing (6 Phases)'!ExpVC_P8_3</vt:lpstr>
      <vt:lpstr>ExpVC_P8_3</vt:lpstr>
      <vt:lpstr>'Split Phasing (4 Phases)'!FDW_P1_6</vt:lpstr>
      <vt:lpstr>FDW_P1_6</vt:lpstr>
      <vt:lpstr>'6-phase Scheme'!FDW_P2</vt:lpstr>
      <vt:lpstr>'Split Phasing (6 Phases)'!FDW_P2</vt:lpstr>
      <vt:lpstr>FDW_P2</vt:lpstr>
      <vt:lpstr>'Split Phasing (4 Phases)'!FDW_P2_5</vt:lpstr>
      <vt:lpstr>FDW_P2_5</vt:lpstr>
      <vt:lpstr>'4-phase Scheme'!FDW_P3_8</vt:lpstr>
      <vt:lpstr>FDW_P3_8</vt:lpstr>
      <vt:lpstr>FDW_P4</vt:lpstr>
      <vt:lpstr>'4-phase Scheme'!FDW_P4_7</vt:lpstr>
      <vt:lpstr>FDW_P4_7</vt:lpstr>
      <vt:lpstr>'6-phase Scheme'!FDW_P6</vt:lpstr>
      <vt:lpstr>'Split Phasing (6 Phases)'!FDW_P6</vt:lpstr>
      <vt:lpstr>FDW_P6</vt:lpstr>
      <vt:lpstr>'Split Phasing (6 Phases)'!FDW_P7_4</vt:lpstr>
      <vt:lpstr>FDW_P7_4</vt:lpstr>
      <vt:lpstr>FDW_P8</vt:lpstr>
      <vt:lpstr>'Split Phasing (6 Phases)'!FDW_P8_3</vt:lpstr>
      <vt:lpstr>FDW_P8_3</vt:lpstr>
      <vt:lpstr>'4-phase Scheme'!LostTime</vt:lpstr>
      <vt:lpstr>'6-phase Scheme'!LostTime</vt:lpstr>
      <vt:lpstr>'Split Phasing (4 Phases)'!LostTime</vt:lpstr>
      <vt:lpstr>'Split Phasing (6 Phases)'!LostTime</vt:lpstr>
      <vt:lpstr>LostTime</vt:lpstr>
      <vt:lpstr>'4-phase Scheme'!MinCycle</vt:lpstr>
      <vt:lpstr>'6-phase Scheme'!MinCycle</vt:lpstr>
      <vt:lpstr>'Split Phasing (4 Phases)'!MinCycle</vt:lpstr>
      <vt:lpstr>'Split Phasing (6 Phases)'!MinCycle</vt:lpstr>
      <vt:lpstr>MinCycle</vt:lpstr>
      <vt:lpstr>'6-phase Scheme'!MinG_P1</vt:lpstr>
      <vt:lpstr>'Split Phasing (6 Phases)'!MinG_P1</vt:lpstr>
      <vt:lpstr>MinG_P1</vt:lpstr>
      <vt:lpstr>'Split Phasing (4 Phases)'!MinG_P1_6</vt:lpstr>
      <vt:lpstr>MinG_P1_6</vt:lpstr>
      <vt:lpstr>'6-phase Scheme'!MinG_P2</vt:lpstr>
      <vt:lpstr>'Split Phasing (6 Phases)'!MinG_P2</vt:lpstr>
      <vt:lpstr>MinG_P2</vt:lpstr>
      <vt:lpstr>'Split Phasing (4 Phases)'!MinG_P2_5</vt:lpstr>
      <vt:lpstr>MinG_P2_5</vt:lpstr>
      <vt:lpstr>MinG_P3</vt:lpstr>
      <vt:lpstr>'4-phase Scheme'!MinG_P3_8</vt:lpstr>
      <vt:lpstr>MinG_P3_8</vt:lpstr>
      <vt:lpstr>MinG_P4</vt:lpstr>
      <vt:lpstr>'4-phase Scheme'!MinG_P4_7</vt:lpstr>
      <vt:lpstr>MinG_P4_7</vt:lpstr>
      <vt:lpstr>'6-phase Scheme'!MinG_P5</vt:lpstr>
      <vt:lpstr>'Split Phasing (6 Phases)'!MinG_P5</vt:lpstr>
      <vt:lpstr>MinG_P5</vt:lpstr>
      <vt:lpstr>'6-phase Scheme'!MinG_P6</vt:lpstr>
      <vt:lpstr>'Split Phasing (6 Phases)'!MinG_P6</vt:lpstr>
      <vt:lpstr>MinG_P6</vt:lpstr>
      <vt:lpstr>MinG_P7</vt:lpstr>
      <vt:lpstr>'Split Phasing (6 Phases)'!MinG_P7_4</vt:lpstr>
      <vt:lpstr>MinG_P7_4</vt:lpstr>
      <vt:lpstr>MinG_P8</vt:lpstr>
      <vt:lpstr>'Split Phasing (6 Phases)'!MinG_P8_3</vt:lpstr>
      <vt:lpstr>MinG_P8_3</vt:lpstr>
      <vt:lpstr>'6-phase Scheme'!NoLane_P1</vt:lpstr>
      <vt:lpstr>'Split Phasing (6 Phases)'!NoLane_P1</vt:lpstr>
      <vt:lpstr>NoLane_P1</vt:lpstr>
      <vt:lpstr>'Split Phasing (4 Phases)'!NoLane_P1_6</vt:lpstr>
      <vt:lpstr>NoLane_P1_6</vt:lpstr>
      <vt:lpstr>'6-phase Scheme'!NoLane_P2</vt:lpstr>
      <vt:lpstr>'Split Phasing (6 Phases)'!NoLane_P2</vt:lpstr>
      <vt:lpstr>NoLane_P2</vt:lpstr>
      <vt:lpstr>'Split Phasing (4 Phases)'!NoLane_P2_5</vt:lpstr>
      <vt:lpstr>NoLane_P2_5</vt:lpstr>
      <vt:lpstr>NoLane_P3</vt:lpstr>
      <vt:lpstr>'4-phase Scheme'!NoLane_P3_8</vt:lpstr>
      <vt:lpstr>NoLane_P3_8</vt:lpstr>
      <vt:lpstr>NoLane_P4</vt:lpstr>
      <vt:lpstr>'4-phase Scheme'!NoLane_P4_7</vt:lpstr>
      <vt:lpstr>NoLane_P4_7</vt:lpstr>
      <vt:lpstr>'6-phase Scheme'!NoLane_P5</vt:lpstr>
      <vt:lpstr>'Split Phasing (6 Phases)'!NoLane_P5</vt:lpstr>
      <vt:lpstr>NoLane_P5</vt:lpstr>
      <vt:lpstr>'6-phase Scheme'!NoLane_P6</vt:lpstr>
      <vt:lpstr>'Split Phasing (6 Phases)'!NoLane_P6</vt:lpstr>
      <vt:lpstr>NoLane_P6</vt:lpstr>
      <vt:lpstr>NoLane_P7</vt:lpstr>
      <vt:lpstr>'Split Phasing (6 Phases)'!NoLane_P7_4</vt:lpstr>
      <vt:lpstr>NoLane_P7_4</vt:lpstr>
      <vt:lpstr>NoLane_P8</vt:lpstr>
      <vt:lpstr>'Split Phasing (6 Phases)'!NoLane_P8_3</vt:lpstr>
      <vt:lpstr>NoLane_P8_3</vt:lpstr>
      <vt:lpstr>'4-phase Scheme'!PedViolate_P3_8</vt:lpstr>
      <vt:lpstr>PedViolate_P3_8</vt:lpstr>
      <vt:lpstr>PedViolate_P4</vt:lpstr>
      <vt:lpstr>'4-phase Scheme'!PedViolate_P4_7</vt:lpstr>
      <vt:lpstr>PedViolate_P4_7</vt:lpstr>
      <vt:lpstr>'Split Phasing (6 Phases)'!PedViolate_P7_4</vt:lpstr>
      <vt:lpstr>PedViolate_P7_4</vt:lpstr>
      <vt:lpstr>PedViolate_P8</vt:lpstr>
      <vt:lpstr>'Split Phasing (6 Phases)'!PedViolate_P8_3</vt:lpstr>
      <vt:lpstr>PedViolate_P8_3</vt:lpstr>
      <vt:lpstr>'6-phase Scheme'!PT_P1</vt:lpstr>
      <vt:lpstr>'Split Phasing (6 Phases)'!PT_P1</vt:lpstr>
      <vt:lpstr>PT_P1</vt:lpstr>
      <vt:lpstr>'4-phase Scheme'!PT_P1_6</vt:lpstr>
      <vt:lpstr>'Split Phasing (4 Phases)'!PT_P1_6</vt:lpstr>
      <vt:lpstr>'6-phase Scheme'!PT_P2</vt:lpstr>
      <vt:lpstr>'Split Phasing (6 Phases)'!PT_P2</vt:lpstr>
      <vt:lpstr>PT_P2</vt:lpstr>
      <vt:lpstr>'4-phase Scheme'!PT_P2_5</vt:lpstr>
      <vt:lpstr>'Split Phasing (4 Phases)'!PT_P2_5</vt:lpstr>
      <vt:lpstr>PT_P3</vt:lpstr>
      <vt:lpstr>'4-phase Scheme'!PT_P3_8</vt:lpstr>
      <vt:lpstr>PT_P3_8</vt:lpstr>
      <vt:lpstr>PT_P4</vt:lpstr>
      <vt:lpstr>'4-phase Scheme'!PT_P4_7</vt:lpstr>
      <vt:lpstr>PT_P4_7</vt:lpstr>
      <vt:lpstr>'6-phase Scheme'!PT_P5</vt:lpstr>
      <vt:lpstr>'Split Phasing (6 Phases)'!PT_P5</vt:lpstr>
      <vt:lpstr>PT_P5</vt:lpstr>
      <vt:lpstr>'6-phase Scheme'!PT_P6</vt:lpstr>
      <vt:lpstr>'Split Phasing (6 Phases)'!PT_P6</vt:lpstr>
      <vt:lpstr>PT_P6</vt:lpstr>
      <vt:lpstr>PT_P7</vt:lpstr>
      <vt:lpstr>'Split Phasing (6 Phases)'!PT_P7_3</vt:lpstr>
      <vt:lpstr>PT_P7_4</vt:lpstr>
      <vt:lpstr>PT_P8</vt:lpstr>
      <vt:lpstr>'Split Phasing (6 Phases)'!PT_P8_3</vt:lpstr>
      <vt:lpstr>PT_P8_3</vt:lpstr>
      <vt:lpstr>'6-phase Scheme'!SFR_LT</vt:lpstr>
      <vt:lpstr>'Split Phasing (6 Phases)'!SFR_LT</vt:lpstr>
      <vt:lpstr>SFR_LT</vt:lpstr>
      <vt:lpstr>'4-phase Scheme'!SFR_ThrTL</vt:lpstr>
      <vt:lpstr>'6-phase Scheme'!SFR_ThrTL</vt:lpstr>
      <vt:lpstr>'Split Phasing (4 Phases)'!SFR_ThrTL</vt:lpstr>
      <vt:lpstr>'Split Phasing (6 Phases)'!SFR_ThrTL</vt:lpstr>
      <vt:lpstr>'6-phase Scheme'!SFR_Thru</vt:lpstr>
      <vt:lpstr>'Split Phasing (6 Phases)'!SFR_Thru</vt:lpstr>
      <vt:lpstr>SFR_Thru</vt:lpstr>
      <vt:lpstr>'6-phase Scheme'!SLT</vt:lpstr>
      <vt:lpstr>SLT</vt:lpstr>
      <vt:lpstr>'6-phase Scheme'!Split_P1</vt:lpstr>
      <vt:lpstr>'Split Phasing (6 Phases)'!Split_P1</vt:lpstr>
      <vt:lpstr>Split_P1</vt:lpstr>
      <vt:lpstr>'6-phase Scheme'!Split_P2</vt:lpstr>
      <vt:lpstr>'Split Phasing (6 Phases)'!Split_P2</vt:lpstr>
      <vt:lpstr>Split_P2</vt:lpstr>
      <vt:lpstr>Split_P3</vt:lpstr>
      <vt:lpstr>Split_P4</vt:lpstr>
      <vt:lpstr>'6-phase Scheme'!Split_P5</vt:lpstr>
      <vt:lpstr>'Split Phasing (6 Phases)'!Split_P5</vt:lpstr>
      <vt:lpstr>Split_P5</vt:lpstr>
      <vt:lpstr>'6-phase Scheme'!Split_P6</vt:lpstr>
      <vt:lpstr>'Split Phasing (6 Phases)'!Split_P6</vt:lpstr>
      <vt:lpstr>Split_P6</vt:lpstr>
      <vt:lpstr>'6-phase Scheme'!Split_P7</vt:lpstr>
      <vt:lpstr>'Split Phasing (6 Phases)'!Split_P7</vt:lpstr>
      <vt:lpstr>Split_P7</vt:lpstr>
      <vt:lpstr>'6-phase Scheme'!Split_P8</vt:lpstr>
      <vt:lpstr>'Split Phasing (6 Phases)'!Split_P8</vt:lpstr>
      <vt:lpstr>Split_P8</vt:lpstr>
      <vt:lpstr>'4-phase Scheme'!STL</vt:lpstr>
      <vt:lpstr>'Split Phasing (4 Phases)'!STL</vt:lpstr>
      <vt:lpstr>'Split Phasing (6 Phases)'!STL</vt:lpstr>
      <vt:lpstr>'Split Phasing (4 Phases)'!Verify_P1_6</vt:lpstr>
      <vt:lpstr>Verify_P1_6</vt:lpstr>
      <vt:lpstr>'6-phase Scheme'!Verify_P2</vt:lpstr>
      <vt:lpstr>'Split Phasing (6 Phases)'!Verify_P2</vt:lpstr>
      <vt:lpstr>Verify_P2</vt:lpstr>
      <vt:lpstr>'Split Phasing (4 Phases)'!Verify_P2_5</vt:lpstr>
      <vt:lpstr>Verify_P2_5</vt:lpstr>
      <vt:lpstr>'6-phase Scheme'!Verify_P6</vt:lpstr>
      <vt:lpstr>'Split Phasing (6 Phases)'!Verify_P6</vt:lpstr>
      <vt:lpstr>Verify_P6</vt:lpstr>
      <vt:lpstr>'6-phase Scheme'!Volume_P1</vt:lpstr>
      <vt:lpstr>'Split Phasing (6 Phases)'!Volume_P1</vt:lpstr>
      <vt:lpstr>Volume_P1</vt:lpstr>
      <vt:lpstr>'Split Phasing (4 Phases)'!Volume_P1_6</vt:lpstr>
      <vt:lpstr>Volume_P1_6</vt:lpstr>
      <vt:lpstr>'6-phase Scheme'!Volume_P2</vt:lpstr>
      <vt:lpstr>'Split Phasing (6 Phases)'!Volume_P2</vt:lpstr>
      <vt:lpstr>Volume_P2</vt:lpstr>
      <vt:lpstr>'Split Phasing (4 Phases)'!Volume_P2_5</vt:lpstr>
      <vt:lpstr>Volume_P2_5</vt:lpstr>
      <vt:lpstr>Volume_P3</vt:lpstr>
      <vt:lpstr>'4-phase Scheme'!Volume_P3_8</vt:lpstr>
      <vt:lpstr>Volume_P3_8</vt:lpstr>
      <vt:lpstr>Volume_P4</vt:lpstr>
      <vt:lpstr>'4-phase Scheme'!Volume_P4_7</vt:lpstr>
      <vt:lpstr>Volume_P4_7</vt:lpstr>
      <vt:lpstr>'6-phase Scheme'!Volume_P5</vt:lpstr>
      <vt:lpstr>'Split Phasing (6 Phases)'!Volume_P5</vt:lpstr>
      <vt:lpstr>Volume_P5</vt:lpstr>
      <vt:lpstr>'6-phase Scheme'!Volume_P6</vt:lpstr>
      <vt:lpstr>'Split Phasing (6 Phases)'!Volume_P6</vt:lpstr>
      <vt:lpstr>Volume_P6</vt:lpstr>
      <vt:lpstr>Volume_P7</vt:lpstr>
      <vt:lpstr>'Split Phasing (6 Phases)'!Volume_P7_4</vt:lpstr>
      <vt:lpstr>Volume_P7_4</vt:lpstr>
      <vt:lpstr>Volume_P8</vt:lpstr>
      <vt:lpstr>'Split Phasing (6 Phases)'!Volume_P8_3</vt:lpstr>
      <vt:lpstr>Volume_P8_3</vt:lpstr>
      <vt:lpstr>'Split Phasing (4 Phases)'!Walk_P1_6</vt:lpstr>
      <vt:lpstr>Walk_P1_6</vt:lpstr>
      <vt:lpstr>'6-phase Scheme'!Walk_P2</vt:lpstr>
      <vt:lpstr>'Split Phasing (6 Phases)'!Walk_P2</vt:lpstr>
      <vt:lpstr>Walk_P2</vt:lpstr>
      <vt:lpstr>'Split Phasing (4 Phases)'!Walk_P2_5</vt:lpstr>
      <vt:lpstr>Walk_P2_5</vt:lpstr>
      <vt:lpstr>'4-phase Scheme'!Walk_P3_8</vt:lpstr>
      <vt:lpstr>Walk_P3_8</vt:lpstr>
      <vt:lpstr>Walk_P4</vt:lpstr>
      <vt:lpstr>'4-phase Scheme'!Walk_P4_7</vt:lpstr>
      <vt:lpstr>Walk_P4_7</vt:lpstr>
      <vt:lpstr>'6-phase Scheme'!Walk_P6</vt:lpstr>
      <vt:lpstr>'Split Phasing (6 Phases)'!Walk_P6</vt:lpstr>
      <vt:lpstr>Walk_P6</vt:lpstr>
      <vt:lpstr>'Split Phasing (6 Phases)'!Walk_P7_4</vt:lpstr>
      <vt:lpstr>Walk_P7_4</vt:lpstr>
      <vt:lpstr>Walk_P8</vt:lpstr>
      <vt:lpstr>'Split Phasing (6 Phases)'!Walk_P8_3</vt:lpstr>
      <vt:lpstr>Walk_P8_3</vt:lpstr>
      <vt:lpstr>'6-phase Scheme'!Y_P1</vt:lpstr>
      <vt:lpstr>'Split Phasing (6 Phases)'!Y_P1</vt:lpstr>
      <vt:lpstr>Y_P1</vt:lpstr>
      <vt:lpstr>'Split Phasing (4 Phases)'!Y_P1_6</vt:lpstr>
      <vt:lpstr>Y_P1_6</vt:lpstr>
      <vt:lpstr>'6-phase Scheme'!Y_P2</vt:lpstr>
      <vt:lpstr>'Split Phasing (6 Phases)'!Y_P2</vt:lpstr>
      <vt:lpstr>Y_P2</vt:lpstr>
      <vt:lpstr>'Split Phasing (4 Phases)'!Y_P2_5</vt:lpstr>
      <vt:lpstr>Y_P2_5</vt:lpstr>
      <vt:lpstr>Y_P3</vt:lpstr>
      <vt:lpstr>'4-phase Scheme'!Y_P3_8</vt:lpstr>
      <vt:lpstr>Y_P3_8</vt:lpstr>
      <vt:lpstr>Y_P4</vt:lpstr>
      <vt:lpstr>'4-phase Scheme'!Y_P4_7</vt:lpstr>
      <vt:lpstr>Y_P4_7</vt:lpstr>
      <vt:lpstr>'6-phase Scheme'!Y_P5</vt:lpstr>
      <vt:lpstr>'Split Phasing (6 Phases)'!Y_P5</vt:lpstr>
      <vt:lpstr>Y_P5</vt:lpstr>
      <vt:lpstr>'6-phase Scheme'!Y_P6</vt:lpstr>
      <vt:lpstr>'Split Phasing (6 Phases)'!Y_P6</vt:lpstr>
      <vt:lpstr>Y_P6</vt:lpstr>
      <vt:lpstr>Y_P7</vt:lpstr>
      <vt:lpstr>'Split Phasing (6 Phases)'!Y_P7_4</vt:lpstr>
      <vt:lpstr>Y_P7_4</vt:lpstr>
      <vt:lpstr>Y_P8</vt:lpstr>
      <vt:lpstr>'Split Phasing (6 Phases)'!Y_P8_3</vt:lpstr>
      <vt:lpstr>Y_P8_3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Aobo Wang</dc:creator>
  <cp:lastModifiedBy>Aobo Wang</cp:lastModifiedBy>
  <dcterms:created xsi:type="dcterms:W3CDTF">2015-06-05T18:19:34Z</dcterms:created>
  <dcterms:modified xsi:type="dcterms:W3CDTF">2023-07-05T00:37:44Z</dcterms:modified>
</cp:coreProperties>
</file>