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2\Administración y Valoración Financiera\"/>
    </mc:Choice>
  </mc:AlternateContent>
  <xr:revisionPtr revIDLastSave="0" documentId="13_ncr:1_{7540FFA6-48CD-4E01-86DC-AAFEEB8FED7F}" xr6:coauthVersionLast="47" xr6:coauthVersionMax="47" xr10:uidLastSave="{00000000-0000-0000-0000-000000000000}"/>
  <bookViews>
    <workbookView xWindow="-120" yWindow="-120" windowWidth="29040" windowHeight="15720" tabRatio="796" activeTab="1" xr2:uid="{00000000-000D-0000-FFFF-FFFF00000000}"/>
  </bookViews>
  <sheets>
    <sheet name="MODELO VALORACIÓN SIMPLIFICADO" sheetId="15" r:id="rId1"/>
    <sheet name="KPI's" sheetId="16" r:id="rId2"/>
  </sheets>
  <definedNames>
    <definedName name="_xlnm.Print_Area" localSheetId="0">'MODELO VALORACIÓN SIMPLIFICADO'!#REF!</definedName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"10/01/2018 15:52:08"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4" i="15" l="1"/>
  <c r="B175" i="15"/>
  <c r="B33" i="16"/>
  <c r="B35" i="16" s="1"/>
  <c r="C16" i="16"/>
  <c r="B6" i="16"/>
  <c r="B7" i="16"/>
  <c r="B40" i="16"/>
  <c r="B2" i="16"/>
  <c r="C2" i="16"/>
  <c r="B4" i="16"/>
  <c r="C7" i="16"/>
  <c r="B10" i="16"/>
  <c r="B9" i="16"/>
  <c r="B16" i="16"/>
  <c r="B32" i="16"/>
  <c r="B36" i="16" s="1"/>
  <c r="B21" i="16"/>
  <c r="B20" i="16"/>
  <c r="C111" i="15"/>
  <c r="C20" i="16"/>
  <c r="B19" i="16"/>
  <c r="C19" i="16"/>
  <c r="B17" i="16" l="1"/>
  <c r="D19" i="16"/>
  <c r="C24" i="16" s="1"/>
  <c r="B22" i="16"/>
  <c r="B23" i="16" s="1"/>
  <c r="G299" i="15" l="1"/>
  <c r="G300" i="15" s="1"/>
  <c r="G302" i="15" s="1"/>
  <c r="B324" i="15"/>
  <c r="C318" i="15"/>
  <c r="G318" i="15"/>
  <c r="F318" i="15"/>
  <c r="E318" i="15"/>
  <c r="D318" i="15"/>
  <c r="H312" i="15"/>
  <c r="G313" i="15"/>
  <c r="F313" i="15"/>
  <c r="E313" i="15"/>
  <c r="D313" i="15"/>
  <c r="C313" i="15"/>
  <c r="G312" i="15"/>
  <c r="F312" i="15"/>
  <c r="E312" i="15"/>
  <c r="D312" i="15"/>
  <c r="C312" i="15"/>
  <c r="C295" i="15"/>
  <c r="B307" i="15"/>
  <c r="H295" i="15"/>
  <c r="G301" i="15"/>
  <c r="F301" i="15"/>
  <c r="E301" i="15"/>
  <c r="D301" i="15"/>
  <c r="C301" i="15"/>
  <c r="G298" i="15"/>
  <c r="F298" i="15"/>
  <c r="E298" i="15"/>
  <c r="D298" i="15"/>
  <c r="C298" i="15"/>
  <c r="G296" i="15"/>
  <c r="F296" i="15"/>
  <c r="E296" i="15"/>
  <c r="D296" i="15"/>
  <c r="C296" i="15"/>
  <c r="G295" i="15"/>
  <c r="F295" i="15"/>
  <c r="E295" i="15"/>
  <c r="D295" i="15"/>
  <c r="D135" i="15"/>
  <c r="D136" i="15"/>
  <c r="C137" i="15"/>
  <c r="C136" i="15"/>
  <c r="C131" i="15"/>
  <c r="C130" i="15"/>
  <c r="G294" i="15"/>
  <c r="F294" i="15"/>
  <c r="E294" i="15"/>
  <c r="D294" i="15"/>
  <c r="C294" i="15"/>
  <c r="F264" i="15"/>
  <c r="F263" i="15"/>
  <c r="D264" i="15"/>
  <c r="D263" i="15"/>
  <c r="E265" i="15"/>
  <c r="F265" i="15" s="1"/>
  <c r="E264" i="15"/>
  <c r="E263" i="15"/>
  <c r="C265" i="15"/>
  <c r="D265" i="15" s="1"/>
  <c r="C264" i="15"/>
  <c r="C263" i="15"/>
  <c r="D256" i="15"/>
  <c r="D257" i="15"/>
  <c r="D254" i="15"/>
  <c r="D253" i="15"/>
  <c r="D252" i="15"/>
  <c r="C257" i="15"/>
  <c r="C256" i="15"/>
  <c r="C255" i="15"/>
  <c r="C254" i="15"/>
  <c r="C253" i="15"/>
  <c r="C252" i="15"/>
  <c r="B254" i="15"/>
  <c r="B255" i="15"/>
  <c r="B256" i="15"/>
  <c r="B252" i="15"/>
  <c r="B253" i="15"/>
  <c r="F245" i="15"/>
  <c r="D245" i="15"/>
  <c r="C245" i="15"/>
  <c r="B245" i="15"/>
  <c r="F237" i="15"/>
  <c r="E237" i="15"/>
  <c r="D237" i="15"/>
  <c r="C237" i="15"/>
  <c r="B237" i="15"/>
  <c r="G28" i="15"/>
  <c r="F28" i="15"/>
  <c r="E28" i="15"/>
  <c r="D28" i="15"/>
  <c r="G26" i="15"/>
  <c r="F26" i="15"/>
  <c r="E26" i="15"/>
  <c r="D26" i="15"/>
  <c r="G24" i="15"/>
  <c r="F24" i="15"/>
  <c r="E24" i="15"/>
  <c r="D24" i="15"/>
  <c r="G22" i="15"/>
  <c r="F22" i="15"/>
  <c r="E22" i="15"/>
  <c r="D22" i="15"/>
  <c r="C28" i="15"/>
  <c r="C26" i="15"/>
  <c r="C24" i="15"/>
  <c r="C22" i="15"/>
  <c r="C5" i="15"/>
  <c r="G20" i="15"/>
  <c r="F20" i="15"/>
  <c r="E20" i="15"/>
  <c r="D20" i="15"/>
  <c r="G19" i="15"/>
  <c r="F19" i="15"/>
  <c r="E19" i="15"/>
  <c r="D19" i="15"/>
  <c r="C20" i="15"/>
  <c r="C19" i="15"/>
  <c r="G15" i="15"/>
  <c r="F15" i="15"/>
  <c r="E15" i="15"/>
  <c r="D15" i="15"/>
  <c r="C15" i="15"/>
  <c r="G7" i="15"/>
  <c r="F7" i="15"/>
  <c r="E7" i="15"/>
  <c r="D7" i="15"/>
  <c r="C7" i="15"/>
  <c r="G5" i="15"/>
  <c r="F5" i="15"/>
  <c r="E5" i="15"/>
  <c r="D5" i="15"/>
  <c r="C299" i="15" l="1"/>
  <c r="C300" i="15" s="1"/>
  <c r="C302" i="15" s="1"/>
  <c r="C304" i="15" s="1"/>
  <c r="E299" i="15"/>
  <c r="E300" i="15" s="1"/>
  <c r="E302" i="15" s="1"/>
  <c r="E304" i="15" s="1"/>
  <c r="F299" i="15"/>
  <c r="F300" i="15" s="1"/>
  <c r="F302" i="15" s="1"/>
  <c r="F304" i="15" s="1"/>
  <c r="G316" i="15"/>
  <c r="D299" i="15"/>
  <c r="D198" i="15"/>
  <c r="E198" i="15" s="1"/>
  <c r="F198" i="15" s="1"/>
  <c r="G198" i="15" s="1"/>
  <c r="B200" i="15"/>
  <c r="B201" i="15" s="1"/>
  <c r="B202" i="15" s="1"/>
  <c r="B203" i="15" s="1"/>
  <c r="B192" i="15"/>
  <c r="B191" i="15"/>
  <c r="A318" i="15"/>
  <c r="A301" i="15"/>
  <c r="C292" i="15"/>
  <c r="C177" i="15"/>
  <c r="D178" i="15" s="1"/>
  <c r="C109" i="15"/>
  <c r="G94" i="15"/>
  <c r="F94" i="15"/>
  <c r="E94" i="15"/>
  <c r="D94" i="15"/>
  <c r="C94" i="15"/>
  <c r="G93" i="15"/>
  <c r="F93" i="15"/>
  <c r="E93" i="15"/>
  <c r="D93" i="15"/>
  <c r="C93" i="15"/>
  <c r="G92" i="15"/>
  <c r="F92" i="15"/>
  <c r="E92" i="15"/>
  <c r="D92" i="15"/>
  <c r="C92" i="15"/>
  <c r="G91" i="15"/>
  <c r="F91" i="15"/>
  <c r="E91" i="15"/>
  <c r="D91" i="15"/>
  <c r="C91" i="15"/>
  <c r="B81" i="15"/>
  <c r="B96" i="15" s="1"/>
  <c r="G80" i="15"/>
  <c r="F80" i="15"/>
  <c r="E80" i="15"/>
  <c r="D80" i="15"/>
  <c r="C80" i="15"/>
  <c r="G78" i="15"/>
  <c r="F78" i="15"/>
  <c r="E78" i="15"/>
  <c r="D78" i="15"/>
  <c r="C78" i="15"/>
  <c r="C68" i="15"/>
  <c r="G57" i="15"/>
  <c r="F57" i="15"/>
  <c r="E57" i="15"/>
  <c r="D57" i="15"/>
  <c r="C57" i="15"/>
  <c r="B50" i="15"/>
  <c r="B54" i="15" s="1"/>
  <c r="C46" i="15"/>
  <c r="G79" i="15"/>
  <c r="F79" i="15"/>
  <c r="E79" i="15"/>
  <c r="D79" i="15"/>
  <c r="C79" i="15"/>
  <c r="G99" i="15"/>
  <c r="F77" i="15"/>
  <c r="B99" i="15"/>
  <c r="B100" i="15" s="1"/>
  <c r="G62" i="15"/>
  <c r="F62" i="15"/>
  <c r="E62" i="15"/>
  <c r="D62" i="15"/>
  <c r="C62" i="15"/>
  <c r="C48" i="15"/>
  <c r="E316" i="15" l="1"/>
  <c r="C316" i="15"/>
  <c r="F316" i="15"/>
  <c r="D300" i="15"/>
  <c r="D302" i="15" s="1"/>
  <c r="D304" i="15" s="1"/>
  <c r="D316" i="15"/>
  <c r="C160" i="15"/>
  <c r="G160" i="15"/>
  <c r="G161" i="15" s="1"/>
  <c r="D160" i="15"/>
  <c r="D161" i="15" s="1"/>
  <c r="E147" i="15"/>
  <c r="D149" i="15"/>
  <c r="E146" i="15"/>
  <c r="C154" i="15"/>
  <c r="E134" i="15"/>
  <c r="D77" i="15"/>
  <c r="D98" i="15"/>
  <c r="E98" i="15"/>
  <c r="E77" i="15"/>
  <c r="G146" i="15"/>
  <c r="E154" i="15"/>
  <c r="D156" i="15"/>
  <c r="G134" i="15"/>
  <c r="E149" i="15"/>
  <c r="C149" i="15"/>
  <c r="E160" i="15"/>
  <c r="E161" i="15" s="1"/>
  <c r="D154" i="15"/>
  <c r="C156" i="15"/>
  <c r="F160" i="15"/>
  <c r="F161" i="15" s="1"/>
  <c r="F154" i="15"/>
  <c r="G147" i="15"/>
  <c r="D134" i="15"/>
  <c r="G148" i="15"/>
  <c r="C99" i="15"/>
  <c r="C98" i="15"/>
  <c r="F134" i="15"/>
  <c r="D133" i="15"/>
  <c r="D148" i="15"/>
  <c r="G149" i="15"/>
  <c r="G156" i="15"/>
  <c r="G154" i="15"/>
  <c r="C133" i="15"/>
  <c r="E156" i="15"/>
  <c r="C148" i="15"/>
  <c r="F149" i="15"/>
  <c r="D68" i="15"/>
  <c r="C146" i="15"/>
  <c r="E133" i="15"/>
  <c r="E148" i="15"/>
  <c r="F147" i="15"/>
  <c r="C134" i="15"/>
  <c r="D146" i="15"/>
  <c r="C56" i="15"/>
  <c r="C89" i="15"/>
  <c r="C74" i="15"/>
  <c r="C51" i="15"/>
  <c r="D147" i="15"/>
  <c r="F156" i="15"/>
  <c r="E292" i="15"/>
  <c r="C147" i="15"/>
  <c r="F148" i="15"/>
  <c r="F146" i="15"/>
  <c r="G133" i="15"/>
  <c r="D46" i="15"/>
  <c r="D109" i="15"/>
  <c r="D99" i="15"/>
  <c r="F133" i="15"/>
  <c r="E99" i="15"/>
  <c r="B59" i="15"/>
  <c r="C87" i="15"/>
  <c r="B292" i="15"/>
  <c r="B177" i="15"/>
  <c r="B68" i="15"/>
  <c r="C77" i="15"/>
  <c r="F99" i="15"/>
  <c r="C88" i="15"/>
  <c r="C76" i="15"/>
  <c r="D48" i="15"/>
  <c r="C84" i="15"/>
  <c r="C72" i="15"/>
  <c r="C55" i="15"/>
  <c r="C52" i="15"/>
  <c r="C49" i="15"/>
  <c r="C75" i="15"/>
  <c r="C73" i="15"/>
  <c r="C90" i="15"/>
  <c r="C71" i="15"/>
  <c r="C86" i="15"/>
  <c r="G77" i="15"/>
  <c r="F98" i="15"/>
  <c r="B46" i="15"/>
  <c r="C53" i="15"/>
  <c r="G98" i="15"/>
  <c r="C85" i="15"/>
  <c r="D292" i="15"/>
  <c r="D177" i="15"/>
  <c r="E178" i="15" s="1"/>
  <c r="D100" i="15" l="1"/>
  <c r="D132" i="15"/>
  <c r="C143" i="15"/>
  <c r="C124" i="15"/>
  <c r="C115" i="15"/>
  <c r="C114" i="15"/>
  <c r="C123" i="15"/>
  <c r="C128" i="15"/>
  <c r="C132" i="15"/>
  <c r="C135" i="15" s="1"/>
  <c r="C129" i="15"/>
  <c r="C100" i="15"/>
  <c r="C120" i="15" s="1"/>
  <c r="C144" i="15"/>
  <c r="C126" i="15"/>
  <c r="C127" i="15"/>
  <c r="C138" i="15"/>
  <c r="C139" i="15"/>
  <c r="E132" i="15"/>
  <c r="E135" i="15" s="1"/>
  <c r="G132" i="15"/>
  <c r="G135" i="15" s="1"/>
  <c r="C122" i="15"/>
  <c r="E46" i="15"/>
  <c r="D111" i="15"/>
  <c r="C112" i="15"/>
  <c r="C113" i="15" s="1"/>
  <c r="C116" i="15"/>
  <c r="C145" i="15"/>
  <c r="C125" i="15"/>
  <c r="F132" i="15"/>
  <c r="F135" i="15" s="1"/>
  <c r="E100" i="15"/>
  <c r="C142" i="15"/>
  <c r="E177" i="15"/>
  <c r="F178" i="15" s="1"/>
  <c r="E68" i="15"/>
  <c r="E109" i="15"/>
  <c r="C50" i="15"/>
  <c r="F100" i="15"/>
  <c r="G100" i="15"/>
  <c r="C178" i="15"/>
  <c r="B178" i="15"/>
  <c r="D71" i="15"/>
  <c r="D51" i="15"/>
  <c r="D87" i="15"/>
  <c r="D75" i="15"/>
  <c r="D89" i="15"/>
  <c r="D74" i="15"/>
  <c r="D76" i="15"/>
  <c r="D49" i="15"/>
  <c r="D55" i="15"/>
  <c r="D84" i="15"/>
  <c r="D90" i="15"/>
  <c r="D88" i="15"/>
  <c r="E48" i="15"/>
  <c r="D56" i="15"/>
  <c r="D53" i="15"/>
  <c r="D86" i="15"/>
  <c r="D52" i="15"/>
  <c r="D73" i="15"/>
  <c r="D85" i="15"/>
  <c r="D72" i="15"/>
  <c r="C102" i="15"/>
  <c r="B61" i="15"/>
  <c r="B63" i="15" s="1"/>
  <c r="D120" i="15" l="1"/>
  <c r="D50" i="15"/>
  <c r="D54" i="15" s="1"/>
  <c r="C54" i="15"/>
  <c r="C118" i="15" s="1"/>
  <c r="F109" i="15"/>
  <c r="F68" i="15"/>
  <c r="F46" i="15"/>
  <c r="E111" i="15"/>
  <c r="D126" i="15"/>
  <c r="D142" i="15"/>
  <c r="G120" i="15"/>
  <c r="D145" i="15"/>
  <c r="C117" i="15"/>
  <c r="D115" i="15"/>
  <c r="D125" i="15"/>
  <c r="D114" i="15"/>
  <c r="D122" i="15"/>
  <c r="D129" i="15"/>
  <c r="D123" i="15"/>
  <c r="D128" i="15"/>
  <c r="D138" i="15"/>
  <c r="F292" i="15"/>
  <c r="E120" i="15"/>
  <c r="D127" i="15"/>
  <c r="D112" i="15"/>
  <c r="D113" i="15" s="1"/>
  <c r="F120" i="15"/>
  <c r="D143" i="15"/>
  <c r="D139" i="15"/>
  <c r="D124" i="15"/>
  <c r="D144" i="15"/>
  <c r="D116" i="15"/>
  <c r="F177" i="15"/>
  <c r="G178" i="15" s="1"/>
  <c r="H178" i="15" s="1"/>
  <c r="D102" i="15"/>
  <c r="E86" i="15"/>
  <c r="E74" i="15"/>
  <c r="E90" i="15"/>
  <c r="E53" i="15"/>
  <c r="E51" i="15"/>
  <c r="E84" i="15"/>
  <c r="E88" i="15"/>
  <c r="E73" i="15"/>
  <c r="E71" i="15"/>
  <c r="E75" i="15"/>
  <c r="E56" i="15"/>
  <c r="F48" i="15"/>
  <c r="E52" i="15"/>
  <c r="E85" i="15"/>
  <c r="E89" i="15"/>
  <c r="E87" i="15"/>
  <c r="E72" i="15"/>
  <c r="E76" i="15"/>
  <c r="E55" i="15"/>
  <c r="E49" i="15"/>
  <c r="C119" i="15" l="1"/>
  <c r="C121" i="15" s="1"/>
  <c r="G46" i="15"/>
  <c r="D150" i="15"/>
  <c r="G68" i="15"/>
  <c r="G292" i="15"/>
  <c r="G109" i="15"/>
  <c r="G177" i="15"/>
  <c r="E125" i="15"/>
  <c r="D118" i="15"/>
  <c r="E114" i="15"/>
  <c r="F111" i="15"/>
  <c r="E138" i="15"/>
  <c r="E139" i="15"/>
  <c r="E145" i="15"/>
  <c r="E143" i="15"/>
  <c r="E142" i="15"/>
  <c r="E124" i="15"/>
  <c r="E112" i="15"/>
  <c r="E113" i="15" s="1"/>
  <c r="E116" i="15"/>
  <c r="D117" i="15"/>
  <c r="E126" i="15"/>
  <c r="E115" i="15"/>
  <c r="E122" i="15"/>
  <c r="E127" i="15"/>
  <c r="E128" i="15"/>
  <c r="E123" i="15"/>
  <c r="E144" i="15"/>
  <c r="E129" i="15"/>
  <c r="E50" i="15"/>
  <c r="E102" i="15"/>
  <c r="F89" i="15"/>
  <c r="F85" i="15"/>
  <c r="F73" i="15"/>
  <c r="F56" i="15"/>
  <c r="F53" i="15"/>
  <c r="F76" i="15"/>
  <c r="F55" i="15"/>
  <c r="F51" i="15"/>
  <c r="F88" i="15"/>
  <c r="F86" i="15"/>
  <c r="F71" i="15"/>
  <c r="G48" i="15"/>
  <c r="F90" i="15"/>
  <c r="F52" i="15"/>
  <c r="F84" i="15"/>
  <c r="F75" i="15"/>
  <c r="F87" i="15"/>
  <c r="F72" i="15"/>
  <c r="F74" i="15"/>
  <c r="F49" i="15"/>
  <c r="D130" i="15"/>
  <c r="E54" i="15" l="1"/>
  <c r="E118" i="15" s="1"/>
  <c r="E150" i="15"/>
  <c r="D119" i="15"/>
  <c r="D121" i="15" s="1"/>
  <c r="F143" i="15"/>
  <c r="F145" i="15"/>
  <c r="F124" i="15"/>
  <c r="F123" i="15"/>
  <c r="F139" i="15"/>
  <c r="F127" i="15"/>
  <c r="F126" i="15"/>
  <c r="F112" i="15"/>
  <c r="F113" i="15" s="1"/>
  <c r="F128" i="15"/>
  <c r="F129" i="15"/>
  <c r="F144" i="15"/>
  <c r="F116" i="15"/>
  <c r="E117" i="15"/>
  <c r="F115" i="15"/>
  <c r="G111" i="15"/>
  <c r="F122" i="15"/>
  <c r="F142" i="15"/>
  <c r="F114" i="15"/>
  <c r="F125" i="15"/>
  <c r="F138" i="15"/>
  <c r="G84" i="15"/>
  <c r="G72" i="15"/>
  <c r="G55" i="15"/>
  <c r="G52" i="15"/>
  <c r="G49" i="15"/>
  <c r="G88" i="15"/>
  <c r="G76" i="15"/>
  <c r="G90" i="15"/>
  <c r="G75" i="15"/>
  <c r="G73" i="15"/>
  <c r="G56" i="15"/>
  <c r="G85" i="15"/>
  <c r="G71" i="15"/>
  <c r="G87" i="15"/>
  <c r="G86" i="15"/>
  <c r="G89" i="15"/>
  <c r="G74" i="15"/>
  <c r="G51" i="15"/>
  <c r="G53" i="15"/>
  <c r="F102" i="15"/>
  <c r="F50" i="15"/>
  <c r="E130" i="15"/>
  <c r="E136" i="15" s="1"/>
  <c r="F117" i="15" l="1"/>
  <c r="F150" i="15"/>
  <c r="G116" i="15"/>
  <c r="G139" i="15"/>
  <c r="G138" i="15"/>
  <c r="G114" i="15"/>
  <c r="G123" i="15"/>
  <c r="G122" i="15"/>
  <c r="G129" i="15"/>
  <c r="G115" i="15"/>
  <c r="G142" i="15"/>
  <c r="E119" i="15"/>
  <c r="E121" i="15" s="1"/>
  <c r="G126" i="15"/>
  <c r="G124" i="15"/>
  <c r="G125" i="15"/>
  <c r="G144" i="15"/>
  <c r="G145" i="15"/>
  <c r="G128" i="15"/>
  <c r="G112" i="15"/>
  <c r="G113" i="15" s="1"/>
  <c r="G127" i="15"/>
  <c r="G143" i="15"/>
  <c r="G102" i="15"/>
  <c r="F130" i="15"/>
  <c r="F136" i="15" s="1"/>
  <c r="G50" i="15"/>
  <c r="F54" i="15"/>
  <c r="G117" i="15" l="1"/>
  <c r="G150" i="15"/>
  <c r="F118" i="15"/>
  <c r="F119" i="15" s="1"/>
  <c r="F121" i="15" s="1"/>
  <c r="G54" i="15"/>
  <c r="G130" i="15"/>
  <c r="G136" i="15" s="1"/>
  <c r="G118" i="15" l="1"/>
  <c r="G119" i="15" s="1"/>
  <c r="G121" i="15" s="1"/>
  <c r="D131" i="15" l="1"/>
  <c r="D137" i="15"/>
  <c r="D180" i="15" s="1"/>
  <c r="D182" i="15" l="1"/>
  <c r="E137" i="15"/>
  <c r="E180" i="15" s="1"/>
  <c r="E131" i="15"/>
  <c r="E182" i="15" l="1"/>
  <c r="F131" i="15"/>
  <c r="F137" i="15"/>
  <c r="F180" i="15" s="1"/>
  <c r="F182" i="15" l="1"/>
  <c r="G131" i="15"/>
  <c r="G137" i="15"/>
  <c r="G180" i="15" s="1"/>
  <c r="H180" i="15" l="1"/>
  <c r="H302" i="15" s="1"/>
  <c r="C150" i="15"/>
  <c r="G208" i="15" l="1"/>
  <c r="G303" i="15"/>
  <c r="G304" i="15" s="1"/>
  <c r="B306" i="15" s="1"/>
  <c r="B308" i="15" s="1"/>
  <c r="F208" i="15"/>
  <c r="D208" i="15"/>
  <c r="H208" i="15"/>
  <c r="G181" i="15"/>
  <c r="G182" i="15" s="1"/>
  <c r="E208" i="15"/>
  <c r="C180" i="15"/>
  <c r="C182" i="15" l="1"/>
  <c r="B188" i="15" s="1"/>
  <c r="B309" i="15" s="1"/>
  <c r="B208" i="15"/>
  <c r="C208" i="15"/>
  <c r="C161" i="15"/>
  <c r="C6" i="16" l="1"/>
  <c r="C9" i="16"/>
  <c r="C10" i="16"/>
  <c r="C17" i="16"/>
  <c r="C21" i="16"/>
  <c r="C22" i="16"/>
  <c r="D22" i="16"/>
  <c r="C23" i="16"/>
  <c r="D23" i="16"/>
  <c r="C25" i="16"/>
  <c r="C28" i="16"/>
  <c r="D28" i="16"/>
  <c r="C29" i="16"/>
  <c r="D29" i="16"/>
  <c r="C32" i="16"/>
  <c r="C33" i="16"/>
  <c r="C35" i="16"/>
  <c r="C36" i="16"/>
  <c r="C40" i="16"/>
  <c r="C58" i="15"/>
  <c r="D58" i="15"/>
  <c r="E58" i="15"/>
  <c r="F58" i="15"/>
  <c r="G58" i="15"/>
  <c r="C59" i="15"/>
  <c r="D59" i="15"/>
  <c r="E59" i="15"/>
  <c r="F59" i="15"/>
  <c r="G59" i="15"/>
  <c r="C60" i="15"/>
  <c r="D60" i="15"/>
  <c r="E60" i="15"/>
  <c r="F60" i="15"/>
  <c r="G60" i="15"/>
  <c r="C61" i="15"/>
  <c r="D61" i="15"/>
  <c r="E61" i="15"/>
  <c r="F61" i="15"/>
  <c r="G61" i="15"/>
  <c r="C63" i="15"/>
  <c r="D63" i="15"/>
  <c r="E63" i="15"/>
  <c r="F63" i="15"/>
  <c r="G63" i="15"/>
  <c r="C70" i="15"/>
  <c r="D70" i="15"/>
  <c r="E70" i="15"/>
  <c r="F70" i="15"/>
  <c r="G70" i="15"/>
  <c r="C81" i="15"/>
  <c r="D81" i="15"/>
  <c r="E81" i="15"/>
  <c r="F81" i="15"/>
  <c r="G81" i="15"/>
  <c r="C83" i="15"/>
  <c r="D83" i="15"/>
  <c r="E83" i="15"/>
  <c r="F83" i="15"/>
  <c r="G83" i="15"/>
  <c r="C95" i="15"/>
  <c r="D95" i="15"/>
  <c r="E95" i="15"/>
  <c r="F95" i="15"/>
  <c r="G95" i="15"/>
  <c r="C96" i="15"/>
  <c r="D96" i="15"/>
  <c r="E96" i="15"/>
  <c r="F96" i="15"/>
  <c r="G96" i="15"/>
  <c r="C103" i="15"/>
  <c r="D103" i="15"/>
  <c r="E103" i="15"/>
  <c r="F103" i="15"/>
  <c r="G103" i="15"/>
  <c r="C104" i="15"/>
  <c r="D104" i="15"/>
  <c r="E104" i="15"/>
  <c r="F104" i="15"/>
  <c r="G104" i="15"/>
  <c r="C140" i="15"/>
  <c r="D140" i="15"/>
  <c r="E140" i="15"/>
  <c r="F140" i="15"/>
  <c r="G140" i="15"/>
  <c r="C141" i="15"/>
  <c r="D141" i="15"/>
  <c r="E141" i="15"/>
  <c r="F141" i="15"/>
  <c r="G141" i="15"/>
  <c r="C151" i="15"/>
  <c r="D151" i="15"/>
  <c r="E151" i="15"/>
  <c r="F151" i="15"/>
  <c r="G151" i="15"/>
  <c r="C152" i="15"/>
  <c r="D152" i="15"/>
  <c r="E152" i="15"/>
  <c r="F152" i="15"/>
  <c r="G152" i="15"/>
  <c r="C153" i="15"/>
  <c r="D153" i="15"/>
  <c r="E153" i="15"/>
  <c r="F153" i="15"/>
  <c r="G153" i="15"/>
  <c r="C155" i="15"/>
  <c r="D155" i="15"/>
  <c r="E155" i="15"/>
  <c r="F155" i="15"/>
  <c r="G155" i="15"/>
  <c r="C157" i="15"/>
  <c r="D157" i="15"/>
  <c r="E157" i="15"/>
  <c r="F157" i="15"/>
  <c r="G157" i="15"/>
  <c r="C158" i="15"/>
  <c r="D158" i="15"/>
  <c r="E158" i="15"/>
  <c r="F158" i="15"/>
  <c r="G158" i="15"/>
  <c r="C163" i="15"/>
  <c r="D163" i="15"/>
  <c r="E163" i="15"/>
  <c r="F163" i="15"/>
  <c r="G163" i="15"/>
  <c r="C165" i="15"/>
  <c r="D165" i="15"/>
  <c r="E165" i="15"/>
  <c r="F165" i="15"/>
  <c r="G165" i="15"/>
  <c r="C166" i="15"/>
  <c r="D166" i="15"/>
  <c r="E166" i="15"/>
  <c r="F166" i="15"/>
  <c r="G166" i="15"/>
  <c r="C184" i="15"/>
  <c r="D184" i="15"/>
  <c r="E184" i="15"/>
  <c r="F184" i="15"/>
  <c r="G184" i="15"/>
  <c r="H184" i="15"/>
  <c r="G185" i="15"/>
  <c r="C186" i="15"/>
  <c r="D186" i="15"/>
  <c r="E186" i="15"/>
  <c r="F186" i="15"/>
  <c r="G186" i="15"/>
  <c r="C188" i="15"/>
  <c r="B189" i="15"/>
  <c r="C189" i="15"/>
  <c r="B190" i="15"/>
  <c r="C190" i="15"/>
  <c r="B193" i="15"/>
  <c r="B198" i="15"/>
  <c r="B209" i="15"/>
  <c r="C209" i="15"/>
  <c r="D209" i="15"/>
  <c r="E209" i="15"/>
  <c r="F209" i="15"/>
  <c r="G209" i="15"/>
  <c r="H209" i="15"/>
  <c r="B210" i="15"/>
  <c r="C210" i="15"/>
  <c r="D210" i="15"/>
  <c r="E210" i="15"/>
  <c r="F210" i="15"/>
  <c r="G210" i="15"/>
  <c r="H210" i="15"/>
  <c r="C266" i="15"/>
  <c r="D266" i="15"/>
  <c r="E266" i="15"/>
  <c r="F266" i="15"/>
  <c r="C311" i="15"/>
  <c r="D311" i="15"/>
  <c r="E311" i="15"/>
  <c r="F311" i="15"/>
  <c r="G311" i="15"/>
  <c r="C315" i="15"/>
  <c r="D315" i="15"/>
  <c r="E315" i="15"/>
  <c r="F315" i="15"/>
  <c r="G315" i="15"/>
  <c r="C317" i="15"/>
  <c r="D317" i="15"/>
  <c r="E317" i="15"/>
  <c r="F317" i="15"/>
  <c r="G317" i="15"/>
  <c r="C319" i="15"/>
  <c r="D319" i="15"/>
  <c r="E319" i="15"/>
  <c r="F319" i="15"/>
  <c r="G319" i="15"/>
  <c r="H319" i="15"/>
  <c r="G320" i="15"/>
  <c r="C321" i="15"/>
  <c r="D321" i="15"/>
  <c r="E321" i="15"/>
  <c r="F321" i="15"/>
  <c r="G321" i="15"/>
  <c r="B323" i="15"/>
  <c r="B325" i="15"/>
  <c r="B326" i="15"/>
  <c r="B328" i="15"/>
  <c r="B329" i="15"/>
</calcChain>
</file>

<file path=xl/sharedStrings.xml><?xml version="1.0" encoding="utf-8"?>
<sst xmlns="http://schemas.openxmlformats.org/spreadsheetml/2006/main" count="332" uniqueCount="254">
  <si>
    <t>VENTAS</t>
  </si>
  <si>
    <t>CMV/VENTAS</t>
  </si>
  <si>
    <t>TASA DE IMPUESTOS</t>
  </si>
  <si>
    <t>DIVIDENDOS</t>
  </si>
  <si>
    <t>P&amp;G</t>
  </si>
  <si>
    <t>CMV</t>
  </si>
  <si>
    <t>UTILIDAD A.Imp.</t>
  </si>
  <si>
    <t>IMPUESTOS</t>
  </si>
  <si>
    <t>UTILIDAD NETA</t>
  </si>
  <si>
    <t>BALANCE</t>
  </si>
  <si>
    <t>ACTIVOS TOTALES</t>
  </si>
  <si>
    <t>PATRIMONIO</t>
  </si>
  <si>
    <t>PASIVOS Y PATRIMONIO</t>
  </si>
  <si>
    <t>GASTO INTERES (INGR) S/PAS.FIN.INI.</t>
  </si>
  <si>
    <t>UTILIDAD BRUTA</t>
  </si>
  <si>
    <t>UTILIDAD OPERACIONAL</t>
  </si>
  <si>
    <t>INTERESES S/PAS.FIN.EXISTENTES</t>
  </si>
  <si>
    <t>TASA DE INTERES ACTIVA</t>
  </si>
  <si>
    <t>DATOS ($ooo)</t>
  </si>
  <si>
    <t>CRECIMIENTO EN VENTAS</t>
  </si>
  <si>
    <t>CRECIMIENTO VALOR DE CONTINUIDAD (g)</t>
  </si>
  <si>
    <t>G.ADMINISTRACIÓN/VENTAS</t>
  </si>
  <si>
    <t>G.VENTAS/VENTAS</t>
  </si>
  <si>
    <t>G.LOGÍSTICA/VENTAS</t>
  </si>
  <si>
    <t>TASA DE INTERÉS PASIVA/ACTIVA</t>
  </si>
  <si>
    <t>CAJA/VENTAS</t>
  </si>
  <si>
    <t>INVENTARIOS/VENTAS</t>
  </si>
  <si>
    <t>CXC/VENTAS</t>
  </si>
  <si>
    <t>OTROS ACTIVOS CORRIENTES/VENTAS</t>
  </si>
  <si>
    <t>ACTIVOS FIJOS NETOS</t>
  </si>
  <si>
    <t>OTROS ACTIVOS LPL</t>
  </si>
  <si>
    <t>PROVEEDORES/VENTAS</t>
  </si>
  <si>
    <t>CXP/VENTAS</t>
  </si>
  <si>
    <t>IMPUESTOS POR PAGAR/VENTAS</t>
  </si>
  <si>
    <t>DEUDAS LABORALES POR PAGAR/VENTAS</t>
  </si>
  <si>
    <t>ACREEDORES VARIOS/VENTAS</t>
  </si>
  <si>
    <t>PASIVOS FINANCIEROS LPL INICIALES</t>
  </si>
  <si>
    <t>OTROS PASIVOS LPL</t>
  </si>
  <si>
    <t>DEPRECIACIÓN ACUMULADA/ACTIVOS FIJOS BRUTOS</t>
  </si>
  <si>
    <t>CCPP (WACC)</t>
  </si>
  <si>
    <t>ACT.TOT. SIN EXCESO DE EFECTIVO</t>
  </si>
  <si>
    <t>PAS+PAT SIN PAS.FIN.REQ.</t>
  </si>
  <si>
    <t>FER (FEN, PLUG, Variable Ajuste)</t>
  </si>
  <si>
    <t>G.ADMINISTRACIÓN</t>
  </si>
  <si>
    <t>G.VENTAS</t>
  </si>
  <si>
    <t>G.LOGÍSTICA</t>
  </si>
  <si>
    <t>GASTO INTERES (INGR) S/PAS.FIN.REQ.</t>
  </si>
  <si>
    <t>GANANCIAS RETENIDAS</t>
  </si>
  <si>
    <t>CAJA</t>
  </si>
  <si>
    <t>INVENTARIOS</t>
  </si>
  <si>
    <t>CUENTAS POR COBRAR</t>
  </si>
  <si>
    <t>OTROS ACTIVOS CORRIENTES</t>
  </si>
  <si>
    <t>ACTIVOS FIJOS NETO</t>
  </si>
  <si>
    <t>PASIVOS FINANCIEROS REQUERIDOS</t>
  </si>
  <si>
    <t>PROVEEDORES</t>
  </si>
  <si>
    <t>CUENTAS POR PAGAR</t>
  </si>
  <si>
    <t>IMPUESTOS POR PAGAR</t>
  </si>
  <si>
    <t>DEUDAS LABORALES</t>
  </si>
  <si>
    <t>ACREEDORES VARIOS</t>
  </si>
  <si>
    <t>ACTIVOS FIJOS BRUTO</t>
  </si>
  <si>
    <t>DEPRECIACIÓN ACUMULADA</t>
  </si>
  <si>
    <t>EXCESO DE CAJA</t>
  </si>
  <si>
    <t>IRO</t>
  </si>
  <si>
    <t>UODI</t>
  </si>
  <si>
    <t>FCB</t>
  </si>
  <si>
    <t>KTNO</t>
  </si>
  <si>
    <t>DILPL</t>
  </si>
  <si>
    <t>ILPL</t>
  </si>
  <si>
    <t>COE</t>
  </si>
  <si>
    <t>FCLO</t>
  </si>
  <si>
    <t>FCD</t>
  </si>
  <si>
    <t>FCDA</t>
  </si>
  <si>
    <t>FCL-NOP</t>
  </si>
  <si>
    <t>FCFF</t>
  </si>
  <si>
    <t>FCA</t>
  </si>
  <si>
    <t>chk</t>
  </si>
  <si>
    <t>INOPdi</t>
  </si>
  <si>
    <t>CNOE</t>
  </si>
  <si>
    <t>VARIACIÓN DE CAJA</t>
  </si>
  <si>
    <t>INFLACION DE LARGO PLAZO - f -</t>
  </si>
  <si>
    <t>ESTADO DE RESULTADOS PROYECTADO</t>
  </si>
  <si>
    <t>ESTADO DE SITUACIÓN FINANCIERA PROYECTADO</t>
  </si>
  <si>
    <t xml:space="preserve">FLUJO DE CAJA LIBRE (FCL) PROYECTADO </t>
  </si>
  <si>
    <t>SUPUESTOS</t>
  </si>
  <si>
    <t>VALORACIÓN</t>
  </si>
  <si>
    <t>Tasa de crecimiento a perpetuidad (g)</t>
  </si>
  <si>
    <t>Costo de capital promedio ponderado (wacc)</t>
  </si>
  <si>
    <t>PERPETUIDAD</t>
  </si>
  <si>
    <t xml:space="preserve"> + VALOR OPERACIONAL</t>
  </si>
  <si>
    <t xml:space="preserve"> + VALOR NO OPERACIONAL</t>
  </si>
  <si>
    <t xml:space="preserve"> = VALOR DE LA EMPRESA</t>
  </si>
  <si>
    <t xml:space="preserve"> + CAJA</t>
  </si>
  <si>
    <t xml:space="preserve"> - PASIVOS FINANCIEROS</t>
  </si>
  <si>
    <t xml:space="preserve"> = VALOR PATRIMONIAL</t>
  </si>
  <si>
    <t>MÉTODO DEL FLUJO DE CAJA DESCONTADO</t>
  </si>
  <si>
    <t>g</t>
  </si>
  <si>
    <t>WACC</t>
  </si>
  <si>
    <t>ROLLING NPV</t>
  </si>
  <si>
    <t>ROLLING NON OPERATING NPV</t>
  </si>
  <si>
    <t>MÉTODO DE LOS MÚLTIPLOS</t>
  </si>
  <si>
    <t>Industria: Household Products</t>
  </si>
  <si>
    <t>Enterprice Value (EV) Múltiplos</t>
  </si>
  <si>
    <t>EV/EBITDA</t>
  </si>
  <si>
    <t>EV/EBIT</t>
  </si>
  <si>
    <t>EV/IC</t>
  </si>
  <si>
    <t>USA</t>
  </si>
  <si>
    <t>EUROPA</t>
  </si>
  <si>
    <t>PROMEDIO</t>
  </si>
  <si>
    <t>NOPLAT</t>
  </si>
  <si>
    <t>EV/NOPLAT</t>
  </si>
  <si>
    <t>EV/SALES</t>
  </si>
  <si>
    <t>SALES</t>
  </si>
  <si>
    <t>Costos No Recurrentes</t>
  </si>
  <si>
    <t>EBITDA ajustado</t>
  </si>
  <si>
    <t>EBIT ajustado</t>
  </si>
  <si>
    <t>PROMEDIO MUESTRA</t>
  </si>
  <si>
    <t>MÉTODO DEL EVA</t>
  </si>
  <si>
    <t>COEi</t>
  </si>
  <si>
    <t>COEf</t>
  </si>
  <si>
    <t>Rentabilidad del COEi</t>
  </si>
  <si>
    <t>Costo de Capital</t>
  </si>
  <si>
    <t>Diferencia</t>
  </si>
  <si>
    <t>CNOEi</t>
  </si>
  <si>
    <t>CNOEf</t>
  </si>
  <si>
    <t>Rentabilidad del CNOEi</t>
  </si>
  <si>
    <t>VALOR NO OPERACIONAL</t>
  </si>
  <si>
    <t>VALOR DE LA EMPRESA</t>
  </si>
  <si>
    <t xml:space="preserve"> + COEi</t>
  </si>
  <si>
    <t xml:space="preserve"> = VALOR OPERACIONAL</t>
  </si>
  <si>
    <t xml:space="preserve"> + CNOEi</t>
  </si>
  <si>
    <t xml:space="preserve"> + Valor Presente del EVA Operativo</t>
  </si>
  <si>
    <t>FCLO horizonte explícito</t>
  </si>
  <si>
    <t xml:space="preserve">FCLO </t>
  </si>
  <si>
    <t>FCL-NOP horizonte explícito</t>
  </si>
  <si>
    <t>FCLO perpetuidad</t>
  </si>
  <si>
    <t>FCL-NOP perpetuidad</t>
  </si>
  <si>
    <t xml:space="preserve">FCL-NOP </t>
  </si>
  <si>
    <t>EVA Operativo horizonte eplícito</t>
  </si>
  <si>
    <t>EVA Operativo perpetuidad</t>
  </si>
  <si>
    <t>EVA Operativo</t>
  </si>
  <si>
    <t>EVA No Operativo horizonte eplícito</t>
  </si>
  <si>
    <t>EVA No Operativo perpetuidad</t>
  </si>
  <si>
    <t>EVA No Operativo</t>
  </si>
  <si>
    <t xml:space="preserve"> + Valor Presente del EVA No Operativo</t>
  </si>
  <si>
    <t xml:space="preserve">ROLLING OPERATING NPV  </t>
  </si>
  <si>
    <t>ANÁLISIS DE SENSIBILIDAD:</t>
  </si>
  <si>
    <t>VALOR CON FUNCIÓN XNPV DE EXCEL:</t>
  </si>
  <si>
    <t>SUPUESTOS Y VALORACIÓN:</t>
  </si>
  <si>
    <t>lo (bar)</t>
  </si>
  <si>
    <t>lo  (label)</t>
  </si>
  <si>
    <t>hi (bar)</t>
  </si>
  <si>
    <t>hi (label)</t>
  </si>
  <si>
    <t>EV Industria</t>
  </si>
  <si>
    <t>EV Muestra</t>
  </si>
  <si>
    <t>FCL Sensibilidad</t>
  </si>
  <si>
    <t>FCL Caso Base</t>
  </si>
  <si>
    <t>RESUMEN DE LA VALORACIÓN</t>
  </si>
  <si>
    <t xml:space="preserve">Sensibilidad g - wacc </t>
  </si>
  <si>
    <t>OTROS INGRESOS/VENTAS</t>
  </si>
  <si>
    <t>OTROS EGRESOS/VENTAS</t>
  </si>
  <si>
    <r>
      <t xml:space="preserve">ACTIVO </t>
    </r>
    <r>
      <rPr>
        <b/>
        <i/>
        <sz val="12"/>
        <rFont val="Verdana"/>
        <family val="2"/>
      </rPr>
      <t>CORRIENTE</t>
    </r>
    <r>
      <rPr>
        <b/>
        <sz val="12"/>
        <rFont val="Verdana"/>
        <family val="2"/>
      </rPr>
      <t xml:space="preserve"> </t>
    </r>
    <r>
      <rPr>
        <b/>
        <sz val="12"/>
        <color rgb="FF0000FF"/>
        <rFont val="Verdana"/>
        <family val="2"/>
      </rPr>
      <t>OPERATIVO</t>
    </r>
    <r>
      <rPr>
        <sz val="12"/>
        <rFont val="Verdana"/>
        <family val="2"/>
      </rPr>
      <t>/VENTAS</t>
    </r>
  </si>
  <si>
    <r>
      <t xml:space="preserve">ACTIVO </t>
    </r>
    <r>
      <rPr>
        <b/>
        <i/>
        <sz val="12"/>
        <rFont val="Verdana"/>
        <family val="2"/>
      </rPr>
      <t xml:space="preserve">CORRIENTE </t>
    </r>
    <r>
      <rPr>
        <b/>
        <sz val="12"/>
        <color rgb="FFFF0000"/>
        <rFont val="Verdana"/>
        <family val="2"/>
      </rPr>
      <t>NO OPERATIVO</t>
    </r>
    <r>
      <rPr>
        <sz val="12"/>
        <rFont val="Verdana"/>
        <family val="2"/>
      </rPr>
      <t>/VENTAS</t>
    </r>
  </si>
  <si>
    <r>
      <t xml:space="preserve">ACTIVO DE </t>
    </r>
    <r>
      <rPr>
        <b/>
        <i/>
        <sz val="12"/>
        <rFont val="Verdana"/>
        <family val="2"/>
      </rPr>
      <t>LPL</t>
    </r>
    <r>
      <rPr>
        <sz val="12"/>
        <rFont val="Verdana"/>
        <family val="2"/>
      </rPr>
      <t xml:space="preserve"> </t>
    </r>
    <r>
      <rPr>
        <b/>
        <sz val="12"/>
        <color rgb="FF0000FF"/>
        <rFont val="Verdana"/>
        <family val="2"/>
      </rPr>
      <t>OPERATIVO</t>
    </r>
  </si>
  <si>
    <r>
      <t xml:space="preserve">ACTIVO DE </t>
    </r>
    <r>
      <rPr>
        <b/>
        <i/>
        <sz val="12"/>
        <rFont val="Verdana"/>
        <family val="2"/>
      </rPr>
      <t>LPL</t>
    </r>
    <r>
      <rPr>
        <sz val="12"/>
        <rFont val="Verdana"/>
        <family val="2"/>
      </rPr>
      <t xml:space="preserve"> </t>
    </r>
    <r>
      <rPr>
        <b/>
        <sz val="12"/>
        <color rgb="FFFF0000"/>
        <rFont val="Verdana"/>
        <family val="2"/>
      </rPr>
      <t xml:space="preserve">NO OPERATIVO </t>
    </r>
  </si>
  <si>
    <r>
      <t xml:space="preserve">PASIVO </t>
    </r>
    <r>
      <rPr>
        <b/>
        <i/>
        <sz val="12"/>
        <rFont val="Verdana"/>
        <family val="2"/>
      </rPr>
      <t>CORRIENTE</t>
    </r>
    <r>
      <rPr>
        <b/>
        <sz val="12"/>
        <rFont val="Verdana"/>
        <family val="2"/>
      </rPr>
      <t xml:space="preserve"> </t>
    </r>
    <r>
      <rPr>
        <b/>
        <sz val="12"/>
        <color rgb="FF0000FF"/>
        <rFont val="Verdana"/>
        <family val="2"/>
      </rPr>
      <t>OPERATIVO</t>
    </r>
    <r>
      <rPr>
        <sz val="12"/>
        <rFont val="Verdana"/>
        <family val="2"/>
      </rPr>
      <t>/VENTAS</t>
    </r>
  </si>
  <si>
    <r>
      <t xml:space="preserve">PASIVO </t>
    </r>
    <r>
      <rPr>
        <b/>
        <i/>
        <sz val="12"/>
        <rFont val="Verdana"/>
        <family val="2"/>
      </rPr>
      <t>CORRIENTE</t>
    </r>
    <r>
      <rPr>
        <sz val="12"/>
        <rFont val="Verdana"/>
        <family val="2"/>
      </rPr>
      <t xml:space="preserve"> </t>
    </r>
    <r>
      <rPr>
        <b/>
        <sz val="12"/>
        <color rgb="FFFF0000"/>
        <rFont val="Verdana"/>
        <family val="2"/>
      </rPr>
      <t>NO OPERATIVO</t>
    </r>
    <r>
      <rPr>
        <sz val="12"/>
        <rFont val="Verdana"/>
        <family val="2"/>
      </rPr>
      <t>/VENTAS</t>
    </r>
  </si>
  <si>
    <r>
      <t xml:space="preserve">PASIVO DE </t>
    </r>
    <r>
      <rPr>
        <b/>
        <i/>
        <sz val="12"/>
        <color theme="1"/>
        <rFont val="Verdana"/>
        <family val="2"/>
      </rPr>
      <t>LPL</t>
    </r>
    <r>
      <rPr>
        <sz val="12"/>
        <color theme="1"/>
        <rFont val="Verdana"/>
        <family val="2"/>
      </rPr>
      <t xml:space="preserve"> </t>
    </r>
    <r>
      <rPr>
        <b/>
        <sz val="12"/>
        <color rgb="FF0000FF"/>
        <rFont val="Verdana"/>
        <family val="2"/>
      </rPr>
      <t xml:space="preserve">OPERATIVO </t>
    </r>
  </si>
  <si>
    <r>
      <t xml:space="preserve">PASIVO DE </t>
    </r>
    <r>
      <rPr>
        <b/>
        <i/>
        <sz val="12"/>
        <color theme="1"/>
        <rFont val="Verdana"/>
        <family val="2"/>
      </rPr>
      <t>LPL</t>
    </r>
    <r>
      <rPr>
        <sz val="12"/>
        <color theme="1"/>
        <rFont val="Verdana"/>
        <family val="2"/>
      </rPr>
      <t xml:space="preserve"> </t>
    </r>
    <r>
      <rPr>
        <b/>
        <sz val="12"/>
        <color rgb="FFFF0000"/>
        <rFont val="Verdana"/>
        <family val="2"/>
      </rPr>
      <t xml:space="preserve">NO OPERATIVO </t>
    </r>
  </si>
  <si>
    <t>OTROS INGRESOS</t>
  </si>
  <si>
    <t>OTROS EGRESOS</t>
  </si>
  <si>
    <r>
      <t xml:space="preserve">ACTIVO </t>
    </r>
    <r>
      <rPr>
        <b/>
        <i/>
        <sz val="12"/>
        <rFont val="Verdana"/>
        <family val="2"/>
      </rPr>
      <t>CORRIENTE</t>
    </r>
    <r>
      <rPr>
        <b/>
        <sz val="12"/>
        <rFont val="Verdana"/>
        <family val="2"/>
      </rPr>
      <t xml:space="preserve"> </t>
    </r>
    <r>
      <rPr>
        <b/>
        <sz val="12"/>
        <color rgb="FF0000FF"/>
        <rFont val="Verdana"/>
        <family val="2"/>
      </rPr>
      <t>OPERATIVO</t>
    </r>
  </si>
  <si>
    <r>
      <t xml:space="preserve">ACTIVO </t>
    </r>
    <r>
      <rPr>
        <b/>
        <i/>
        <sz val="12"/>
        <rFont val="Verdana"/>
        <family val="2"/>
      </rPr>
      <t xml:space="preserve">CORRIENTE </t>
    </r>
    <r>
      <rPr>
        <b/>
        <sz val="12"/>
        <color rgb="FFFF0000"/>
        <rFont val="Verdana"/>
        <family val="2"/>
      </rPr>
      <t xml:space="preserve">NO OPERATIVO </t>
    </r>
  </si>
  <si>
    <r>
      <t xml:space="preserve">ACTIVO DE </t>
    </r>
    <r>
      <rPr>
        <b/>
        <i/>
        <sz val="12"/>
        <rFont val="Verdana"/>
        <family val="2"/>
      </rPr>
      <t>LPL</t>
    </r>
    <r>
      <rPr>
        <sz val="12"/>
        <rFont val="Verdana"/>
        <family val="2"/>
      </rPr>
      <t xml:space="preserve"> </t>
    </r>
    <r>
      <rPr>
        <b/>
        <sz val="12"/>
        <color rgb="FF0000FF"/>
        <rFont val="Verdana"/>
        <family val="2"/>
      </rPr>
      <t xml:space="preserve">OPERATIVO </t>
    </r>
  </si>
  <si>
    <r>
      <t xml:space="preserve">ACTIVO DE </t>
    </r>
    <r>
      <rPr>
        <b/>
        <i/>
        <sz val="12"/>
        <rFont val="Verdana"/>
        <family val="2"/>
      </rPr>
      <t>LPL</t>
    </r>
    <r>
      <rPr>
        <sz val="12"/>
        <rFont val="Verdana"/>
        <family val="2"/>
      </rPr>
      <t xml:space="preserve"> </t>
    </r>
    <r>
      <rPr>
        <b/>
        <sz val="12"/>
        <color rgb="FFFF0000"/>
        <rFont val="Verdana"/>
        <family val="2"/>
      </rPr>
      <t>NO OPERATIVO</t>
    </r>
  </si>
  <si>
    <r>
      <t xml:space="preserve">PASIVO </t>
    </r>
    <r>
      <rPr>
        <b/>
        <i/>
        <sz val="12"/>
        <rFont val="Verdana"/>
        <family val="2"/>
      </rPr>
      <t>CORRIENTE</t>
    </r>
    <r>
      <rPr>
        <b/>
        <sz val="12"/>
        <rFont val="Verdana"/>
        <family val="2"/>
      </rPr>
      <t xml:space="preserve"> </t>
    </r>
    <r>
      <rPr>
        <b/>
        <sz val="12"/>
        <color rgb="FF0000FF"/>
        <rFont val="Verdana"/>
        <family val="2"/>
      </rPr>
      <t xml:space="preserve">OPERATIVO </t>
    </r>
  </si>
  <si>
    <r>
      <t xml:space="preserve">PASIVO </t>
    </r>
    <r>
      <rPr>
        <b/>
        <i/>
        <sz val="12"/>
        <rFont val="Verdana"/>
        <family val="2"/>
      </rPr>
      <t>CORRIENTE</t>
    </r>
    <r>
      <rPr>
        <sz val="12"/>
        <rFont val="Verdana"/>
        <family val="2"/>
      </rPr>
      <t xml:space="preserve"> </t>
    </r>
    <r>
      <rPr>
        <b/>
        <sz val="12"/>
        <color rgb="FFFF0000"/>
        <rFont val="Verdana"/>
        <family val="2"/>
      </rPr>
      <t>NO OPERATIVO</t>
    </r>
  </si>
  <si>
    <t>L´Oreal</t>
  </si>
  <si>
    <t>L´Occitane</t>
  </si>
  <si>
    <t>Beiersdorf</t>
  </si>
  <si>
    <t>Depreciación 2022</t>
  </si>
  <si>
    <t>The Estée Lauder</t>
  </si>
  <si>
    <t>Coty Inc.</t>
  </si>
  <si>
    <t xml:space="preserve">IC </t>
  </si>
  <si>
    <t xml:space="preserve">Fuente: Yahoo Finance, Reuters, Seeking Alfpha </t>
  </si>
  <si>
    <t>ACTIVO CORRIENTE OPERATIVO</t>
  </si>
  <si>
    <t xml:space="preserve">PASIVO CORRIENTE OPERATIVO </t>
  </si>
  <si>
    <t xml:space="preserve">ACTIVO DE LPL OPERATIVO </t>
  </si>
  <si>
    <t xml:space="preserve">PASIVO DE LPL OPERATIVO </t>
  </si>
  <si>
    <t>GASTO INTERES (INGR) S/PAS.FIN.REQ.di</t>
  </si>
  <si>
    <t xml:space="preserve">ACTIVO CORRIENTE NO OPERATIVO </t>
  </si>
  <si>
    <t>PASIVO CORRIENTE NO OPERATIVO</t>
  </si>
  <si>
    <t>ACTIVO DE LPL NO OPERATIVO</t>
  </si>
  <si>
    <t xml:space="preserve">PASIVO DE LPL NO OPERATIVO </t>
  </si>
  <si>
    <t>GASTO INTERES (INGR) S/PAS.FIN.INI.di</t>
  </si>
  <si>
    <t>Fuente: Damodaran on line (datos 2022)</t>
  </si>
  <si>
    <t>ESCENARIO1: CASO BASE</t>
  </si>
  <si>
    <t>DATOS</t>
  </si>
  <si>
    <t>ESCENARIO 2: GUERRA DE ARANCELES USA-CHINA O BREXIT CON PIB MENOR</t>
  </si>
  <si>
    <t>ESCENARIO 3: GUERRA DE ARANCELES USA-CHINA Y BREXIT CON PIB MENOR</t>
  </si>
  <si>
    <t>NOMBRE DEL ESCENARIO</t>
  </si>
  <si>
    <t>N°</t>
  </si>
  <si>
    <t>CASO BASE</t>
  </si>
  <si>
    <t>GUERRA DE ARANCELES USA-CHINA</t>
  </si>
  <si>
    <t>GUERRA DE ARANCELES USA-CHINA Y BREXIT SIN NEGOCIACIÓN</t>
  </si>
  <si>
    <t>ESCENARIO ACTIVO</t>
  </si>
  <si>
    <t>NÚMERO</t>
  </si>
  <si>
    <t>EV</t>
  </si>
  <si>
    <t>Margen EBITDA</t>
  </si>
  <si>
    <t>RSP</t>
  </si>
  <si>
    <t>UODI/INOPdi</t>
  </si>
  <si>
    <t>ROIC</t>
  </si>
  <si>
    <t>D/(E+D)</t>
  </si>
  <si>
    <t>E/(E+D)</t>
  </si>
  <si>
    <t>Libre Riesgo</t>
  </si>
  <si>
    <t>Prima de Riesgo</t>
  </si>
  <si>
    <t>Beta</t>
  </si>
  <si>
    <t>Riesgo País</t>
  </si>
  <si>
    <t>Ke</t>
  </si>
  <si>
    <t>Kd</t>
  </si>
  <si>
    <t>Ventas</t>
  </si>
  <si>
    <t>EVA NO Operativo</t>
  </si>
  <si>
    <t>EVA TOTAL</t>
  </si>
  <si>
    <t>Margen EVA</t>
  </si>
  <si>
    <t>Crecimiento en Ventas</t>
  </si>
  <si>
    <t>EVA Momentum</t>
  </si>
  <si>
    <t>Crecimiento Rentable</t>
  </si>
  <si>
    <t>Ganancia en Productividad</t>
  </si>
  <si>
    <t>Tasa de Crecimiento Sostenible</t>
  </si>
  <si>
    <t>b</t>
  </si>
  <si>
    <t>ROE</t>
  </si>
  <si>
    <t>Utilización de los activos fijos</t>
  </si>
  <si>
    <t>Variable de ajuste del modelo de planeación financiera???? (Plug)</t>
  </si>
  <si>
    <t>EBITDAC</t>
  </si>
  <si>
    <t>Rentabilidad sobre el PATRIMONIO</t>
  </si>
  <si>
    <t>Tasa de crecimiento sostenible de la EMPRESA</t>
  </si>
  <si>
    <t>EVA operativo, no operativo y total</t>
  </si>
  <si>
    <t>EVA momentum (discriminado en ganancia en productividad y crecimiento rentable)</t>
  </si>
  <si>
    <t>UODI / INOPdi</t>
  </si>
  <si>
    <t>Ventas de equilibrio (podríamos sacarle una gráfica como en clase)</t>
  </si>
  <si>
    <t>Capital empleado fijo y Variable</t>
  </si>
  <si>
    <t>Utilidad mínima requerida</t>
  </si>
  <si>
    <t>Puntos de equilibrio operativo y económico</t>
  </si>
  <si>
    <t>Margenes de seguridad operativo y económico</t>
  </si>
  <si>
    <t>PE-EBITDA=CF-D&amp;A/indice de contribución</t>
  </si>
  <si>
    <t>Poner explícita la estructura de Capital</t>
  </si>
  <si>
    <t>Ke y Kd</t>
  </si>
  <si>
    <t>Múltiplos de salida (EV/EBITDA....)</t>
  </si>
  <si>
    <t>2023P</t>
  </si>
  <si>
    <t>Var</t>
  </si>
  <si>
    <t>Participación</t>
  </si>
  <si>
    <t>Razón de Intensidad del Capital</t>
  </si>
  <si>
    <t>Tasa de Crecimiento Interno</t>
  </si>
  <si>
    <t>ROA</t>
  </si>
  <si>
    <t>Estructura de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</si>
</sst>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&quot;$&quot;\ * #,##0.00_);_(&quot;$&quot;\ * \(#,##0.00\);_(&quot;$&quot;\ * &quot;-&quot;??_);_(@_)"/>
    <numFmt numFmtId="168" formatCode="_(* #,##0.0000_);_(* \(#,##0.0000\);_(* &quot;-&quot;??_);_(@_)"/>
    <numFmt numFmtId="169" formatCode="0\P"/>
    <numFmt numFmtId="170" formatCode="0.0%"/>
    <numFmt numFmtId="171" formatCode="dd/mm/yyyy;@"/>
    <numFmt numFmtId="172" formatCode="_-* #,##0_-;\-* #,##0_-;_-* &quot;-&quot;??_-;_-@_-"/>
    <numFmt numFmtId="173" formatCode="_-* #,##0_-;\-* #,##0_-;_-* &quot;-&quot;?_-;_-@_-"/>
    <numFmt numFmtId="174" formatCode="0.0\x"/>
    <numFmt numFmtId="176" formatCode="_-&quot;$&quot;\ * #,##0_-;\-&quot;$&quot;\ * #,##0_-;_-&quot;$&quot;\ * &quot;-&quot;??_-;_-@_-"/>
  </numFmts>
  <fonts count="27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rgb="FFFF0000"/>
      <name val="Verdana"/>
      <family val="2"/>
    </font>
    <font>
      <b/>
      <u/>
      <sz val="12"/>
      <color theme="1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sz val="12"/>
      <color rgb="FF0000FF"/>
      <name val="Verdana"/>
      <family val="2"/>
    </font>
    <font>
      <b/>
      <sz val="12"/>
      <color rgb="FFFF0000"/>
      <name val="Verdana"/>
      <family val="2"/>
    </font>
    <font>
      <b/>
      <u/>
      <sz val="12"/>
      <color rgb="FF0000FF"/>
      <name val="Verdana"/>
      <family val="2"/>
    </font>
    <font>
      <b/>
      <u/>
      <sz val="12"/>
      <name val="Verdana"/>
      <family val="2"/>
    </font>
    <font>
      <i/>
      <sz val="12"/>
      <color theme="1"/>
      <name val="Verdana"/>
      <family val="2"/>
    </font>
    <font>
      <i/>
      <sz val="12"/>
      <name val="Verdana"/>
      <family val="2"/>
    </font>
    <font>
      <b/>
      <sz val="12"/>
      <color theme="0"/>
      <name val="Verdana"/>
      <family val="2"/>
    </font>
    <font>
      <u/>
      <sz val="12"/>
      <color theme="1"/>
      <name val="Verdana"/>
      <family val="2"/>
    </font>
    <font>
      <b/>
      <sz val="12"/>
      <color rgb="FF0000FF"/>
      <name val="Verdana"/>
      <family val="2"/>
    </font>
    <font>
      <sz val="12"/>
      <color theme="0"/>
      <name val="Verdana"/>
      <family val="2"/>
    </font>
    <font>
      <b/>
      <i/>
      <sz val="12"/>
      <color theme="1"/>
      <name val="Verdana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00B050"/>
      <name val="Arial Narrow"/>
      <family val="2"/>
    </font>
    <font>
      <b/>
      <i/>
      <sz val="12"/>
      <name val="Verdana"/>
      <family val="2"/>
    </font>
    <font>
      <sz val="12"/>
      <color rgb="FF00B05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ashed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165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</cellStyleXfs>
  <cellXfs count="160">
    <xf numFmtId="0" fontId="0" fillId="0" borderId="0" xfId="0"/>
    <xf numFmtId="166" fontId="0" fillId="0" borderId="0" xfId="1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 applyProtection="1">
      <protection locked="0"/>
    </xf>
    <xf numFmtId="0" fontId="10" fillId="0" borderId="1" xfId="0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10" fillId="0" borderId="2" xfId="0" applyFont="1" applyBorder="1" applyProtection="1">
      <protection locked="0"/>
    </xf>
    <xf numFmtId="0" fontId="5" fillId="0" borderId="0" xfId="0" applyFont="1"/>
    <xf numFmtId="0" fontId="0" fillId="0" borderId="2" xfId="0" applyBorder="1"/>
    <xf numFmtId="166" fontId="6" fillId="0" borderId="1" xfId="1" applyNumberFormat="1" applyFont="1" applyBorder="1"/>
    <xf numFmtId="166" fontId="0" fillId="0" borderId="1" xfId="1" applyNumberFormat="1" applyFont="1" applyBorder="1"/>
    <xf numFmtId="166" fontId="6" fillId="0" borderId="2" xfId="1" applyNumberFormat="1" applyFont="1" applyBorder="1"/>
    <xf numFmtId="166" fontId="0" fillId="0" borderId="0" xfId="0" applyNumberFormat="1"/>
    <xf numFmtId="0" fontId="0" fillId="0" borderId="1" xfId="0" applyBorder="1"/>
    <xf numFmtId="166" fontId="0" fillId="0" borderId="1" xfId="0" applyNumberFormat="1" applyBorder="1"/>
    <xf numFmtId="166" fontId="0" fillId="0" borderId="2" xfId="0" applyNumberFormat="1" applyBorder="1"/>
    <xf numFmtId="41" fontId="9" fillId="0" borderId="0" xfId="2" applyFont="1"/>
    <xf numFmtId="9" fontId="11" fillId="0" borderId="0" xfId="0" applyNumberFormat="1" applyFont="1"/>
    <xf numFmtId="41" fontId="11" fillId="0" borderId="0" xfId="2" applyFont="1"/>
    <xf numFmtId="0" fontId="6" fillId="0" borderId="1" xfId="0" applyFont="1" applyBorder="1"/>
    <xf numFmtId="166" fontId="6" fillId="0" borderId="1" xfId="0" applyNumberFormat="1" applyFont="1" applyBorder="1"/>
    <xf numFmtId="166" fontId="5" fillId="0" borderId="0" xfId="1" applyNumberFormat="1"/>
    <xf numFmtId="166" fontId="0" fillId="0" borderId="3" xfId="0" applyNumberFormat="1" applyBorder="1"/>
    <xf numFmtId="0" fontId="0" fillId="0" borderId="3" xfId="0" applyBorder="1"/>
    <xf numFmtId="166" fontId="11" fillId="0" borderId="0" xfId="1" applyNumberFormat="1" applyFont="1"/>
    <xf numFmtId="166" fontId="11" fillId="0" borderId="1" xfId="1" applyNumberFormat="1" applyFont="1" applyBorder="1"/>
    <xf numFmtId="166" fontId="11" fillId="0" borderId="0" xfId="0" applyNumberFormat="1" applyFont="1"/>
    <xf numFmtId="0" fontId="14" fillId="0" borderId="0" xfId="0" applyFont="1" applyAlignment="1">
      <alignment horizontal="center"/>
    </xf>
    <xf numFmtId="9" fontId="0" fillId="0" borderId="0" xfId="8" applyFont="1"/>
    <xf numFmtId="166" fontId="0" fillId="4" borderId="0" xfId="0" applyNumberFormat="1" applyFill="1"/>
    <xf numFmtId="166" fontId="6" fillId="4" borderId="1" xfId="0" applyNumberFormat="1" applyFont="1" applyFill="1" applyBorder="1"/>
    <xf numFmtId="0" fontId="0" fillId="4" borderId="0" xfId="0" applyFill="1"/>
    <xf numFmtId="166" fontId="0" fillId="4" borderId="1" xfId="0" applyNumberFormat="1" applyFill="1" applyBorder="1"/>
    <xf numFmtId="166" fontId="0" fillId="5" borderId="0" xfId="0" applyNumberFormat="1" applyFill="1"/>
    <xf numFmtId="0" fontId="15" fillId="0" borderId="0" xfId="0" applyFont="1"/>
    <xf numFmtId="168" fontId="15" fillId="0" borderId="0" xfId="0" applyNumberFormat="1" applyFont="1"/>
    <xf numFmtId="0" fontId="12" fillId="0" borderId="0" xfId="0" applyFont="1"/>
    <xf numFmtId="0" fontId="6" fillId="0" borderId="0" xfId="0" applyFont="1"/>
    <xf numFmtId="0" fontId="17" fillId="6" borderId="0" xfId="0" applyFont="1" applyFill="1"/>
    <xf numFmtId="169" fontId="13" fillId="0" borderId="0" xfId="0" applyNumberFormat="1" applyFont="1" applyAlignment="1">
      <alignment horizontal="center"/>
    </xf>
    <xf numFmtId="169" fontId="14" fillId="0" borderId="0" xfId="0" applyNumberFormat="1" applyFont="1" applyAlignment="1">
      <alignment horizontal="center"/>
    </xf>
    <xf numFmtId="170" fontId="0" fillId="0" borderId="0" xfId="0" applyNumberFormat="1"/>
    <xf numFmtId="171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/>
    </xf>
    <xf numFmtId="0" fontId="11" fillId="0" borderId="0" xfId="0" applyFont="1"/>
    <xf numFmtId="14" fontId="0" fillId="0" borderId="0" xfId="0" applyNumberFormat="1" applyAlignment="1">
      <alignment horizontal="center" vertical="center" wrapText="1"/>
    </xf>
    <xf numFmtId="166" fontId="0" fillId="2" borderId="0" xfId="0" applyNumberFormat="1" applyFill="1"/>
    <xf numFmtId="0" fontId="1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5" fontId="9" fillId="0" borderId="0" xfId="7" applyFont="1" applyProtection="1">
      <protection hidden="1"/>
    </xf>
    <xf numFmtId="0" fontId="5" fillId="0" borderId="0" xfId="4"/>
    <xf numFmtId="165" fontId="9" fillId="0" borderId="4" xfId="7" applyFont="1" applyBorder="1" applyProtection="1">
      <protection hidden="1"/>
    </xf>
    <xf numFmtId="166" fontId="9" fillId="0" borderId="0" xfId="7" applyNumberFormat="1" applyFont="1" applyProtection="1">
      <protection hidden="1"/>
    </xf>
    <xf numFmtId="173" fontId="0" fillId="0" borderId="0" xfId="0" applyNumberFormat="1"/>
    <xf numFmtId="0" fontId="0" fillId="0" borderId="4" xfId="0" applyBorder="1"/>
    <xf numFmtId="0" fontId="0" fillId="0" borderId="6" xfId="0" applyBorder="1"/>
    <xf numFmtId="173" fontId="11" fillId="0" borderId="6" xfId="0" applyNumberFormat="1" applyFont="1" applyBorder="1"/>
    <xf numFmtId="166" fontId="19" fillId="0" borderId="1" xfId="0" applyNumberFormat="1" applyFont="1" applyBorder="1"/>
    <xf numFmtId="165" fontId="10" fillId="0" borderId="0" xfId="7" applyFont="1" applyProtection="1">
      <protection hidden="1"/>
    </xf>
    <xf numFmtId="173" fontId="11" fillId="0" borderId="0" xfId="0" applyNumberFormat="1" applyFont="1"/>
    <xf numFmtId="166" fontId="9" fillId="0" borderId="4" xfId="7" applyNumberFormat="1" applyFont="1" applyBorder="1" applyProtection="1">
      <protection hidden="1"/>
    </xf>
    <xf numFmtId="173" fontId="11" fillId="0" borderId="4" xfId="0" applyNumberFormat="1" applyFont="1" applyBorder="1"/>
    <xf numFmtId="173" fontId="0" fillId="0" borderId="4" xfId="0" applyNumberFormat="1" applyBorder="1"/>
    <xf numFmtId="43" fontId="0" fillId="0" borderId="0" xfId="0" applyNumberFormat="1"/>
    <xf numFmtId="0" fontId="14" fillId="0" borderId="0" xfId="0" applyFont="1"/>
    <xf numFmtId="170" fontId="11" fillId="0" borderId="0" xfId="0" applyNumberFormat="1" applyFont="1"/>
    <xf numFmtId="165" fontId="16" fillId="0" borderId="0" xfId="7" applyFont="1" applyProtection="1">
      <protection hidden="1"/>
    </xf>
    <xf numFmtId="0" fontId="17" fillId="7" borderId="0" xfId="0" applyFont="1" applyFill="1"/>
    <xf numFmtId="0" fontId="20" fillId="7" borderId="0" xfId="0" applyFont="1" applyFill="1"/>
    <xf numFmtId="0" fontId="6" fillId="3" borderId="1" xfId="0" applyFont="1" applyFill="1" applyBorder="1"/>
    <xf numFmtId="166" fontId="6" fillId="3" borderId="1" xfId="0" applyNumberFormat="1" applyFont="1" applyFill="1" applyBorder="1"/>
    <xf numFmtId="172" fontId="6" fillId="3" borderId="1" xfId="0" applyNumberFormat="1" applyFont="1" applyFill="1" applyBorder="1"/>
    <xf numFmtId="165" fontId="10" fillId="3" borderId="1" xfId="7" applyFont="1" applyFill="1" applyBorder="1" applyProtection="1">
      <protection hidden="1"/>
    </xf>
    <xf numFmtId="14" fontId="9" fillId="0" borderId="0" xfId="0" applyNumberFormat="1" applyFont="1" applyAlignment="1">
      <alignment horizontal="center"/>
    </xf>
    <xf numFmtId="0" fontId="8" fillId="3" borderId="0" xfId="0" applyFont="1" applyFill="1"/>
    <xf numFmtId="0" fontId="0" fillId="3" borderId="0" xfId="0" applyFill="1"/>
    <xf numFmtId="166" fontId="0" fillId="3" borderId="0" xfId="0" applyNumberFormat="1" applyFill="1"/>
    <xf numFmtId="170" fontId="0" fillId="3" borderId="0" xfId="0" applyNumberFormat="1" applyFill="1"/>
    <xf numFmtId="9" fontId="0" fillId="0" borderId="0" xfId="0" applyNumberFormat="1"/>
    <xf numFmtId="9" fontId="9" fillId="4" borderId="0" xfId="0" applyNumberFormat="1" applyFont="1" applyFill="1"/>
    <xf numFmtId="166" fontId="0" fillId="5" borderId="1" xfId="0" applyNumberFormat="1" applyFill="1" applyBorder="1"/>
    <xf numFmtId="170" fontId="0" fillId="5" borderId="0" xfId="8" applyNumberFormat="1" applyFont="1" applyFill="1"/>
    <xf numFmtId="170" fontId="6" fillId="5" borderId="1" xfId="8" applyNumberFormat="1" applyFont="1" applyFill="1" applyBorder="1"/>
    <xf numFmtId="170" fontId="11" fillId="5" borderId="1" xfId="0" applyNumberFormat="1" applyFont="1" applyFill="1" applyBorder="1"/>
    <xf numFmtId="170" fontId="0" fillId="4" borderId="1" xfId="0" applyNumberFormat="1" applyFill="1" applyBorder="1"/>
    <xf numFmtId="170" fontId="11" fillId="5" borderId="5" xfId="0" applyNumberFormat="1" applyFont="1" applyFill="1" applyBorder="1"/>
    <xf numFmtId="170" fontId="0" fillId="4" borderId="5" xfId="0" applyNumberFormat="1" applyFill="1" applyBorder="1"/>
    <xf numFmtId="172" fontId="0" fillId="5" borderId="0" xfId="0" applyNumberFormat="1" applyFill="1"/>
    <xf numFmtId="172" fontId="0" fillId="4" borderId="0" xfId="0" applyNumberFormat="1" applyFill="1"/>
    <xf numFmtId="10" fontId="0" fillId="4" borderId="0" xfId="8" applyNumberFormat="1" applyFont="1" applyFill="1"/>
    <xf numFmtId="10" fontId="0" fillId="5" borderId="4" xfId="0" applyNumberFormat="1" applyFill="1" applyBorder="1"/>
    <xf numFmtId="10" fontId="0" fillId="4" borderId="0" xfId="0" applyNumberFormat="1" applyFill="1"/>
    <xf numFmtId="173" fontId="0" fillId="4" borderId="6" xfId="0" applyNumberFormat="1" applyFill="1" applyBorder="1"/>
    <xf numFmtId="173" fontId="0" fillId="5" borderId="4" xfId="0" applyNumberFormat="1" applyFill="1" applyBorder="1"/>
    <xf numFmtId="173" fontId="0" fillId="4" borderId="0" xfId="0" applyNumberFormat="1" applyFill="1"/>
    <xf numFmtId="166" fontId="0" fillId="8" borderId="0" xfId="0" applyNumberFormat="1" applyFill="1"/>
    <xf numFmtId="0" fontId="22" fillId="0" borderId="0" xfId="9" applyFont="1"/>
    <xf numFmtId="0" fontId="23" fillId="0" borderId="0" xfId="9" applyFont="1"/>
    <xf numFmtId="174" fontId="24" fillId="0" borderId="0" xfId="9" applyNumberFormat="1" applyFont="1" applyAlignment="1">
      <alignment horizontal="right"/>
    </xf>
    <xf numFmtId="172" fontId="23" fillId="0" borderId="0" xfId="9" applyNumberFormat="1" applyFont="1"/>
    <xf numFmtId="174" fontId="23" fillId="0" borderId="0" xfId="9" applyNumberFormat="1" applyFont="1"/>
    <xf numFmtId="174" fontId="24" fillId="0" borderId="0" xfId="9" applyNumberFormat="1" applyFont="1"/>
    <xf numFmtId="172" fontId="6" fillId="0" borderId="0" xfId="0" applyNumberFormat="1" applyFont="1"/>
    <xf numFmtId="2" fontId="0" fillId="4" borderId="1" xfId="0" applyNumberFormat="1" applyFill="1" applyBorder="1"/>
    <xf numFmtId="166" fontId="6" fillId="0" borderId="0" xfId="1" applyNumberFormat="1" applyFont="1"/>
    <xf numFmtId="41" fontId="9" fillId="9" borderId="0" xfId="2" applyFont="1" applyFill="1"/>
    <xf numFmtId="9" fontId="11" fillId="9" borderId="0" xfId="2" applyNumberFormat="1" applyFont="1" applyFill="1"/>
    <xf numFmtId="9" fontId="0" fillId="9" borderId="0" xfId="8" applyFont="1" applyFill="1"/>
    <xf numFmtId="41" fontId="11" fillId="9" borderId="0" xfId="2" applyFont="1" applyFill="1"/>
    <xf numFmtId="2" fontId="11" fillId="0" borderId="0" xfId="0" applyNumberFormat="1" applyFont="1"/>
    <xf numFmtId="165" fontId="0" fillId="0" borderId="0" xfId="1" applyFont="1"/>
    <xf numFmtId="166" fontId="9" fillId="0" borderId="0" xfId="1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vertical="center" textRotation="90"/>
    </xf>
    <xf numFmtId="166" fontId="6" fillId="0" borderId="0" xfId="0" applyNumberFormat="1" applyFont="1"/>
    <xf numFmtId="10" fontId="0" fillId="0" borderId="0" xfId="8" applyNumberFormat="1" applyFont="1"/>
    <xf numFmtId="170" fontId="9" fillId="5" borderId="0" xfId="0" applyNumberFormat="1" applyFont="1" applyFill="1"/>
    <xf numFmtId="166" fontId="11" fillId="0" borderId="0" xfId="1" applyNumberFormat="1" applyFont="1" applyFill="1"/>
    <xf numFmtId="166" fontId="6" fillId="0" borderId="2" xfId="1" applyNumberFormat="1" applyFont="1" applyFill="1" applyBorder="1"/>
    <xf numFmtId="166" fontId="0" fillId="0" borderId="0" xfId="1" applyNumberFormat="1" applyFont="1" applyFill="1"/>
    <xf numFmtId="166" fontId="11" fillId="4" borderId="0" xfId="0" applyNumberFormat="1" applyFont="1" applyFill="1"/>
    <xf numFmtId="0" fontId="8" fillId="0" borderId="0" xfId="11" applyFont="1" applyAlignment="1">
      <alignment horizontal="left"/>
    </xf>
    <xf numFmtId="169" fontId="8" fillId="0" borderId="0" xfId="11" applyNumberFormat="1" applyFont="1" applyAlignment="1">
      <alignment horizontal="center"/>
    </xf>
    <xf numFmtId="0" fontId="5" fillId="0" borderId="0" xfId="11" applyFont="1" applyAlignment="1">
      <alignment horizontal="left"/>
    </xf>
    <xf numFmtId="9" fontId="11" fillId="0" borderId="0" xfId="12" applyFont="1"/>
    <xf numFmtId="9" fontId="11" fillId="0" borderId="0" xfId="4" applyNumberFormat="1" applyFont="1"/>
    <xf numFmtId="164" fontId="11" fillId="0" borderId="0" xfId="13" applyFont="1"/>
    <xf numFmtId="9" fontId="11" fillId="0" borderId="0" xfId="11" applyNumberFormat="1" applyFont="1"/>
    <xf numFmtId="0" fontId="5" fillId="0" borderId="0" xfId="11" applyFont="1"/>
    <xf numFmtId="0" fontId="3" fillId="0" borderId="0" xfId="11"/>
    <xf numFmtId="9" fontId="11" fillId="0" borderId="0" xfId="12" applyFont="1" applyFill="1"/>
    <xf numFmtId="164" fontId="11" fillId="0" borderId="0" xfId="13" applyFont="1" applyFill="1"/>
    <xf numFmtId="170" fontId="0" fillId="0" borderId="0" xfId="12" applyNumberFormat="1" applyFont="1"/>
    <xf numFmtId="0" fontId="18" fillId="0" borderId="0" xfId="11" applyFont="1" applyAlignment="1">
      <alignment horizontal="left"/>
    </xf>
    <xf numFmtId="0" fontId="5" fillId="0" borderId="0" xfId="11" applyFont="1" applyAlignment="1">
      <alignment horizontal="center"/>
    </xf>
    <xf numFmtId="10" fontId="5" fillId="0" borderId="0" xfId="11" applyNumberFormat="1" applyFont="1"/>
    <xf numFmtId="9" fontId="5" fillId="0" borderId="0" xfId="11" applyNumberFormat="1" applyFont="1"/>
    <xf numFmtId="0" fontId="5" fillId="0" borderId="7" xfId="11" applyFont="1" applyBorder="1" applyAlignment="1">
      <alignment horizontal="center"/>
    </xf>
    <xf numFmtId="0" fontId="0" fillId="10" borderId="0" xfId="0" applyFill="1"/>
    <xf numFmtId="9" fontId="26" fillId="0" borderId="0" xfId="0" applyNumberFormat="1" applyFont="1"/>
    <xf numFmtId="41" fontId="26" fillId="0" borderId="0" xfId="2" applyFont="1"/>
    <xf numFmtId="170" fontId="9" fillId="0" borderId="0" xfId="0" applyNumberFormat="1" applyFont="1"/>
    <xf numFmtId="0" fontId="9" fillId="0" borderId="0" xfId="0" applyFont="1"/>
    <xf numFmtId="9" fontId="9" fillId="0" borderId="0" xfId="8" applyFont="1"/>
    <xf numFmtId="9" fontId="9" fillId="9" borderId="0" xfId="8" applyFont="1" applyFill="1"/>
    <xf numFmtId="0" fontId="6" fillId="0" borderId="0" xfId="0" applyFont="1" applyAlignment="1">
      <alignment horizontal="right" vertical="center" textRotation="90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12" fillId="0" borderId="0" xfId="11" applyFont="1" applyAlignment="1">
      <alignment horizontal="center"/>
    </xf>
    <xf numFmtId="0" fontId="12" fillId="0" borderId="0" xfId="11" applyFont="1" applyAlignment="1">
      <alignment horizontal="center" wrapText="1"/>
    </xf>
    <xf numFmtId="176" fontId="0" fillId="0" borderId="0" xfId="21" applyNumberFormat="1" applyFont="1"/>
    <xf numFmtId="176" fontId="0" fillId="0" borderId="2" xfId="0" applyNumberFormat="1" applyBorder="1"/>
    <xf numFmtId="49" fontId="0" fillId="0" borderId="0" xfId="0" applyNumberFormat="1"/>
    <xf numFmtId="10" fontId="0" fillId="0" borderId="0" xfId="0" applyNumberFormat="1"/>
    <xf numFmtId="9" fontId="0" fillId="11" borderId="0" xfId="0" applyNumberFormat="1" applyFill="1"/>
    <xf numFmtId="10" fontId="0" fillId="11" borderId="0" xfId="8" applyNumberFormat="1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11" borderId="0" xfId="0" applyFill="1"/>
  </cellXfs>
  <cellStyles count="22">
    <cellStyle name="Comma [0] 2" xfId="13" xr:uid="{CC363B22-EE3C-4062-AB65-F428CFAE3412}"/>
    <cellStyle name="Comma [0] 2 2" xfId="18" xr:uid="{CDABCF41-4F22-404C-8877-13FF3B5966BC}"/>
    <cellStyle name="Comma 2" xfId="10" xr:uid="{B9EC1A25-925A-45A7-83CB-4F3E214EC30D}"/>
    <cellStyle name="Millares" xfId="1" builtinId="3"/>
    <cellStyle name="Millares [0]" xfId="2" builtinId="6"/>
    <cellStyle name="Millares [0] 2" xfId="5" xr:uid="{00000000-0005-0000-0000-000002000000}"/>
    <cellStyle name="Millares 2" xfId="7" xr:uid="{00000000-0005-0000-0000-000003000000}"/>
    <cellStyle name="Moneda" xfId="21" builtinId="4"/>
    <cellStyle name="Moneda 2" xfId="3" xr:uid="{00000000-0005-0000-0000-000004000000}"/>
    <cellStyle name="Normal" xfId="0" builtinId="0"/>
    <cellStyle name="Normal 2" xfId="4" xr:uid="{00000000-0005-0000-0000-000006000000}"/>
    <cellStyle name="Normal 2 2" xfId="9" xr:uid="{765D345C-C4A1-4463-AE37-CD6EFFFD4EDB}"/>
    <cellStyle name="Normal 2 3" xfId="14" xr:uid="{FFF7DC30-A789-4C67-A017-C468729BB8E4}"/>
    <cellStyle name="Normal 2 4" xfId="15" xr:uid="{8706E6BA-FA08-4F9E-A07A-0DA9FC2B2F93}"/>
    <cellStyle name="Normal 2 5" xfId="20" xr:uid="{F1D0551D-77AF-47EA-AE9B-15256B1A4D3C}"/>
    <cellStyle name="Normal 3" xfId="11" xr:uid="{0BB041AC-9B66-477F-90CF-F89EDF071123}"/>
    <cellStyle name="Normal 3 2" xfId="16" xr:uid="{DF9DF46E-1892-461D-ABDA-9A8783BB7A54}"/>
    <cellStyle name="Percent 2" xfId="12" xr:uid="{07E117DB-9DF7-4D82-B74D-B21CABEC3750}"/>
    <cellStyle name="Percent 2 2" xfId="17" xr:uid="{0D55B727-9DE5-4A8A-A200-378D49B0DCA1}"/>
    <cellStyle name="Porcentaje" xfId="8" builtinId="5"/>
    <cellStyle name="Porcentaje 2" xfId="6" xr:uid="{00000000-0005-0000-0000-000007000000}"/>
    <cellStyle name="Porcentaje 3" xfId="19" xr:uid="{1423DB5E-7E85-4C3F-A347-63F1496D9BD9}"/>
  </cellStyles>
  <dxfs count="0"/>
  <tableStyles count="0" defaultTableStyle="TableStyleMedium2" defaultPivotStyle="PivotStyleLight16"/>
  <colors>
    <mruColors>
      <color rgb="FF0000FF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Valor anual de la empresa </a:t>
            </a:r>
            <a:r>
              <a:rPr lang="en-US" sz="1600" b="0"/>
              <a:t>(Final del período)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2.1775835774346851E-2"/>
          <c:y val="0.17372915308964926"/>
          <c:w val="0.95644832845130634"/>
          <c:h val="0.7343087763363669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00FF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'MODELO VALORACIÓN SIMPLIFICADO'!$B$210:$G$210</c:f>
              <c:numCache>
                <c:formatCode>_(* #,##0_);_(* \(#,##0\);_(* "-"??_);_(@_)</c:formatCode>
                <c:ptCount val="6"/>
                <c:pt idx="0">
                  <c:v>1628729.2043164182</c:v>
                </c:pt>
                <c:pt idx="1">
                  <c:v>1770428.6450919465</c:v>
                </c:pt>
                <c:pt idx="2">
                  <c:v>1922706.3758590273</c:v>
                </c:pt>
                <c:pt idx="3">
                  <c:v>2051943.0642664663</c:v>
                </c:pt>
                <c:pt idx="4">
                  <c:v>2152208.4641115423</c:v>
                </c:pt>
                <c:pt idx="5">
                  <c:v>2235234.5016079363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'MODELO VALORACIÓN SIMPLIFICADO'!$B$177:$G$177</c15:sqref>
                        </c15:formulaRef>
                      </c:ext>
                    </c:extLst>
                    <c:numCache>
                      <c:formatCode>0\P</c:formatCode>
                      <c:ptCount val="6"/>
                      <c:pt idx="0" formatCode="General">
                        <c:v>2022</c:v>
                      </c:pt>
                      <c:pt idx="1">
                        <c:v>2023</c:v>
                      </c:pt>
                      <c:pt idx="2">
                        <c:v>2024</c:v>
                      </c:pt>
                      <c:pt idx="3">
                        <c:v>2025</c:v>
                      </c:pt>
                      <c:pt idx="4">
                        <c:v>2026</c:v>
                      </c:pt>
                      <c:pt idx="5">
                        <c:v>2027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500D-4EC8-9C0A-5A6E470BE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overlap val="35"/>
        <c:axId val="1990038207"/>
        <c:axId val="666639"/>
      </c:barChart>
      <c:catAx>
        <c:axId val="199003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66639"/>
        <c:crosses val="autoZero"/>
        <c:auto val="1"/>
        <c:lblAlgn val="ctr"/>
        <c:lblOffset val="100"/>
        <c:noMultiLvlLbl val="0"/>
      </c:catAx>
      <c:valAx>
        <c:axId val="666639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199003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Resumen de la Valoración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'MODELO VALORACIÓN SIMPLIFICADO'!$C$262</c:f>
              <c:strCache>
                <c:ptCount val="1"/>
                <c:pt idx="0">
                  <c:v>lo (bar)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'MODELO VALORACIÓN SIMPLIFICADO'!$A$263:$B$266</c:f>
              <c:strCache>
                <c:ptCount val="4"/>
                <c:pt idx="0">
                  <c:v>EV Industria</c:v>
                </c:pt>
                <c:pt idx="1">
                  <c:v>EV Muestra</c:v>
                </c:pt>
                <c:pt idx="2">
                  <c:v>FCL Sensibilidad</c:v>
                </c:pt>
                <c:pt idx="3">
                  <c:v>FCL Caso Base</c:v>
                </c:pt>
              </c:strCache>
            </c:strRef>
          </c:cat>
          <c:val>
            <c:numRef>
              <c:f>'MODELO VALORACIÓN SIMPLIFICADO'!$C$263:$C$266</c:f>
              <c:numCache>
                <c:formatCode>_(* #,##0_);_(* \(#,##0\);_(* "-"??_);_(@_)</c:formatCode>
                <c:ptCount val="4"/>
                <c:pt idx="0">
                  <c:v>1910571.68</c:v>
                </c:pt>
                <c:pt idx="1">
                  <c:v>1297919.7279999999</c:v>
                </c:pt>
                <c:pt idx="2">
                  <c:v>1160934.6073055433</c:v>
                </c:pt>
                <c:pt idx="3">
                  <c:v>1629101.0732881178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8-4AA6-856D-9A2C034D5F15}"/>
            </c:ext>
          </c:extLst>
        </c:ser>
        <c:ser>
          <c:idx val="1"/>
          <c:order val="1"/>
          <c:tx>
            <c:strRef>
              <c:f>'MODELO VALORACIÓN SIMPLIFICADO'!$D$262</c:f>
              <c:strCache>
                <c:ptCount val="1"/>
                <c:pt idx="0">
                  <c:v>lo  (label)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'MODELO VALORACIÓN SIMPLIFICADO'!$A$263:$B$266</c:f>
              <c:strCache>
                <c:ptCount val="4"/>
                <c:pt idx="0">
                  <c:v>EV Industria</c:v>
                </c:pt>
                <c:pt idx="1">
                  <c:v>EV Muestra</c:v>
                </c:pt>
                <c:pt idx="2">
                  <c:v>FCL Sensibilidad</c:v>
                </c:pt>
                <c:pt idx="3">
                  <c:v>FCL Caso Base</c:v>
                </c:pt>
              </c:strCache>
            </c:strRef>
          </c:cat>
          <c:val>
            <c:numRef>
              <c:f>'MODELO VALORACIÓN SIMPLIFICADO'!$D$263:$D$266</c:f>
              <c:numCache>
                <c:formatCode>_(* #,##0_);_(* \(#,##0\);_(* "-"??_);_(@_)</c:formatCode>
                <c:ptCount val="4"/>
                <c:pt idx="0">
                  <c:v>1910571.68</c:v>
                </c:pt>
                <c:pt idx="1">
                  <c:v>1297919.7279999999</c:v>
                </c:pt>
                <c:pt idx="2">
                  <c:v>1160934.6073055433</c:v>
                </c:pt>
                <c:pt idx="3">
                  <c:v>1629101.0732881178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48-4AA6-856D-9A2C034D5F15}"/>
            </c:ext>
          </c:extLst>
        </c:ser>
        <c:ser>
          <c:idx val="2"/>
          <c:order val="2"/>
          <c:tx>
            <c:strRef>
              <c:f>'MODELO VALORACIÓN SIMPLIFICADO'!$E$262</c:f>
              <c:strCache>
                <c:ptCount val="1"/>
                <c:pt idx="0">
                  <c:v>hi (bar)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'MODELO VALORACIÓN SIMPLIFICADO'!$A$263:$B$266</c:f>
              <c:strCache>
                <c:ptCount val="4"/>
                <c:pt idx="0">
                  <c:v>EV Industria</c:v>
                </c:pt>
                <c:pt idx="1">
                  <c:v>EV Muestra</c:v>
                </c:pt>
                <c:pt idx="2">
                  <c:v>FCL Sensibilidad</c:v>
                </c:pt>
                <c:pt idx="3">
                  <c:v>FCL Caso Base</c:v>
                </c:pt>
              </c:strCache>
            </c:strRef>
          </c:cat>
          <c:val>
            <c:numRef>
              <c:f>'MODELO VALORACIÓN SIMPLIFICADO'!$E$263:$E$266</c:f>
              <c:numCache>
                <c:formatCode>_(* #,##0_);_(* \(#,##0\);_(* "-"??_);_(@_)</c:formatCode>
                <c:ptCount val="4"/>
                <c:pt idx="0">
                  <c:v>2614959</c:v>
                </c:pt>
                <c:pt idx="1">
                  <c:v>2395661.5799999996</c:v>
                </c:pt>
                <c:pt idx="2">
                  <c:v>2515453.8391503226</c:v>
                </c:pt>
                <c:pt idx="3">
                  <c:v>1629101.0732881178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48-4AA6-856D-9A2C034D5F15}"/>
            </c:ext>
          </c:extLst>
        </c:ser>
        <c:ser>
          <c:idx val="3"/>
          <c:order val="3"/>
          <c:tx>
            <c:strRef>
              <c:f>'MODELO VALORACIÓN SIMPLIFICADO'!$F$262</c:f>
              <c:strCache>
                <c:ptCount val="1"/>
                <c:pt idx="0">
                  <c:v>hi (label)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'MODELO VALORACIÓN SIMPLIFICADO'!$A$263:$B$266</c:f>
              <c:strCache>
                <c:ptCount val="4"/>
                <c:pt idx="0">
                  <c:v>EV Industria</c:v>
                </c:pt>
                <c:pt idx="1">
                  <c:v>EV Muestra</c:v>
                </c:pt>
                <c:pt idx="2">
                  <c:v>FCL Sensibilidad</c:v>
                </c:pt>
                <c:pt idx="3">
                  <c:v>FCL Caso Base</c:v>
                </c:pt>
              </c:strCache>
            </c:strRef>
          </c:cat>
          <c:val>
            <c:numRef>
              <c:f>'MODELO VALORACIÓN SIMPLIFICADO'!$F$263:$F$266</c:f>
              <c:numCache>
                <c:formatCode>_(* #,##0_);_(* \(#,##0\);_(* "-"??_);_(@_)</c:formatCode>
                <c:ptCount val="4"/>
                <c:pt idx="0">
                  <c:v>2614959</c:v>
                </c:pt>
                <c:pt idx="1">
                  <c:v>2395661.5799999996</c:v>
                </c:pt>
                <c:pt idx="2">
                  <c:v>2515453.8391503226</c:v>
                </c:pt>
                <c:pt idx="3">
                  <c:v>1629101.0732881178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48-4AA6-856D-9A2C034D5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0000FF"/>
              </a:solidFill>
              <a:ln w="9525" cap="flat" cmpd="sng" algn="ctr">
                <a:noFill/>
                <a:round/>
              </a:ln>
              <a:effectLst/>
            </c:spPr>
          </c:upBars>
          <c:downBars>
            <c:spPr>
              <a:solidFill>
                <a:srgbClr val="0000FF"/>
              </a:solidFill>
              <a:ln w="9525" cap="flat" cmpd="sng" algn="ctr">
                <a:solidFill>
                  <a:srgbClr val="0000FF"/>
                </a:solidFill>
                <a:round/>
              </a:ln>
              <a:effectLst/>
            </c:spPr>
          </c:downBars>
        </c:upDownBars>
        <c:axId val="-1388717600"/>
        <c:axId val="-1570092240"/>
      </c:stockChart>
      <c:catAx>
        <c:axId val="-138871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570092240"/>
        <c:crosses val="autoZero"/>
        <c:auto val="1"/>
        <c:lblAlgn val="ctr"/>
        <c:lblOffset val="100"/>
        <c:noMultiLvlLbl val="0"/>
      </c:catAx>
      <c:valAx>
        <c:axId val="-1570092240"/>
        <c:scaling>
          <c:orientation val="minMax"/>
          <c:min val="600000.00000000012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388717600"/>
        <c:crosses val="autoZero"/>
        <c:crossBetween val="between"/>
        <c:majorUnit val="250000"/>
      </c:valAx>
      <c:spPr>
        <a:solidFill>
          <a:schemeClr val="bg1"/>
        </a:solidFill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K$45" fmlaRange="$K$40:$K$42" noThreeD="1" sel="1" val="0"/>
</file>

<file path=xl/ctrlProps/ctrlProp2.xml><?xml version="1.0" encoding="utf-8"?>
<formControlPr xmlns="http://schemas.microsoft.com/office/spreadsheetml/2009/9/main" objectType="Drop" dropStyle="combo" dx="26" fmlaLink="$K$45" fmlaRange="$K$40:$K$42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28014</xdr:colOff>
      <xdr:row>211</xdr:row>
      <xdr:rowOff>42022</xdr:rowOff>
    </xdr:from>
    <xdr:to>
      <xdr:col>6</xdr:col>
      <xdr:colOff>1148603</xdr:colOff>
      <xdr:row>227</xdr:row>
      <xdr:rowOff>186576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13805</xdr:colOff>
      <xdr:row>267</xdr:row>
      <xdr:rowOff>13544</xdr:rowOff>
    </xdr:from>
    <xdr:to>
      <xdr:col>7</xdr:col>
      <xdr:colOff>14007</xdr:colOff>
      <xdr:row>286</xdr:row>
      <xdr:rowOff>181690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970718</xdr:colOff>
      <xdr:row>277</xdr:row>
      <xdr:rowOff>190691</xdr:rowOff>
    </xdr:from>
    <xdr:to>
      <xdr:col>7</xdr:col>
      <xdr:colOff>29049</xdr:colOff>
      <xdr:row>277</xdr:row>
      <xdr:rowOff>190691</xdr:rowOff>
    </xdr:to>
    <xdr:cxnSp macro="">
      <xdr:nvCxnSpPr>
        <xdr:cNvPr id="4" name="Straight Connector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 bwMode="auto">
        <a:xfrm>
          <a:off x="5565130" y="54987456"/>
          <a:ext cx="6146051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5875" cap="flat" cmpd="sng" algn="ctr">
          <a:solidFill>
            <a:srgbClr val="FA621C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43</xdr:row>
          <xdr:rowOff>19050</xdr:rowOff>
        </xdr:from>
        <xdr:to>
          <xdr:col>12</xdr:col>
          <xdr:colOff>3175</xdr:colOff>
          <xdr:row>44</xdr:row>
          <xdr:rowOff>180975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189</xdr:row>
          <xdr:rowOff>38100</xdr:rowOff>
        </xdr:from>
        <xdr:to>
          <xdr:col>4</xdr:col>
          <xdr:colOff>476250</xdr:colOff>
          <xdr:row>191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A016-86D8-43FC-BDB7-33C12B6ECB92}">
  <sheetPr>
    <tabColor rgb="FF00B050"/>
  </sheetPr>
  <dimension ref="A1:S340"/>
  <sheetViews>
    <sheetView topLeftCell="A55" zoomScale="60" zoomScaleNormal="60" workbookViewId="0">
      <pane xSplit="1" topLeftCell="B1" activePane="topRight" state="frozen"/>
      <selection pane="topRight" activeCell="B119" sqref="B119"/>
    </sheetView>
  </sheetViews>
  <sheetFormatPr baseColWidth="10" defaultColWidth="11.19921875" defaultRowHeight="15" outlineLevelRow="2" x14ac:dyDescent="0.2"/>
  <cols>
    <col min="1" max="1" width="48.296875" customWidth="1"/>
    <col min="2" max="2" width="12.19921875" customWidth="1"/>
    <col min="3" max="3" width="12.3984375" customWidth="1"/>
    <col min="4" max="4" width="12.296875" customWidth="1"/>
    <col min="5" max="5" width="12.09765625" customWidth="1"/>
    <col min="6" max="6" width="12.19921875" customWidth="1"/>
    <col min="7" max="7" width="13.19921875" bestFit="1" customWidth="1"/>
    <col min="8" max="8" width="14.296875" customWidth="1"/>
    <col min="10" max="10" width="32.5" customWidth="1"/>
    <col min="14" max="14" width="8.796875" bestFit="1" customWidth="1"/>
  </cols>
  <sheetData>
    <row r="1" spans="1:15" x14ac:dyDescent="0.2">
      <c r="A1" s="39" t="s">
        <v>83</v>
      </c>
      <c r="B1" s="39"/>
      <c r="C1" s="39"/>
      <c r="D1" s="39"/>
      <c r="E1" s="39"/>
      <c r="F1" s="39"/>
      <c r="G1" s="39"/>
      <c r="H1" s="39"/>
    </row>
    <row r="2" spans="1:15" outlineLevel="1" x14ac:dyDescent="0.2"/>
    <row r="3" spans="1:15" outlineLevel="1" x14ac:dyDescent="0.2">
      <c r="A3" s="3" t="s">
        <v>18</v>
      </c>
      <c r="B3" s="28">
        <v>2022</v>
      </c>
      <c r="C3" s="40">
        <v>2023</v>
      </c>
      <c r="D3" s="41">
        <v>2024</v>
      </c>
      <c r="E3" s="41">
        <v>2025</v>
      </c>
      <c r="F3" s="41">
        <v>2026</v>
      </c>
      <c r="G3" s="41">
        <v>2027</v>
      </c>
      <c r="J3" s="149" t="s">
        <v>195</v>
      </c>
      <c r="K3" s="149"/>
      <c r="L3" s="149"/>
      <c r="M3" s="149"/>
      <c r="N3" s="149"/>
      <c r="O3" s="149"/>
    </row>
    <row r="4" spans="1:15" outlineLevel="1" x14ac:dyDescent="0.2">
      <c r="A4" s="2"/>
      <c r="B4" s="2"/>
      <c r="J4" s="122" t="s">
        <v>196</v>
      </c>
      <c r="K4" s="123">
        <v>2023</v>
      </c>
      <c r="L4" s="123">
        <v>2024</v>
      </c>
      <c r="M4" s="123">
        <v>2025</v>
      </c>
      <c r="N4" s="123">
        <v>2026</v>
      </c>
      <c r="O4" s="123">
        <v>2027</v>
      </c>
    </row>
    <row r="5" spans="1:15" outlineLevel="1" x14ac:dyDescent="0.2">
      <c r="A5" s="139" t="s">
        <v>19</v>
      </c>
      <c r="B5" s="142">
        <v>-0.1</v>
      </c>
      <c r="C5" s="140">
        <f>CHOOSE($K$45,K5,K17,K29)</f>
        <v>0.06</v>
      </c>
      <c r="D5" s="140">
        <f t="shared" ref="D5:G5" si="0">CHOOSE($K$45,L5,L17,L29)</f>
        <v>0.08</v>
      </c>
      <c r="E5" s="140">
        <f t="shared" si="0"/>
        <v>0.08</v>
      </c>
      <c r="F5" s="140">
        <f t="shared" si="0"/>
        <v>7.0000000000000007E-2</v>
      </c>
      <c r="G5" s="140">
        <f t="shared" si="0"/>
        <v>0.06</v>
      </c>
      <c r="I5" s="79"/>
      <c r="J5" s="124" t="s">
        <v>19</v>
      </c>
      <c r="K5" s="125">
        <v>0.06</v>
      </c>
      <c r="L5" s="125">
        <v>0.08</v>
      </c>
      <c r="M5" s="125">
        <v>0.08</v>
      </c>
      <c r="N5" s="125">
        <v>7.0000000000000007E-2</v>
      </c>
      <c r="O5" s="125">
        <v>0.06</v>
      </c>
    </row>
    <row r="6" spans="1:15" outlineLevel="1" x14ac:dyDescent="0.2">
      <c r="A6" t="s">
        <v>20</v>
      </c>
      <c r="B6" s="143"/>
      <c r="C6" s="18">
        <v>0.03</v>
      </c>
      <c r="D6" s="18">
        <v>0.03</v>
      </c>
      <c r="E6" s="18">
        <v>0.03</v>
      </c>
      <c r="F6" s="18">
        <v>0.03</v>
      </c>
      <c r="G6" s="18">
        <v>0.03</v>
      </c>
      <c r="I6" s="79"/>
      <c r="J6" s="124" t="s">
        <v>1</v>
      </c>
      <c r="K6" s="126">
        <v>0.31</v>
      </c>
      <c r="L6" s="126">
        <v>0.31</v>
      </c>
      <c r="M6" s="126">
        <v>0.3</v>
      </c>
      <c r="N6" s="126">
        <v>0.28999999999999998</v>
      </c>
      <c r="O6" s="126">
        <v>0.28999999999999998</v>
      </c>
    </row>
    <row r="7" spans="1:15" outlineLevel="1" x14ac:dyDescent="0.2">
      <c r="A7" s="139" t="s">
        <v>1</v>
      </c>
      <c r="B7" s="144">
        <v>0.31</v>
      </c>
      <c r="C7" s="140">
        <f>CHOOSE($K$45,K6,K18,K30)</f>
        <v>0.31</v>
      </c>
      <c r="D7" s="140">
        <f t="shared" ref="D7:G7" si="1">CHOOSE($K$45,L6,L18,L30)</f>
        <v>0.31</v>
      </c>
      <c r="E7" s="140">
        <f t="shared" si="1"/>
        <v>0.3</v>
      </c>
      <c r="F7" s="140">
        <f t="shared" si="1"/>
        <v>0.28999999999999998</v>
      </c>
      <c r="G7" s="140">
        <f t="shared" si="1"/>
        <v>0.28999999999999998</v>
      </c>
      <c r="I7" s="111"/>
      <c r="J7" s="124" t="s">
        <v>3</v>
      </c>
      <c r="K7" s="127">
        <v>21800</v>
      </c>
      <c r="L7" s="127">
        <v>25000</v>
      </c>
      <c r="M7" s="127">
        <v>41000</v>
      </c>
      <c r="N7" s="127">
        <v>68000</v>
      </c>
      <c r="O7" s="127">
        <v>84000</v>
      </c>
    </row>
    <row r="8" spans="1:15" outlineLevel="1" x14ac:dyDescent="0.2">
      <c r="A8" t="s">
        <v>21</v>
      </c>
      <c r="B8" s="144">
        <v>0.14000000000000001</v>
      </c>
      <c r="C8" s="18">
        <v>0.13</v>
      </c>
      <c r="D8" s="18">
        <v>0.13</v>
      </c>
      <c r="E8" s="18">
        <v>0.13</v>
      </c>
      <c r="F8" s="18">
        <v>0.12</v>
      </c>
      <c r="G8" s="18">
        <v>0.12</v>
      </c>
      <c r="I8" s="79"/>
      <c r="J8" s="124" t="s">
        <v>26</v>
      </c>
      <c r="K8" s="128">
        <v>0.12</v>
      </c>
      <c r="L8" s="128">
        <v>0.14000000000000001</v>
      </c>
      <c r="M8" s="128">
        <v>0.14000000000000001</v>
      </c>
      <c r="N8" s="128">
        <v>0.14000000000000001</v>
      </c>
      <c r="O8" s="128">
        <v>0.14000000000000001</v>
      </c>
    </row>
    <row r="9" spans="1:15" outlineLevel="1" x14ac:dyDescent="0.2">
      <c r="A9" t="s">
        <v>22</v>
      </c>
      <c r="B9" s="144">
        <v>0.38</v>
      </c>
      <c r="C9" s="18">
        <v>0.39</v>
      </c>
      <c r="D9" s="18">
        <v>0.39</v>
      </c>
      <c r="E9" s="18">
        <v>0.38</v>
      </c>
      <c r="F9" s="18">
        <v>0.36</v>
      </c>
      <c r="G9" s="18">
        <v>0.35</v>
      </c>
      <c r="I9" s="79"/>
      <c r="J9" s="124" t="s">
        <v>27</v>
      </c>
      <c r="K9" s="128">
        <v>0.1</v>
      </c>
      <c r="L9" s="128">
        <v>0.12</v>
      </c>
      <c r="M9" s="128">
        <v>0.12</v>
      </c>
      <c r="N9" s="128">
        <v>0.12</v>
      </c>
      <c r="O9" s="128">
        <v>0.12</v>
      </c>
    </row>
    <row r="10" spans="1:15" outlineLevel="1" x14ac:dyDescent="0.2">
      <c r="A10" t="s">
        <v>23</v>
      </c>
      <c r="B10" s="144">
        <v>0.08</v>
      </c>
      <c r="C10" s="18">
        <v>0.09</v>
      </c>
      <c r="D10" s="18">
        <v>0.09</v>
      </c>
      <c r="E10" s="18">
        <v>0.08</v>
      </c>
      <c r="F10" s="18">
        <v>7.0000000000000007E-2</v>
      </c>
      <c r="G10" s="18">
        <v>0.06</v>
      </c>
      <c r="I10" s="79"/>
      <c r="J10" s="124" t="s">
        <v>28</v>
      </c>
      <c r="K10" s="128">
        <v>0.02</v>
      </c>
      <c r="L10" s="128">
        <v>0.02</v>
      </c>
      <c r="M10" s="128">
        <v>0.02</v>
      </c>
      <c r="N10" s="128">
        <v>0.02</v>
      </c>
      <c r="O10" s="128">
        <v>0.02</v>
      </c>
    </row>
    <row r="11" spans="1:15" outlineLevel="1" x14ac:dyDescent="0.2">
      <c r="A11" t="s">
        <v>17</v>
      </c>
      <c r="B11" s="143"/>
      <c r="C11" s="18">
        <v>0.09</v>
      </c>
      <c r="D11" s="18">
        <v>0.09</v>
      </c>
      <c r="E11" s="18">
        <v>0.08</v>
      </c>
      <c r="F11" s="18">
        <v>7.0000000000000007E-2</v>
      </c>
      <c r="G11" s="18">
        <v>0.06</v>
      </c>
      <c r="I11" s="111"/>
      <c r="J11" s="124" t="s">
        <v>29</v>
      </c>
      <c r="K11" s="127">
        <v>358937.60636160005</v>
      </c>
      <c r="L11" s="127">
        <v>380473.86274329608</v>
      </c>
      <c r="M11" s="127">
        <v>403302.29450789379</v>
      </c>
      <c r="N11" s="127">
        <v>427500.43217836745</v>
      </c>
      <c r="O11" s="127">
        <v>453150.4581090695</v>
      </c>
    </row>
    <row r="12" spans="1:15" outlineLevel="1" x14ac:dyDescent="0.2">
      <c r="A12" t="s">
        <v>24</v>
      </c>
      <c r="B12" s="143"/>
      <c r="C12" s="18">
        <v>0.6</v>
      </c>
      <c r="D12" s="18">
        <v>0.6</v>
      </c>
      <c r="E12" s="18">
        <v>0.6</v>
      </c>
      <c r="F12" s="18">
        <v>0.6</v>
      </c>
      <c r="G12" s="18">
        <v>0.6</v>
      </c>
      <c r="I12" s="111"/>
      <c r="J12" s="124" t="s">
        <v>30</v>
      </c>
      <c r="K12" s="127">
        <v>60000</v>
      </c>
      <c r="L12" s="127">
        <v>34000</v>
      </c>
      <c r="M12" s="127">
        <v>34000</v>
      </c>
      <c r="N12" s="127">
        <v>34000</v>
      </c>
      <c r="O12" s="127">
        <v>34000</v>
      </c>
    </row>
    <row r="13" spans="1:15" outlineLevel="1" x14ac:dyDescent="0.2">
      <c r="A13" t="s">
        <v>16</v>
      </c>
      <c r="B13" s="17">
        <v>8000</v>
      </c>
      <c r="C13" s="19">
        <v>8800</v>
      </c>
      <c r="D13" s="19">
        <v>8800</v>
      </c>
      <c r="E13" s="19">
        <v>8800</v>
      </c>
      <c r="F13" s="19">
        <v>8800</v>
      </c>
      <c r="G13" s="19">
        <v>8800</v>
      </c>
      <c r="I13" s="79"/>
      <c r="J13" s="124" t="s">
        <v>31</v>
      </c>
      <c r="K13" s="128">
        <v>0.16</v>
      </c>
      <c r="L13" s="128">
        <v>0.16</v>
      </c>
      <c r="M13" s="128">
        <v>0.16</v>
      </c>
      <c r="N13" s="128">
        <v>0.16</v>
      </c>
      <c r="O13" s="128">
        <v>0.16</v>
      </c>
    </row>
    <row r="14" spans="1:15" ht="15.75" outlineLevel="1" x14ac:dyDescent="0.25">
      <c r="A14" t="s">
        <v>2</v>
      </c>
      <c r="B14" s="144">
        <v>0.2800060669385554</v>
      </c>
      <c r="C14" s="18">
        <v>0.25</v>
      </c>
      <c r="D14" s="18">
        <v>0.25</v>
      </c>
      <c r="E14" s="18">
        <v>0.25</v>
      </c>
      <c r="F14" s="18">
        <v>0.25</v>
      </c>
      <c r="G14" s="18">
        <v>0.25</v>
      </c>
      <c r="J14" s="124"/>
      <c r="K14" s="129"/>
      <c r="L14" s="129"/>
      <c r="M14" s="130"/>
      <c r="N14" s="130"/>
      <c r="O14" s="130"/>
    </row>
    <row r="15" spans="1:15" ht="15" customHeight="1" outlineLevel="1" x14ac:dyDescent="0.2">
      <c r="A15" s="139" t="s">
        <v>3</v>
      </c>
      <c r="B15" s="17">
        <v>21800</v>
      </c>
      <c r="C15" s="141">
        <f>CHOOSE($K$45,K7,K19,K31)</f>
        <v>21800</v>
      </c>
      <c r="D15" s="141">
        <f t="shared" ref="D15:G15" si="2">CHOOSE($K$45,L7,L19,L31)</f>
        <v>25000</v>
      </c>
      <c r="E15" s="141">
        <f t="shared" si="2"/>
        <v>41000</v>
      </c>
      <c r="F15" s="141">
        <f t="shared" si="2"/>
        <v>68000</v>
      </c>
      <c r="G15" s="141">
        <f t="shared" si="2"/>
        <v>84000</v>
      </c>
      <c r="J15" s="150" t="s">
        <v>197</v>
      </c>
      <c r="K15" s="150"/>
      <c r="L15" s="150"/>
      <c r="M15" s="150"/>
      <c r="N15" s="150"/>
      <c r="O15" s="150"/>
    </row>
    <row r="16" spans="1:15" outlineLevel="1" x14ac:dyDescent="0.2">
      <c r="A16" t="s">
        <v>158</v>
      </c>
      <c r="B16" s="106"/>
      <c r="C16" s="107"/>
      <c r="D16" s="107"/>
      <c r="E16" s="107"/>
      <c r="F16" s="107"/>
      <c r="G16" s="107"/>
      <c r="J16" s="122" t="s">
        <v>196</v>
      </c>
      <c r="K16" s="123">
        <v>2023</v>
      </c>
      <c r="L16" s="123">
        <v>2024</v>
      </c>
      <c r="M16" s="123">
        <v>2025</v>
      </c>
      <c r="N16" s="123">
        <v>2026</v>
      </c>
      <c r="O16" s="123">
        <v>2027</v>
      </c>
    </row>
    <row r="17" spans="1:15" outlineLevel="1" x14ac:dyDescent="0.2">
      <c r="A17" t="s">
        <v>159</v>
      </c>
      <c r="B17" s="106"/>
      <c r="C17" s="107"/>
      <c r="D17" s="107"/>
      <c r="E17" s="107"/>
      <c r="F17" s="107"/>
      <c r="G17" s="107"/>
      <c r="I17" s="79"/>
      <c r="J17" s="124" t="s">
        <v>19</v>
      </c>
      <c r="K17" s="131">
        <v>3.9999999999999994E-2</v>
      </c>
      <c r="L17" s="131">
        <v>6.0000000000000012E-2</v>
      </c>
      <c r="M17" s="131">
        <v>0.05</v>
      </c>
      <c r="N17" s="131">
        <v>0.05</v>
      </c>
      <c r="O17" s="131">
        <v>0.06</v>
      </c>
    </row>
    <row r="18" spans="1:15" outlineLevel="1" x14ac:dyDescent="0.2">
      <c r="A18" t="s">
        <v>25</v>
      </c>
      <c r="B18" s="144">
        <v>0.12</v>
      </c>
      <c r="C18" s="18">
        <v>0.12</v>
      </c>
      <c r="D18" s="18">
        <v>0.13</v>
      </c>
      <c r="E18" s="18">
        <v>0.14000000000000001</v>
      </c>
      <c r="F18" s="18">
        <v>0.14000000000000001</v>
      </c>
      <c r="G18" s="18">
        <v>0.14000000000000001</v>
      </c>
      <c r="I18" s="79"/>
      <c r="J18" s="124" t="s">
        <v>1</v>
      </c>
      <c r="K18" s="131">
        <v>0.33</v>
      </c>
      <c r="L18" s="131">
        <v>0.32999999999999996</v>
      </c>
      <c r="M18" s="131">
        <v>0.32</v>
      </c>
      <c r="N18" s="131">
        <v>0.30999999999999994</v>
      </c>
      <c r="O18" s="131">
        <v>0.30999999999999994</v>
      </c>
    </row>
    <row r="19" spans="1:15" outlineLevel="1" x14ac:dyDescent="0.2">
      <c r="A19" s="139" t="s">
        <v>26</v>
      </c>
      <c r="B19" s="144">
        <v>0.10037423148890671</v>
      </c>
      <c r="C19" s="140">
        <f>CHOOSE($K$45,K8,K20,K32)</f>
        <v>0.12</v>
      </c>
      <c r="D19" s="140">
        <f t="shared" ref="D19:G19" si="3">CHOOSE($K$45,L8,L20,L32)</f>
        <v>0.14000000000000001</v>
      </c>
      <c r="E19" s="140">
        <f t="shared" si="3"/>
        <v>0.14000000000000001</v>
      </c>
      <c r="F19" s="140">
        <f t="shared" si="3"/>
        <v>0.14000000000000001</v>
      </c>
      <c r="G19" s="140">
        <f t="shared" si="3"/>
        <v>0.14000000000000001</v>
      </c>
      <c r="I19" s="111"/>
      <c r="J19" s="124" t="s">
        <v>3</v>
      </c>
      <c r="K19" s="132">
        <v>15800</v>
      </c>
      <c r="L19" s="132">
        <v>18119.266055045871</v>
      </c>
      <c r="M19" s="132">
        <v>29787.755102040817</v>
      </c>
      <c r="N19" s="132">
        <v>53297.297297297293</v>
      </c>
      <c r="O19" s="132">
        <v>84000</v>
      </c>
    </row>
    <row r="20" spans="1:15" outlineLevel="1" x14ac:dyDescent="0.2">
      <c r="A20" s="139" t="s">
        <v>27</v>
      </c>
      <c r="B20" s="144">
        <v>8.2651697407110397E-2</v>
      </c>
      <c r="C20" s="140">
        <f>CHOOSE($K$45,K9,K21,K33)</f>
        <v>0.1</v>
      </c>
      <c r="D20" s="140">
        <f t="shared" ref="D20:G20" si="4">CHOOSE($K$45,L9,L21,L33)</f>
        <v>0.12</v>
      </c>
      <c r="E20" s="140">
        <f t="shared" si="4"/>
        <v>0.12</v>
      </c>
      <c r="F20" s="140">
        <f t="shared" si="4"/>
        <v>0.12</v>
      </c>
      <c r="G20" s="140">
        <f t="shared" si="4"/>
        <v>0.12</v>
      </c>
      <c r="I20" s="79"/>
      <c r="J20" s="124" t="s">
        <v>26</v>
      </c>
      <c r="K20" s="131">
        <v>0.15000000000000002</v>
      </c>
      <c r="L20" s="131">
        <v>0.18000000000000002</v>
      </c>
      <c r="M20" s="131">
        <v>0.17</v>
      </c>
      <c r="N20" s="131">
        <v>0.16000000000000003</v>
      </c>
      <c r="O20" s="131">
        <v>0.14000000000000001</v>
      </c>
    </row>
    <row r="21" spans="1:15" outlineLevel="1" x14ac:dyDescent="0.2">
      <c r="A21" s="4" t="s">
        <v>160</v>
      </c>
      <c r="B21" s="145"/>
      <c r="C21" s="107"/>
      <c r="D21" s="107"/>
      <c r="E21" s="107"/>
      <c r="F21" s="107"/>
      <c r="G21" s="107"/>
      <c r="I21" s="79"/>
      <c r="J21" s="124" t="s">
        <v>27</v>
      </c>
      <c r="K21" s="131">
        <v>0.13</v>
      </c>
      <c r="L21" s="131">
        <v>0.16</v>
      </c>
      <c r="M21" s="131">
        <v>0.15</v>
      </c>
      <c r="N21" s="131">
        <v>0.14000000000000001</v>
      </c>
      <c r="O21" s="131">
        <v>0.12</v>
      </c>
    </row>
    <row r="22" spans="1:15" outlineLevel="1" x14ac:dyDescent="0.2">
      <c r="A22" s="139" t="s">
        <v>28</v>
      </c>
      <c r="B22" s="144">
        <v>2.028869286287089E-2</v>
      </c>
      <c r="C22" s="140">
        <f>CHOOSE($K$45,K10,K22,K34)</f>
        <v>0.02</v>
      </c>
      <c r="D22" s="140">
        <f t="shared" ref="D22:G22" si="5">CHOOSE($K$45,L10,L22,L34)</f>
        <v>0.02</v>
      </c>
      <c r="E22" s="140">
        <f t="shared" si="5"/>
        <v>0.02</v>
      </c>
      <c r="F22" s="140">
        <f t="shared" si="5"/>
        <v>0.02</v>
      </c>
      <c r="G22" s="140">
        <f t="shared" si="5"/>
        <v>0.02</v>
      </c>
      <c r="I22" s="79"/>
      <c r="J22" s="124" t="s">
        <v>28</v>
      </c>
      <c r="K22" s="131">
        <v>9.9999999999999985E-3</v>
      </c>
      <c r="L22" s="131">
        <v>0.01</v>
      </c>
      <c r="M22" s="131">
        <v>0.01</v>
      </c>
      <c r="N22" s="131">
        <v>0.01</v>
      </c>
      <c r="O22" s="131">
        <v>0.01</v>
      </c>
    </row>
    <row r="23" spans="1:15" outlineLevel="1" x14ac:dyDescent="0.2">
      <c r="A23" s="4" t="s">
        <v>161</v>
      </c>
      <c r="B23" s="145"/>
      <c r="C23" s="107"/>
      <c r="D23" s="107"/>
      <c r="E23" s="107"/>
      <c r="F23" s="107"/>
      <c r="G23" s="107"/>
      <c r="I23" s="111"/>
      <c r="J23" s="124" t="s">
        <v>29</v>
      </c>
      <c r="K23" s="132">
        <v>358937.60636160005</v>
      </c>
      <c r="L23" s="132">
        <v>370032.07424778998</v>
      </c>
      <c r="M23" s="132">
        <v>383580.29713632219</v>
      </c>
      <c r="N23" s="132">
        <v>400139.23622230603</v>
      </c>
      <c r="O23" s="132">
        <v>453150.42166893516</v>
      </c>
    </row>
    <row r="24" spans="1:15" outlineLevel="1" x14ac:dyDescent="0.2">
      <c r="A24" s="139" t="s">
        <v>29</v>
      </c>
      <c r="B24" s="17">
        <v>339150</v>
      </c>
      <c r="C24" s="141">
        <f>CHOOSE($K$45,K11,K23,K35)</f>
        <v>358937.60636160005</v>
      </c>
      <c r="D24" s="141">
        <f t="shared" ref="D24:G24" si="6">CHOOSE($K$45,L11,L23,L35)</f>
        <v>380473.86274329608</v>
      </c>
      <c r="E24" s="141">
        <f t="shared" si="6"/>
        <v>403302.29450789379</v>
      </c>
      <c r="F24" s="141">
        <f t="shared" si="6"/>
        <v>427500.43217836745</v>
      </c>
      <c r="G24" s="141">
        <f t="shared" si="6"/>
        <v>453150.4581090695</v>
      </c>
      <c r="I24" s="111"/>
      <c r="J24" s="124" t="s">
        <v>30</v>
      </c>
      <c r="K24" s="132">
        <v>45346.45174795897</v>
      </c>
      <c r="L24" s="132">
        <v>13240.806642941874</v>
      </c>
      <c r="M24" s="132">
        <v>0</v>
      </c>
      <c r="N24" s="132">
        <v>0</v>
      </c>
      <c r="O24" s="132">
        <v>0</v>
      </c>
    </row>
    <row r="25" spans="1:15" outlineLevel="1" x14ac:dyDescent="0.2">
      <c r="A25" s="4" t="s">
        <v>162</v>
      </c>
      <c r="B25" s="106"/>
      <c r="C25" s="109"/>
      <c r="D25" s="109"/>
      <c r="E25" s="109"/>
      <c r="F25" s="109"/>
      <c r="G25" s="109"/>
      <c r="I25" s="79"/>
      <c r="J25" s="124" t="s">
        <v>31</v>
      </c>
      <c r="K25" s="131">
        <v>0.12</v>
      </c>
      <c r="L25" s="131">
        <v>0.13</v>
      </c>
      <c r="M25" s="131">
        <v>0.15</v>
      </c>
      <c r="N25" s="131">
        <v>0.16</v>
      </c>
      <c r="O25" s="131">
        <v>0.16</v>
      </c>
    </row>
    <row r="26" spans="1:15" outlineLevel="1" x14ac:dyDescent="0.2">
      <c r="A26" s="139" t="s">
        <v>30</v>
      </c>
      <c r="B26" s="17">
        <v>32324</v>
      </c>
      <c r="C26" s="141">
        <f>CHOOSE($K$45,K12,K24,K36)</f>
        <v>60000</v>
      </c>
      <c r="D26" s="141">
        <f t="shared" ref="D26:G26" si="7">CHOOSE($K$45,L12,L24,L36)</f>
        <v>34000</v>
      </c>
      <c r="E26" s="141">
        <f t="shared" si="7"/>
        <v>34000</v>
      </c>
      <c r="F26" s="141">
        <f t="shared" si="7"/>
        <v>34000</v>
      </c>
      <c r="G26" s="141">
        <f t="shared" si="7"/>
        <v>34000</v>
      </c>
      <c r="J26" s="124"/>
      <c r="K26" s="129"/>
      <c r="L26" s="129"/>
      <c r="M26" s="133"/>
      <c r="N26" s="133"/>
      <c r="O26" s="133"/>
    </row>
    <row r="27" spans="1:15" outlineLevel="1" x14ac:dyDescent="0.2">
      <c r="A27" s="4" t="s">
        <v>163</v>
      </c>
      <c r="B27" s="106"/>
      <c r="C27" s="109"/>
      <c r="D27" s="109"/>
      <c r="E27" s="109"/>
      <c r="F27" s="109"/>
      <c r="G27" s="109"/>
      <c r="J27" s="149" t="s">
        <v>198</v>
      </c>
      <c r="K27" s="149"/>
      <c r="L27" s="149"/>
      <c r="M27" s="149"/>
      <c r="N27" s="149"/>
      <c r="O27" s="149"/>
    </row>
    <row r="28" spans="1:15" outlineLevel="1" x14ac:dyDescent="0.2">
      <c r="A28" s="139" t="s">
        <v>31</v>
      </c>
      <c r="B28" s="144">
        <v>0.13</v>
      </c>
      <c r="C28" s="140">
        <f>CHOOSE($K$45,K13,K25,K37)</f>
        <v>0.16</v>
      </c>
      <c r="D28" s="140">
        <f t="shared" ref="D28:G28" si="8">CHOOSE($K$45,L13,L25,L37)</f>
        <v>0.16</v>
      </c>
      <c r="E28" s="140">
        <f t="shared" si="8"/>
        <v>0.16</v>
      </c>
      <c r="F28" s="140">
        <f t="shared" si="8"/>
        <v>0.16</v>
      </c>
      <c r="G28" s="140">
        <f t="shared" si="8"/>
        <v>0.16</v>
      </c>
      <c r="J28" s="122" t="s">
        <v>196</v>
      </c>
      <c r="K28" s="123">
        <v>2023</v>
      </c>
      <c r="L28" s="123">
        <v>2024</v>
      </c>
      <c r="M28" s="123">
        <v>2025</v>
      </c>
      <c r="N28" s="123">
        <v>2026</v>
      </c>
      <c r="O28" s="123">
        <v>2027</v>
      </c>
    </row>
    <row r="29" spans="1:15" outlineLevel="1" x14ac:dyDescent="0.2">
      <c r="A29" t="s">
        <v>32</v>
      </c>
      <c r="B29" s="29">
        <v>0.03</v>
      </c>
      <c r="C29" s="18">
        <v>0.03</v>
      </c>
      <c r="D29" s="18">
        <v>0.05</v>
      </c>
      <c r="E29" s="18">
        <v>7.0000000000000007E-2</v>
      </c>
      <c r="F29" s="18">
        <v>7.0000000000000007E-2</v>
      </c>
      <c r="G29" s="18">
        <v>7.0000000000000007E-2</v>
      </c>
      <c r="I29" s="79"/>
      <c r="J29" s="124" t="s">
        <v>19</v>
      </c>
      <c r="K29" s="131">
        <v>0</v>
      </c>
      <c r="L29" s="131">
        <v>1.0000000000000009E-2</v>
      </c>
      <c r="M29" s="131">
        <v>9.999999999999995E-3</v>
      </c>
      <c r="N29" s="131">
        <v>2.0000000000000004E-2</v>
      </c>
      <c r="O29" s="131">
        <v>0.04</v>
      </c>
    </row>
    <row r="30" spans="1:15" outlineLevel="1" x14ac:dyDescent="0.2">
      <c r="A30" t="s">
        <v>33</v>
      </c>
      <c r="B30" s="29">
        <v>0.02</v>
      </c>
      <c r="C30" s="18">
        <v>0.02</v>
      </c>
      <c r="D30" s="18">
        <v>0.02</v>
      </c>
      <c r="E30" s="18">
        <v>0.02</v>
      </c>
      <c r="F30" s="18">
        <v>0.02</v>
      </c>
      <c r="G30" s="18">
        <v>0.02</v>
      </c>
      <c r="I30" s="79"/>
      <c r="J30" s="124" t="s">
        <v>1</v>
      </c>
      <c r="K30" s="131">
        <v>0.36</v>
      </c>
      <c r="L30" s="131">
        <v>0.36</v>
      </c>
      <c r="M30" s="131">
        <v>0.35000000000000003</v>
      </c>
      <c r="N30" s="131">
        <v>0.33999999999999997</v>
      </c>
      <c r="O30" s="131">
        <v>0.32999999999999996</v>
      </c>
    </row>
    <row r="31" spans="1:15" outlineLevel="1" x14ac:dyDescent="0.2">
      <c r="A31" t="s">
        <v>34</v>
      </c>
      <c r="B31" s="29">
        <v>0.02</v>
      </c>
      <c r="C31" s="18">
        <v>0.02</v>
      </c>
      <c r="D31" s="18">
        <v>0.02</v>
      </c>
      <c r="E31" s="18">
        <v>0.02</v>
      </c>
      <c r="F31" s="18">
        <v>0.02</v>
      </c>
      <c r="G31" s="18">
        <v>0.02</v>
      </c>
      <c r="I31" s="111"/>
      <c r="J31" s="124" t="s">
        <v>3</v>
      </c>
      <c r="K31" s="132">
        <v>11800</v>
      </c>
      <c r="L31" s="132">
        <v>0</v>
      </c>
      <c r="M31" s="132">
        <v>0</v>
      </c>
      <c r="N31" s="132">
        <v>31243.243243243243</v>
      </c>
      <c r="O31" s="132">
        <v>68000</v>
      </c>
    </row>
    <row r="32" spans="1:15" outlineLevel="1" x14ac:dyDescent="0.2">
      <c r="A32" s="4" t="s">
        <v>164</v>
      </c>
      <c r="B32" s="108"/>
      <c r="C32" s="107"/>
      <c r="D32" s="107"/>
      <c r="E32" s="107"/>
      <c r="F32" s="107"/>
      <c r="G32" s="107"/>
      <c r="I32" s="79"/>
      <c r="J32" s="124" t="s">
        <v>26</v>
      </c>
      <c r="K32" s="131">
        <v>0.17000000000000004</v>
      </c>
      <c r="L32" s="131">
        <v>0.2</v>
      </c>
      <c r="M32" s="131">
        <v>0.19</v>
      </c>
      <c r="N32" s="131">
        <v>0.19000000000000003</v>
      </c>
      <c r="O32" s="131">
        <v>0.17</v>
      </c>
    </row>
    <row r="33" spans="1:15" outlineLevel="1" x14ac:dyDescent="0.2">
      <c r="A33" t="s">
        <v>35</v>
      </c>
      <c r="B33" s="29">
        <v>2.8668805132317562E-2</v>
      </c>
      <c r="C33" s="18">
        <v>0.03</v>
      </c>
      <c r="D33" s="18">
        <v>0.03</v>
      </c>
      <c r="E33" s="18">
        <v>0.03</v>
      </c>
      <c r="F33" s="18">
        <v>0.03</v>
      </c>
      <c r="G33" s="18">
        <v>0.03</v>
      </c>
      <c r="I33" s="79"/>
      <c r="J33" s="124" t="s">
        <v>27</v>
      </c>
      <c r="K33" s="131">
        <v>0.15000000000000002</v>
      </c>
      <c r="L33" s="131">
        <v>0.18</v>
      </c>
      <c r="M33" s="131">
        <v>0.18</v>
      </c>
      <c r="N33" s="131">
        <v>0.16999999999999998</v>
      </c>
      <c r="O33" s="131">
        <v>0.14000000000000001</v>
      </c>
    </row>
    <row r="34" spans="1:15" outlineLevel="1" x14ac:dyDescent="0.2">
      <c r="A34" s="4" t="s">
        <v>165</v>
      </c>
      <c r="B34" s="108"/>
      <c r="C34" s="107"/>
      <c r="D34" s="107"/>
      <c r="E34" s="107"/>
      <c r="F34" s="107"/>
      <c r="G34" s="107"/>
      <c r="I34" s="79"/>
      <c r="J34" s="124" t="s">
        <v>28</v>
      </c>
      <c r="K34" s="131">
        <v>0</v>
      </c>
      <c r="L34" s="131">
        <v>0</v>
      </c>
      <c r="M34" s="131">
        <v>0</v>
      </c>
      <c r="N34" s="131">
        <v>0</v>
      </c>
      <c r="O34" s="131">
        <v>0</v>
      </c>
    </row>
    <row r="35" spans="1:15" outlineLevel="1" x14ac:dyDescent="0.2">
      <c r="A35" t="s">
        <v>36</v>
      </c>
      <c r="B35" s="19"/>
      <c r="C35" s="19">
        <v>165000</v>
      </c>
      <c r="D35" s="19">
        <v>165000</v>
      </c>
      <c r="E35" s="19">
        <v>165000</v>
      </c>
      <c r="F35" s="19">
        <v>165000</v>
      </c>
      <c r="G35" s="19">
        <v>165000</v>
      </c>
      <c r="I35" s="111"/>
      <c r="J35" s="124" t="s">
        <v>29</v>
      </c>
      <c r="K35" s="132">
        <v>358937.60636160005</v>
      </c>
      <c r="L35" s="132">
        <v>365515.99995161261</v>
      </c>
      <c r="M35" s="132">
        <v>368526.71614906413</v>
      </c>
      <c r="N35" s="132">
        <v>371537.43234651576</v>
      </c>
      <c r="O35" s="132">
        <v>404655.3105184834</v>
      </c>
    </row>
    <row r="36" spans="1:15" outlineLevel="1" x14ac:dyDescent="0.2">
      <c r="A36" t="s">
        <v>166</v>
      </c>
      <c r="B36" s="109"/>
      <c r="C36" s="109"/>
      <c r="D36" s="109"/>
      <c r="E36" s="109"/>
      <c r="F36" s="109"/>
      <c r="G36" s="109"/>
      <c r="I36" s="111"/>
      <c r="J36" s="124" t="s">
        <v>30</v>
      </c>
      <c r="K36" s="132">
        <v>29646.221477915009</v>
      </c>
      <c r="L36" s="132">
        <v>0</v>
      </c>
      <c r="M36" s="132">
        <v>0</v>
      </c>
      <c r="N36" s="132">
        <v>0</v>
      </c>
      <c r="O36" s="132">
        <v>0</v>
      </c>
    </row>
    <row r="37" spans="1:15" outlineLevel="1" x14ac:dyDescent="0.2">
      <c r="A37" t="s">
        <v>37</v>
      </c>
      <c r="B37" s="17">
        <v>0</v>
      </c>
      <c r="C37" s="19">
        <v>5000</v>
      </c>
      <c r="D37" s="19"/>
      <c r="E37" s="19"/>
      <c r="F37" s="19"/>
      <c r="G37" s="19"/>
      <c r="I37" s="79"/>
      <c r="J37" s="124" t="s">
        <v>31</v>
      </c>
      <c r="K37" s="131">
        <v>0.08</v>
      </c>
      <c r="L37" s="131">
        <v>0.09</v>
      </c>
      <c r="M37" s="131">
        <v>0.1</v>
      </c>
      <c r="N37" s="131">
        <v>0.12</v>
      </c>
      <c r="O37" s="131">
        <v>0.14000000000000001</v>
      </c>
    </row>
    <row r="38" spans="1:15" ht="15.75" outlineLevel="1" x14ac:dyDescent="0.25">
      <c r="A38" t="s">
        <v>167</v>
      </c>
      <c r="B38" s="106"/>
      <c r="C38" s="109"/>
      <c r="D38" s="109"/>
      <c r="E38" s="109"/>
      <c r="F38" s="109"/>
      <c r="G38" s="109"/>
      <c r="J38" s="124"/>
      <c r="K38" s="129"/>
      <c r="L38" s="129"/>
      <c r="M38" s="130"/>
      <c r="N38" s="130"/>
      <c r="O38" s="130"/>
    </row>
    <row r="39" spans="1:15" outlineLevel="1" x14ac:dyDescent="0.2">
      <c r="A39" t="s">
        <v>38</v>
      </c>
      <c r="B39" s="29">
        <v>0.52</v>
      </c>
      <c r="C39" s="18">
        <v>0.52</v>
      </c>
      <c r="D39" s="18">
        <v>0.52</v>
      </c>
      <c r="E39" s="18">
        <v>0.52</v>
      </c>
      <c r="F39" s="18">
        <v>0.52</v>
      </c>
      <c r="G39" s="18">
        <v>0.52</v>
      </c>
      <c r="J39" s="134" t="s">
        <v>199</v>
      </c>
      <c r="K39" s="135" t="s">
        <v>200</v>
      </c>
      <c r="L39" s="136"/>
      <c r="M39" s="136"/>
      <c r="N39" s="136"/>
      <c r="O39" s="136"/>
    </row>
    <row r="40" spans="1:15" outlineLevel="1" x14ac:dyDescent="0.2">
      <c r="A40" t="s">
        <v>39</v>
      </c>
      <c r="C40" s="66">
        <v>8.6999999999999994E-2</v>
      </c>
      <c r="D40" s="66">
        <v>8.6999999999999994E-2</v>
      </c>
      <c r="E40" s="66">
        <v>8.6999999999999994E-2</v>
      </c>
      <c r="F40" s="66">
        <v>8.6999999999999994E-2</v>
      </c>
      <c r="G40" s="66">
        <v>8.6999999999999994E-2</v>
      </c>
      <c r="J40" s="124" t="s">
        <v>201</v>
      </c>
      <c r="K40" s="135">
        <v>1</v>
      </c>
      <c r="L40" s="137"/>
      <c r="M40" s="137"/>
      <c r="N40" s="137"/>
      <c r="O40" s="137"/>
    </row>
    <row r="41" spans="1:15" outlineLevel="1" x14ac:dyDescent="0.2">
      <c r="A41" t="s">
        <v>79</v>
      </c>
      <c r="C41" s="18">
        <v>0.02</v>
      </c>
      <c r="D41" s="18">
        <v>0.02</v>
      </c>
      <c r="E41" s="18">
        <v>0.02</v>
      </c>
      <c r="F41" s="18">
        <v>0.02</v>
      </c>
      <c r="G41" s="18">
        <v>0.02</v>
      </c>
      <c r="J41" s="124" t="s">
        <v>202</v>
      </c>
      <c r="K41" s="135">
        <v>2</v>
      </c>
      <c r="L41" s="137"/>
      <c r="M41" s="137"/>
      <c r="N41" s="137"/>
      <c r="O41" s="137"/>
    </row>
    <row r="42" spans="1:15" ht="15.75" outlineLevel="1" x14ac:dyDescent="0.25">
      <c r="D42" s="18"/>
      <c r="E42" s="18"/>
      <c r="F42" s="18"/>
      <c r="G42" s="18"/>
      <c r="J42" s="124" t="s">
        <v>203</v>
      </c>
      <c r="K42" s="135">
        <v>3</v>
      </c>
      <c r="L42" s="129"/>
      <c r="M42" s="130"/>
      <c r="N42" s="130"/>
      <c r="O42" s="130"/>
    </row>
    <row r="43" spans="1:15" ht="15.75" x14ac:dyDescent="0.25">
      <c r="D43" s="18"/>
      <c r="E43" s="18"/>
      <c r="F43" s="18"/>
      <c r="G43" s="18"/>
      <c r="J43" s="124"/>
      <c r="K43" s="129"/>
      <c r="L43" s="129"/>
      <c r="M43" s="130"/>
      <c r="N43" s="130"/>
      <c r="O43" s="130"/>
    </row>
    <row r="44" spans="1:15" ht="15.75" x14ac:dyDescent="0.25">
      <c r="A44" s="39" t="s">
        <v>80</v>
      </c>
      <c r="B44" s="39"/>
      <c r="C44" s="39"/>
      <c r="D44" s="39"/>
      <c r="E44" s="39"/>
      <c r="F44" s="39"/>
      <c r="G44" s="39"/>
      <c r="H44" s="39"/>
      <c r="J44" s="134" t="s">
        <v>204</v>
      </c>
      <c r="K44" s="129"/>
      <c r="L44" s="129"/>
      <c r="M44" s="130"/>
      <c r="N44" s="130"/>
      <c r="O44" s="130"/>
    </row>
    <row r="45" spans="1:15" ht="15.75" outlineLevel="1" x14ac:dyDescent="0.25">
      <c r="J45" s="124" t="s">
        <v>205</v>
      </c>
      <c r="K45" s="138">
        <v>1</v>
      </c>
      <c r="L45" s="129"/>
      <c r="M45" s="130"/>
      <c r="N45" s="130"/>
      <c r="O45" s="130"/>
    </row>
    <row r="46" spans="1:15" outlineLevel="1" x14ac:dyDescent="0.2">
      <c r="A46" s="3" t="s">
        <v>4</v>
      </c>
      <c r="B46" s="28">
        <f>$B$3</f>
        <v>2022</v>
      </c>
      <c r="C46" s="41">
        <f>$C$3</f>
        <v>2023</v>
      </c>
      <c r="D46" s="41">
        <f>$D$3</f>
        <v>2024</v>
      </c>
      <c r="E46" s="41">
        <f>$E$3</f>
        <v>2025</v>
      </c>
      <c r="F46" s="41">
        <f>$F$3</f>
        <v>2026</v>
      </c>
      <c r="G46" s="41">
        <f>$G$3</f>
        <v>2027</v>
      </c>
    </row>
    <row r="47" spans="1:15" outlineLevel="1" x14ac:dyDescent="0.2"/>
    <row r="48" spans="1:15" outlineLevel="1" x14ac:dyDescent="0.2">
      <c r="A48" s="4" t="s">
        <v>0</v>
      </c>
      <c r="B48" s="25">
        <v>748200</v>
      </c>
      <c r="C48" s="1">
        <f>B48*(1+C5)</f>
        <v>793092</v>
      </c>
      <c r="D48" s="1">
        <f>C48*(1+D5)</f>
        <v>856539.3600000001</v>
      </c>
      <c r="E48" s="1">
        <f>D48*(1+E5)</f>
        <v>925062.50880000019</v>
      </c>
      <c r="F48" s="1">
        <f>E48*(1+F5)</f>
        <v>989816.88441600022</v>
      </c>
      <c r="G48" s="1">
        <f>F48*(1+G5)</f>
        <v>1049205.8974809602</v>
      </c>
    </row>
    <row r="49" spans="1:10" outlineLevel="1" x14ac:dyDescent="0.2">
      <c r="A49" s="4" t="s">
        <v>5</v>
      </c>
      <c r="B49" s="25">
        <v>231942</v>
      </c>
      <c r="C49" s="1">
        <f>C48*C7</f>
        <v>245858.52</v>
      </c>
      <c r="D49" s="1">
        <f>D48*D7</f>
        <v>265527.20160000003</v>
      </c>
      <c r="E49" s="1">
        <f>E48*E7</f>
        <v>277518.75264000002</v>
      </c>
      <c r="F49" s="1">
        <f>F48*F7</f>
        <v>287046.89648064005</v>
      </c>
      <c r="G49" s="1">
        <f>G48*G7</f>
        <v>304269.71026947844</v>
      </c>
    </row>
    <row r="50" spans="1:10" outlineLevel="1" x14ac:dyDescent="0.2">
      <c r="A50" s="5" t="s">
        <v>14</v>
      </c>
      <c r="B50" s="10">
        <f t="shared" ref="B50:G50" si="9">B48-B49</f>
        <v>516258</v>
      </c>
      <c r="C50" s="10">
        <f t="shared" si="9"/>
        <v>547233.48</v>
      </c>
      <c r="D50" s="10">
        <f t="shared" si="9"/>
        <v>591012.15840000007</v>
      </c>
      <c r="E50" s="10">
        <f t="shared" si="9"/>
        <v>647543.75616000011</v>
      </c>
      <c r="F50" s="10">
        <f t="shared" si="9"/>
        <v>702769.98793536017</v>
      </c>
      <c r="G50" s="10">
        <f t="shared" si="9"/>
        <v>744936.18721148185</v>
      </c>
    </row>
    <row r="51" spans="1:10" outlineLevel="1" x14ac:dyDescent="0.2">
      <c r="A51" s="4" t="s">
        <v>43</v>
      </c>
      <c r="B51" s="25">
        <v>104748</v>
      </c>
      <c r="C51" s="1">
        <f>C48*C8</f>
        <v>103101.96</v>
      </c>
      <c r="D51" s="1">
        <f>D48*D8</f>
        <v>111350.11680000002</v>
      </c>
      <c r="E51" s="1">
        <f>E48*E8</f>
        <v>120258.12614400002</v>
      </c>
      <c r="F51" s="1">
        <f>F48*F8</f>
        <v>118778.02612992002</v>
      </c>
      <c r="G51" s="1">
        <f>G48*G8</f>
        <v>125904.70769771522</v>
      </c>
    </row>
    <row r="52" spans="1:10" outlineLevel="1" x14ac:dyDescent="0.2">
      <c r="A52" s="4" t="s">
        <v>44</v>
      </c>
      <c r="B52" s="25">
        <v>284316</v>
      </c>
      <c r="C52" s="1">
        <f>C48*C9</f>
        <v>309305.88</v>
      </c>
      <c r="D52" s="1">
        <f>D48*D9</f>
        <v>334050.35040000005</v>
      </c>
      <c r="E52" s="1">
        <f>E48*E9</f>
        <v>351523.75334400008</v>
      </c>
      <c r="F52" s="1">
        <f>F48*F9</f>
        <v>356334.07838976005</v>
      </c>
      <c r="G52" s="1">
        <f>G48*G9</f>
        <v>367222.06411833607</v>
      </c>
    </row>
    <row r="53" spans="1:10" outlineLevel="1" x14ac:dyDescent="0.2">
      <c r="A53" s="4" t="s">
        <v>45</v>
      </c>
      <c r="B53" s="25">
        <v>59856</v>
      </c>
      <c r="C53" s="1">
        <f>C48*C10</f>
        <v>71378.28</v>
      </c>
      <c r="D53" s="1">
        <f>D48*D10</f>
        <v>77088.542400000006</v>
      </c>
      <c r="E53" s="1">
        <f>E48*E10</f>
        <v>74005.00070400002</v>
      </c>
      <c r="F53" s="1">
        <f>F48*F10</f>
        <v>69287.181909120016</v>
      </c>
      <c r="G53" s="1">
        <f>G48*G10</f>
        <v>62952.353848857609</v>
      </c>
      <c r="J53" s="116"/>
    </row>
    <row r="54" spans="1:10" outlineLevel="1" x14ac:dyDescent="0.2">
      <c r="A54" s="5" t="s">
        <v>15</v>
      </c>
      <c r="B54" s="10">
        <f t="shared" ref="B54:G54" si="10">B50-B51-B52-B53</f>
        <v>67338</v>
      </c>
      <c r="C54" s="10">
        <f t="shared" si="10"/>
        <v>63447.359999999957</v>
      </c>
      <c r="D54" s="10">
        <f t="shared" si="10"/>
        <v>68523.148799999995</v>
      </c>
      <c r="E54" s="10">
        <f t="shared" si="10"/>
        <v>101756.87596800002</v>
      </c>
      <c r="F54" s="10">
        <f t="shared" si="10"/>
        <v>158370.70150656009</v>
      </c>
      <c r="G54" s="10">
        <f t="shared" si="10"/>
        <v>188857.06154657292</v>
      </c>
    </row>
    <row r="55" spans="1:10" outlineLevel="1" x14ac:dyDescent="0.2">
      <c r="A55" s="4" t="s">
        <v>168</v>
      </c>
      <c r="B55" s="105"/>
      <c r="C55" s="22">
        <f>-C48*C16</f>
        <v>0</v>
      </c>
      <c r="D55" s="22">
        <f>-D48*D16</f>
        <v>0</v>
      </c>
      <c r="E55" s="22">
        <f>-E48*E16</f>
        <v>0</v>
      </c>
      <c r="F55" s="22">
        <f>-F48*F16</f>
        <v>0</v>
      </c>
      <c r="G55" s="22">
        <f>-G48*G16</f>
        <v>0</v>
      </c>
    </row>
    <row r="56" spans="1:10" outlineLevel="1" x14ac:dyDescent="0.2">
      <c r="A56" s="4" t="s">
        <v>169</v>
      </c>
      <c r="B56" s="105"/>
      <c r="C56" s="22">
        <f>C48*C17</f>
        <v>0</v>
      </c>
      <c r="D56" s="22">
        <f>D48*D17</f>
        <v>0</v>
      </c>
      <c r="E56" s="22">
        <f>E48*E17</f>
        <v>0</v>
      </c>
      <c r="F56" s="22">
        <f>F48*F17</f>
        <v>0</v>
      </c>
      <c r="G56" s="22">
        <f>G48*G17</f>
        <v>0</v>
      </c>
    </row>
    <row r="57" spans="1:10" outlineLevel="1" x14ac:dyDescent="0.2">
      <c r="A57" s="4" t="s">
        <v>13</v>
      </c>
      <c r="B57" s="25">
        <v>8000</v>
      </c>
      <c r="C57" s="1">
        <f>C13</f>
        <v>8800</v>
      </c>
      <c r="D57" s="1">
        <f>D13</f>
        <v>8800</v>
      </c>
      <c r="E57" s="1">
        <f>E13</f>
        <v>8800</v>
      </c>
      <c r="F57" s="1">
        <f>F13</f>
        <v>8800</v>
      </c>
      <c r="G57" s="1">
        <f>G13</f>
        <v>8800</v>
      </c>
      <c r="I57" s="1"/>
      <c r="J57" s="1"/>
    </row>
    <row r="58" spans="1:10" outlineLevel="1" x14ac:dyDescent="0.2">
      <c r="A58" s="4" t="s">
        <v>46</v>
      </c>
      <c r="B58" s="1"/>
      <c r="C58" s="1">
        <f ca="1">C83*C11-C70*C11*C12</f>
        <v>1618.8694611732044</v>
      </c>
      <c r="D58" s="1">
        <f ca="1">D83*D11-D70*D11*D12</f>
        <v>2969.9758750947494</v>
      </c>
      <c r="E58" s="1">
        <f ca="1">E83*E11-E70*E11*E12</f>
        <v>2278.1183821357322</v>
      </c>
      <c r="F58" s="1">
        <f ca="1">F83*F11-F70*F11*F12</f>
        <v>1201.792239980912</v>
      </c>
      <c r="G58" s="1">
        <f ca="1">G83*G11-G70*G11*G12</f>
        <v>-40.611111253802662</v>
      </c>
      <c r="I58" s="1"/>
    </row>
    <row r="59" spans="1:10" outlineLevel="1" x14ac:dyDescent="0.2">
      <c r="A59" s="5" t="s">
        <v>6</v>
      </c>
      <c r="B59" s="10">
        <f>B54-B57-B58-B55-B56</f>
        <v>59338</v>
      </c>
      <c r="C59" s="10">
        <f ca="1">C54-C57-C58-C55-C56</f>
        <v>53028.490538826751</v>
      </c>
      <c r="D59" s="10">
        <f t="shared" ref="D59:G59" ca="1" si="11">D54-D57-D58-D55-D56</f>
        <v>56753.172924905244</v>
      </c>
      <c r="E59" s="10">
        <f t="shared" ca="1" si="11"/>
        <v>90678.757585864296</v>
      </c>
      <c r="F59" s="10">
        <f t="shared" ca="1" si="11"/>
        <v>148368.90926657917</v>
      </c>
      <c r="G59" s="10">
        <f t="shared" ca="1" si="11"/>
        <v>180097.67265782671</v>
      </c>
    </row>
    <row r="60" spans="1:10" outlineLevel="1" x14ac:dyDescent="0.2">
      <c r="A60" s="6" t="s">
        <v>7</v>
      </c>
      <c r="B60" s="26">
        <v>16615</v>
      </c>
      <c r="C60" s="11">
        <f ca="1">C59*C14</f>
        <v>13257.122634706688</v>
      </c>
      <c r="D60" s="11">
        <f ca="1">D59*D14</f>
        <v>14188.293231226311</v>
      </c>
      <c r="E60" s="11">
        <f ca="1">E59*E14</f>
        <v>22669.689396466074</v>
      </c>
      <c r="F60" s="11">
        <f ca="1">F59*F14</f>
        <v>37092.227316644792</v>
      </c>
      <c r="G60" s="11">
        <f ca="1">G59*G14</f>
        <v>45024.418164456678</v>
      </c>
      <c r="I60" s="13"/>
    </row>
    <row r="61" spans="1:10" ht="15.75" outlineLevel="1" thickBot="1" x14ac:dyDescent="0.25">
      <c r="A61" s="7" t="s">
        <v>8</v>
      </c>
      <c r="B61" s="12">
        <f t="shared" ref="B61:G61" si="12">B59-B60</f>
        <v>42723</v>
      </c>
      <c r="C61" s="12">
        <f t="shared" ca="1" si="12"/>
        <v>39771.367904120067</v>
      </c>
      <c r="D61" s="12">
        <f t="shared" ca="1" si="12"/>
        <v>42564.879693678929</v>
      </c>
      <c r="E61" s="12">
        <f t="shared" ca="1" si="12"/>
        <v>68009.068189398226</v>
      </c>
      <c r="F61" s="12">
        <f t="shared" ca="1" si="12"/>
        <v>111276.68194993437</v>
      </c>
      <c r="G61" s="12">
        <f t="shared" ca="1" si="12"/>
        <v>135073.25449337004</v>
      </c>
      <c r="I61" s="79"/>
    </row>
    <row r="62" spans="1:10" ht="15.75" outlineLevel="1" thickTop="1" x14ac:dyDescent="0.2">
      <c r="A62" s="4" t="s">
        <v>3</v>
      </c>
      <c r="B62" s="25">
        <v>21800</v>
      </c>
      <c r="C62" s="1">
        <f>C15</f>
        <v>21800</v>
      </c>
      <c r="D62" s="1">
        <f>D15</f>
        <v>25000</v>
      </c>
      <c r="E62" s="1">
        <f>E15</f>
        <v>41000</v>
      </c>
      <c r="F62" s="1">
        <f>F15</f>
        <v>68000</v>
      </c>
      <c r="G62" s="1">
        <f>G15</f>
        <v>84000</v>
      </c>
      <c r="I62" s="79"/>
    </row>
    <row r="63" spans="1:10" outlineLevel="1" x14ac:dyDescent="0.2">
      <c r="A63" s="4" t="s">
        <v>47</v>
      </c>
      <c r="B63" s="112">
        <f t="shared" ref="B63:G63" si="13">B61-B62</f>
        <v>20923</v>
      </c>
      <c r="C63" s="1">
        <f t="shared" ca="1" si="13"/>
        <v>17971.367904120067</v>
      </c>
      <c r="D63" s="1">
        <f t="shared" ca="1" si="13"/>
        <v>17564.879693678929</v>
      </c>
      <c r="E63" s="1">
        <f t="shared" ca="1" si="13"/>
        <v>27009.068189398226</v>
      </c>
      <c r="F63" s="1">
        <f t="shared" ca="1" si="13"/>
        <v>43276.681949934369</v>
      </c>
      <c r="G63" s="1">
        <f t="shared" ca="1" si="13"/>
        <v>51073.254493370041</v>
      </c>
      <c r="I63" s="79"/>
    </row>
    <row r="64" spans="1:10" outlineLevel="1" x14ac:dyDescent="0.2">
      <c r="A64" s="4"/>
      <c r="B64" s="25"/>
      <c r="C64" s="1"/>
      <c r="D64" s="1"/>
      <c r="E64" s="1"/>
      <c r="F64" s="1"/>
      <c r="G64" s="1"/>
      <c r="I64" s="1"/>
    </row>
    <row r="65" spans="1:8" x14ac:dyDescent="0.2">
      <c r="A65" s="4"/>
      <c r="B65" s="25"/>
      <c r="C65" s="1"/>
      <c r="D65" s="1"/>
      <c r="E65" s="1"/>
      <c r="F65" s="1"/>
      <c r="G65" s="1"/>
    </row>
    <row r="66" spans="1:8" x14ac:dyDescent="0.2">
      <c r="A66" s="39" t="s">
        <v>81</v>
      </c>
      <c r="B66" s="39"/>
      <c r="C66" s="39"/>
      <c r="D66" s="39"/>
      <c r="E66" s="39"/>
      <c r="F66" s="39"/>
      <c r="G66" s="39"/>
      <c r="H66" s="39"/>
    </row>
    <row r="67" spans="1:8" outlineLevel="1" x14ac:dyDescent="0.2">
      <c r="A67" s="8"/>
    </row>
    <row r="68" spans="1:8" outlineLevel="1" x14ac:dyDescent="0.2">
      <c r="A68" s="3" t="s">
        <v>9</v>
      </c>
      <c r="B68" s="28">
        <f>$B$3</f>
        <v>2022</v>
      </c>
      <c r="C68" s="41">
        <f>$C$3</f>
        <v>2023</v>
      </c>
      <c r="D68" s="41">
        <f>$D$3</f>
        <v>2024</v>
      </c>
      <c r="E68" s="41">
        <f>$E$3</f>
        <v>2025</v>
      </c>
      <c r="F68" s="41">
        <f>$F$3</f>
        <v>2026</v>
      </c>
      <c r="G68" s="41">
        <f>$G$3</f>
        <v>2027</v>
      </c>
    </row>
    <row r="69" spans="1:8" outlineLevel="1" x14ac:dyDescent="0.2">
      <c r="A69" s="3"/>
    </row>
    <row r="70" spans="1:8" outlineLevel="1" x14ac:dyDescent="0.2">
      <c r="A70" s="4" t="s">
        <v>61</v>
      </c>
      <c r="B70" s="1"/>
      <c r="C70" s="1">
        <f ca="1">IF(C104&lt;0,-C104,0)</f>
        <v>0</v>
      </c>
      <c r="D70" s="1">
        <f ca="1">IF(D104&lt;0,-D104,0)</f>
        <v>0</v>
      </c>
      <c r="E70" s="1">
        <f ca="1">IF(E104&lt;0,-E104,0)</f>
        <v>0</v>
      </c>
      <c r="F70" s="1">
        <f ca="1">IF(F104&lt;0,-F104,0)</f>
        <v>0</v>
      </c>
      <c r="G70" s="1">
        <f ca="1">IF(G104&lt;0,-G104,0)</f>
        <v>1128.0864237167407</v>
      </c>
    </row>
    <row r="71" spans="1:8" outlineLevel="1" x14ac:dyDescent="0.2">
      <c r="A71" s="4" t="s">
        <v>48</v>
      </c>
      <c r="B71" s="25">
        <v>89784</v>
      </c>
      <c r="C71" s="1">
        <f>C48*C18</f>
        <v>95171.04</v>
      </c>
      <c r="D71" s="1">
        <f>D48*D18</f>
        <v>111350.11680000002</v>
      </c>
      <c r="E71" s="1">
        <f>E48*E18</f>
        <v>129508.75123200004</v>
      </c>
      <c r="F71" s="1">
        <f>F48*F18</f>
        <v>138574.36381824003</v>
      </c>
      <c r="G71" s="1">
        <f>G48*G18</f>
        <v>146888.82564733445</v>
      </c>
    </row>
    <row r="72" spans="1:8" outlineLevel="1" x14ac:dyDescent="0.2">
      <c r="A72" s="4" t="s">
        <v>49</v>
      </c>
      <c r="B72" s="118">
        <v>75100</v>
      </c>
      <c r="C72" s="1">
        <f>C48*C19</f>
        <v>95171.04</v>
      </c>
      <c r="D72" s="1">
        <f>D48*D19</f>
        <v>119915.51040000003</v>
      </c>
      <c r="E72" s="1">
        <f>E48*E19</f>
        <v>129508.75123200004</v>
      </c>
      <c r="F72" s="1">
        <f>F48*F19</f>
        <v>138574.36381824003</v>
      </c>
      <c r="G72" s="1">
        <f>G48*G19</f>
        <v>146888.82564733445</v>
      </c>
    </row>
    <row r="73" spans="1:8" outlineLevel="1" x14ac:dyDescent="0.2">
      <c r="A73" s="4" t="s">
        <v>50</v>
      </c>
      <c r="B73" s="118">
        <v>61840</v>
      </c>
      <c r="C73" s="1">
        <f>C48*C20</f>
        <v>79309.200000000012</v>
      </c>
      <c r="D73" s="1">
        <f>D48*D20</f>
        <v>102784.72320000001</v>
      </c>
      <c r="E73" s="1">
        <f>E48*E20</f>
        <v>111007.50105600002</v>
      </c>
      <c r="F73" s="1">
        <f>F48*F20</f>
        <v>118778.02612992002</v>
      </c>
      <c r="G73" s="1">
        <f>G48*G20</f>
        <v>125904.70769771522</v>
      </c>
    </row>
    <row r="74" spans="1:8" outlineLevel="1" x14ac:dyDescent="0.2">
      <c r="A74" s="4" t="s">
        <v>170</v>
      </c>
      <c r="B74" s="118"/>
      <c r="C74" s="1">
        <f>C48*C21</f>
        <v>0</v>
      </c>
      <c r="D74" s="1">
        <f>D48*D21</f>
        <v>0</v>
      </c>
      <c r="E74" s="1">
        <f>E48*E21</f>
        <v>0</v>
      </c>
      <c r="F74" s="1">
        <f>F48*F21</f>
        <v>0</v>
      </c>
      <c r="G74" s="1">
        <f>G48*G21</f>
        <v>0</v>
      </c>
    </row>
    <row r="75" spans="1:8" outlineLevel="1" x14ac:dyDescent="0.2">
      <c r="A75" s="4" t="s">
        <v>51</v>
      </c>
      <c r="B75" s="118">
        <v>15180</v>
      </c>
      <c r="C75" s="1">
        <f>C48*C22</f>
        <v>15861.84</v>
      </c>
      <c r="D75" s="1">
        <f>D48*D22</f>
        <v>17130.787200000002</v>
      </c>
      <c r="E75" s="1">
        <f>E48*E22</f>
        <v>18501.250176000005</v>
      </c>
      <c r="F75" s="1">
        <f>F48*F22</f>
        <v>19796.337688320004</v>
      </c>
      <c r="G75" s="1">
        <f>G48*G22</f>
        <v>20984.117949619205</v>
      </c>
    </row>
    <row r="76" spans="1:8" outlineLevel="1" x14ac:dyDescent="0.2">
      <c r="A76" s="4" t="s">
        <v>171</v>
      </c>
      <c r="B76" s="118"/>
      <c r="C76" s="1">
        <f>C48*C23</f>
        <v>0</v>
      </c>
      <c r="D76" s="1">
        <f>D48*D23</f>
        <v>0</v>
      </c>
      <c r="E76" s="1">
        <f>E48*E23</f>
        <v>0</v>
      </c>
      <c r="F76" s="1">
        <f>F48*F23</f>
        <v>0</v>
      </c>
      <c r="G76" s="1">
        <f>G48*G23</f>
        <v>0</v>
      </c>
    </row>
    <row r="77" spans="1:8" outlineLevel="1" x14ac:dyDescent="0.2">
      <c r="A77" s="4" t="s">
        <v>52</v>
      </c>
      <c r="B77" s="118">
        <v>339150</v>
      </c>
      <c r="C77" s="1">
        <f t="shared" ref="C77:G80" si="14">C24</f>
        <v>358937.60636160005</v>
      </c>
      <c r="D77" s="1">
        <f t="shared" si="14"/>
        <v>380473.86274329608</v>
      </c>
      <c r="E77" s="1">
        <f t="shared" si="14"/>
        <v>403302.29450789379</v>
      </c>
      <c r="F77" s="1">
        <f t="shared" si="14"/>
        <v>427500.43217836745</v>
      </c>
      <c r="G77" s="1">
        <f t="shared" si="14"/>
        <v>453150.4581090695</v>
      </c>
    </row>
    <row r="78" spans="1:8" outlineLevel="1" x14ac:dyDescent="0.2">
      <c r="A78" s="4" t="s">
        <v>172</v>
      </c>
      <c r="B78" s="118"/>
      <c r="C78" s="1">
        <f t="shared" si="14"/>
        <v>0</v>
      </c>
      <c r="D78" s="1">
        <f t="shared" si="14"/>
        <v>0</v>
      </c>
      <c r="E78" s="1">
        <f t="shared" si="14"/>
        <v>0</v>
      </c>
      <c r="F78" s="1">
        <f t="shared" si="14"/>
        <v>0</v>
      </c>
      <c r="G78" s="1">
        <f t="shared" si="14"/>
        <v>0</v>
      </c>
    </row>
    <row r="79" spans="1:8" outlineLevel="1" x14ac:dyDescent="0.2">
      <c r="A79" s="4" t="s">
        <v>30</v>
      </c>
      <c r="B79" s="118">
        <v>32324</v>
      </c>
      <c r="C79" s="1">
        <f t="shared" si="14"/>
        <v>60000</v>
      </c>
      <c r="D79" s="1">
        <f t="shared" si="14"/>
        <v>34000</v>
      </c>
      <c r="E79" s="1">
        <f t="shared" si="14"/>
        <v>34000</v>
      </c>
      <c r="F79" s="1">
        <f t="shared" si="14"/>
        <v>34000</v>
      </c>
      <c r="G79" s="1">
        <f t="shared" si="14"/>
        <v>34000</v>
      </c>
    </row>
    <row r="80" spans="1:8" outlineLevel="1" x14ac:dyDescent="0.2">
      <c r="A80" s="4" t="s">
        <v>173</v>
      </c>
      <c r="B80" s="118"/>
      <c r="C80" s="1">
        <f t="shared" si="14"/>
        <v>0</v>
      </c>
      <c r="D80" s="1">
        <f t="shared" si="14"/>
        <v>0</v>
      </c>
      <c r="E80" s="1">
        <f t="shared" si="14"/>
        <v>0</v>
      </c>
      <c r="F80" s="1">
        <f t="shared" si="14"/>
        <v>0</v>
      </c>
      <c r="G80" s="1">
        <f t="shared" si="14"/>
        <v>0</v>
      </c>
    </row>
    <row r="81" spans="1:7" ht="15.75" outlineLevel="1" thickBot="1" x14ac:dyDescent="0.25">
      <c r="A81" s="7" t="s">
        <v>10</v>
      </c>
      <c r="B81" s="119">
        <f>SUM(B70:B80)</f>
        <v>613378</v>
      </c>
      <c r="C81" s="12">
        <f ca="1">SUM(C70:C80)</f>
        <v>704450.7263616001</v>
      </c>
      <c r="D81" s="12">
        <f t="shared" ref="D81:G81" ca="1" si="15">SUM(D70:D80)</f>
        <v>765655.00034329621</v>
      </c>
      <c r="E81" s="12">
        <f t="shared" ca="1" si="15"/>
        <v>825828.54820389394</v>
      </c>
      <c r="F81" s="12">
        <f t="shared" ca="1" si="15"/>
        <v>877223.52363308752</v>
      </c>
      <c r="G81" s="12">
        <f t="shared" ca="1" si="15"/>
        <v>928945.0214747896</v>
      </c>
    </row>
    <row r="82" spans="1:7" ht="15.75" outlineLevel="1" thickTop="1" x14ac:dyDescent="0.2">
      <c r="A82" s="8"/>
      <c r="B82" s="120"/>
      <c r="C82" s="1"/>
      <c r="D82" s="1"/>
      <c r="E82" s="1"/>
      <c r="F82" s="1"/>
      <c r="G82" s="1"/>
    </row>
    <row r="83" spans="1:7" outlineLevel="1" x14ac:dyDescent="0.2">
      <c r="A83" s="4" t="s">
        <v>53</v>
      </c>
      <c r="B83" s="120"/>
      <c r="C83" s="1">
        <f ca="1">IF(C104&gt;0,C104,0)</f>
        <v>17987.43845748005</v>
      </c>
      <c r="D83" s="1">
        <f ca="1">IF(D104&gt;0,D104,0)</f>
        <v>32999.731945497217</v>
      </c>
      <c r="E83" s="1">
        <f ca="1">IF(E104&gt;0,E104,0)</f>
        <v>28476.479776696651</v>
      </c>
      <c r="F83" s="1">
        <f ca="1">IF(F104&gt;0,F104,0)</f>
        <v>17168.460571155883</v>
      </c>
      <c r="G83" s="1">
        <f ca="1">IF(G104&gt;0,G104,0)</f>
        <v>0</v>
      </c>
    </row>
    <row r="84" spans="1:7" outlineLevel="1" x14ac:dyDescent="0.2">
      <c r="A84" s="4" t="s">
        <v>54</v>
      </c>
      <c r="B84" s="118">
        <v>97266</v>
      </c>
      <c r="C84" s="1">
        <f>C48*C28</f>
        <v>126894.72</v>
      </c>
      <c r="D84" s="1">
        <f>D48*D28</f>
        <v>137046.29760000002</v>
      </c>
      <c r="E84" s="1">
        <f>E48*E28</f>
        <v>148010.00140800004</v>
      </c>
      <c r="F84" s="1">
        <f>F48*F28</f>
        <v>158370.70150656003</v>
      </c>
      <c r="G84" s="1">
        <f>G48*G28</f>
        <v>167872.94359695364</v>
      </c>
    </row>
    <row r="85" spans="1:7" outlineLevel="1" x14ac:dyDescent="0.2">
      <c r="A85" s="4" t="s">
        <v>55</v>
      </c>
      <c r="B85" s="118">
        <v>22446</v>
      </c>
      <c r="C85" s="1">
        <f>C48*C29</f>
        <v>23792.76</v>
      </c>
      <c r="D85" s="1">
        <f>D48*D29</f>
        <v>42826.968000000008</v>
      </c>
      <c r="E85" s="1">
        <f>E48*E29</f>
        <v>64754.375616000019</v>
      </c>
      <c r="F85" s="1">
        <f>F48*F29</f>
        <v>69287.181909120016</v>
      </c>
      <c r="G85" s="1">
        <f>G48*G29</f>
        <v>73444.412823667226</v>
      </c>
    </row>
    <row r="86" spans="1:7" outlineLevel="1" x14ac:dyDescent="0.2">
      <c r="A86" s="4" t="s">
        <v>56</v>
      </c>
      <c r="B86" s="118">
        <v>14964</v>
      </c>
      <c r="C86" s="1">
        <f>C48*C30</f>
        <v>15861.84</v>
      </c>
      <c r="D86" s="1">
        <f>D48*D30</f>
        <v>17130.787200000002</v>
      </c>
      <c r="E86" s="1">
        <f>E48*E30</f>
        <v>18501.250176000005</v>
      </c>
      <c r="F86" s="1">
        <f>F48*F30</f>
        <v>19796.337688320004</v>
      </c>
      <c r="G86" s="1">
        <f>G48*G30</f>
        <v>20984.117949619205</v>
      </c>
    </row>
    <row r="87" spans="1:7" outlineLevel="1" x14ac:dyDescent="0.2">
      <c r="A87" s="4" t="s">
        <v>57</v>
      </c>
      <c r="B87" s="118">
        <v>14964</v>
      </c>
      <c r="C87" s="1">
        <f>C48*C31</f>
        <v>15861.84</v>
      </c>
      <c r="D87" s="1">
        <f>D48*D31</f>
        <v>17130.787200000002</v>
      </c>
      <c r="E87" s="1">
        <f>E48*E31</f>
        <v>18501.250176000005</v>
      </c>
      <c r="F87" s="1">
        <f>F48*F31</f>
        <v>19796.337688320004</v>
      </c>
      <c r="G87" s="1">
        <f>G48*G31</f>
        <v>20984.117949619205</v>
      </c>
    </row>
    <row r="88" spans="1:7" outlineLevel="1" x14ac:dyDescent="0.2">
      <c r="A88" s="4" t="s">
        <v>174</v>
      </c>
      <c r="B88" s="118"/>
      <c r="C88" s="1">
        <f>C48*C32</f>
        <v>0</v>
      </c>
      <c r="D88" s="1">
        <f>D48*D32</f>
        <v>0</v>
      </c>
      <c r="E88" s="1">
        <f>E48*E32</f>
        <v>0</v>
      </c>
      <c r="F88" s="1">
        <f>F48*F32</f>
        <v>0</v>
      </c>
      <c r="G88" s="1">
        <f>G48*G32</f>
        <v>0</v>
      </c>
    </row>
    <row r="89" spans="1:7" outlineLevel="1" x14ac:dyDescent="0.2">
      <c r="A89" s="4" t="s">
        <v>58</v>
      </c>
      <c r="B89" s="118">
        <v>21450</v>
      </c>
      <c r="C89" s="1">
        <f>C48*C33</f>
        <v>23792.76</v>
      </c>
      <c r="D89" s="1">
        <f>D48*D33</f>
        <v>25696.180800000002</v>
      </c>
      <c r="E89" s="1">
        <f>E48*E33</f>
        <v>27751.875264000006</v>
      </c>
      <c r="F89" s="1">
        <f>F48*F33</f>
        <v>29694.506532480005</v>
      </c>
      <c r="G89" s="1">
        <f>G48*G33</f>
        <v>31476.176924428804</v>
      </c>
    </row>
    <row r="90" spans="1:7" outlineLevel="1" x14ac:dyDescent="0.2">
      <c r="A90" s="4" t="s">
        <v>175</v>
      </c>
      <c r="B90" s="118"/>
      <c r="C90" s="1">
        <f>C48*C34</f>
        <v>0</v>
      </c>
      <c r="D90" s="1">
        <f>D48*D34</f>
        <v>0</v>
      </c>
      <c r="E90" s="1">
        <f>E48*E34</f>
        <v>0</v>
      </c>
      <c r="F90" s="1">
        <f>F48*F34</f>
        <v>0</v>
      </c>
      <c r="G90" s="1">
        <f>G48*G34</f>
        <v>0</v>
      </c>
    </row>
    <row r="91" spans="1:7" outlineLevel="1" x14ac:dyDescent="0.2">
      <c r="A91" s="4" t="s">
        <v>36</v>
      </c>
      <c r="B91" s="118">
        <v>150000</v>
      </c>
      <c r="C91" s="1">
        <f t="shared" ref="C91:G94" si="16">C35</f>
        <v>165000</v>
      </c>
      <c r="D91" s="1">
        <f t="shared" si="16"/>
        <v>165000</v>
      </c>
      <c r="E91" s="1">
        <f t="shared" si="16"/>
        <v>165000</v>
      </c>
      <c r="F91" s="1">
        <f t="shared" si="16"/>
        <v>165000</v>
      </c>
      <c r="G91" s="1">
        <f t="shared" si="16"/>
        <v>165000</v>
      </c>
    </row>
    <row r="92" spans="1:7" outlineLevel="1" x14ac:dyDescent="0.2">
      <c r="A92" t="s">
        <v>166</v>
      </c>
      <c r="B92" s="118"/>
      <c r="C92" s="1">
        <f t="shared" si="16"/>
        <v>0</v>
      </c>
      <c r="D92" s="1">
        <f t="shared" si="16"/>
        <v>0</v>
      </c>
      <c r="E92" s="1">
        <f t="shared" si="16"/>
        <v>0</v>
      </c>
      <c r="F92" s="1">
        <f t="shared" si="16"/>
        <v>0</v>
      </c>
      <c r="G92" s="1">
        <f t="shared" si="16"/>
        <v>0</v>
      </c>
    </row>
    <row r="93" spans="1:7" outlineLevel="1" x14ac:dyDescent="0.2">
      <c r="A93" s="4" t="s">
        <v>37</v>
      </c>
      <c r="B93" s="118">
        <v>0</v>
      </c>
      <c r="C93" s="1">
        <f t="shared" si="16"/>
        <v>5000</v>
      </c>
      <c r="D93" s="1">
        <f t="shared" si="16"/>
        <v>0</v>
      </c>
      <c r="E93" s="1">
        <f t="shared" si="16"/>
        <v>0</v>
      </c>
      <c r="F93" s="1">
        <f t="shared" si="16"/>
        <v>0</v>
      </c>
      <c r="G93" s="1">
        <f t="shared" si="16"/>
        <v>0</v>
      </c>
    </row>
    <row r="94" spans="1:7" outlineLevel="1" x14ac:dyDescent="0.2">
      <c r="A94" t="s">
        <v>167</v>
      </c>
      <c r="B94" s="118"/>
      <c r="C94" s="1">
        <f t="shared" si="16"/>
        <v>0</v>
      </c>
      <c r="D94" s="1">
        <f t="shared" si="16"/>
        <v>0</v>
      </c>
      <c r="E94" s="1">
        <f t="shared" si="16"/>
        <v>0</v>
      </c>
      <c r="F94" s="1">
        <f t="shared" si="16"/>
        <v>0</v>
      </c>
      <c r="G94" s="1">
        <f t="shared" si="16"/>
        <v>0</v>
      </c>
    </row>
    <row r="95" spans="1:7" outlineLevel="1" x14ac:dyDescent="0.2">
      <c r="A95" s="4" t="s">
        <v>11</v>
      </c>
      <c r="B95" s="25">
        <v>292288</v>
      </c>
      <c r="C95" s="1">
        <f ca="1">B95+C63</f>
        <v>310259.36790412007</v>
      </c>
      <c r="D95" s="1">
        <f t="shared" ref="D95:G95" ca="1" si="17">C95+D63</f>
        <v>327824.247597799</v>
      </c>
      <c r="E95" s="1">
        <f t="shared" ca="1" si="17"/>
        <v>354833.31578719721</v>
      </c>
      <c r="F95" s="1">
        <f t="shared" ca="1" si="17"/>
        <v>398109.99773713155</v>
      </c>
      <c r="G95" s="1">
        <f t="shared" ca="1" si="17"/>
        <v>449183.25223050162</v>
      </c>
    </row>
    <row r="96" spans="1:7" ht="15.75" outlineLevel="1" thickBot="1" x14ac:dyDescent="0.25">
      <c r="A96" s="7" t="s">
        <v>12</v>
      </c>
      <c r="B96" s="12">
        <f t="shared" ref="B96:G96" si="18">B81</f>
        <v>613378</v>
      </c>
      <c r="C96" s="12">
        <f t="shared" ca="1" si="18"/>
        <v>704450.7263616001</v>
      </c>
      <c r="D96" s="12">
        <f t="shared" ca="1" si="18"/>
        <v>765655.00034329621</v>
      </c>
      <c r="E96" s="12">
        <f t="shared" ca="1" si="18"/>
        <v>825828.54820389394</v>
      </c>
      <c r="F96" s="12">
        <f t="shared" ca="1" si="18"/>
        <v>877223.52363308752</v>
      </c>
      <c r="G96" s="12">
        <f t="shared" ca="1" si="18"/>
        <v>928945.0214747896</v>
      </c>
    </row>
    <row r="97" spans="1:19" ht="15.75" outlineLevel="1" thickTop="1" x14ac:dyDescent="0.2"/>
    <row r="98" spans="1:19" outlineLevel="1" x14ac:dyDescent="0.2">
      <c r="A98" t="s">
        <v>59</v>
      </c>
      <c r="B98" s="25">
        <v>706562.5</v>
      </c>
      <c r="C98" s="1">
        <f>C24/(1-C39)</f>
        <v>747786.67992000014</v>
      </c>
      <c r="D98" s="1">
        <f>D24/(1-D39)</f>
        <v>792653.88071520021</v>
      </c>
      <c r="E98" s="1">
        <f>E24/(1-E39)</f>
        <v>840213.11355811206</v>
      </c>
      <c r="F98" s="1">
        <f>F24/(1-F39)</f>
        <v>890625.90037159889</v>
      </c>
      <c r="G98" s="1">
        <f>G24/(1-G39)</f>
        <v>944063.45439389488</v>
      </c>
    </row>
    <row r="99" spans="1:19" outlineLevel="1" x14ac:dyDescent="0.2">
      <c r="A99" t="s">
        <v>52</v>
      </c>
      <c r="B99" s="27">
        <f t="shared" ref="B99:G99" si="19">B24</f>
        <v>339150</v>
      </c>
      <c r="C99" s="13">
        <f t="shared" si="19"/>
        <v>358937.60636160005</v>
      </c>
      <c r="D99" s="13">
        <f t="shared" si="19"/>
        <v>380473.86274329608</v>
      </c>
      <c r="E99" s="13">
        <f t="shared" si="19"/>
        <v>403302.29450789379</v>
      </c>
      <c r="F99" s="13">
        <f t="shared" si="19"/>
        <v>427500.43217836745</v>
      </c>
      <c r="G99" s="13">
        <f t="shared" si="19"/>
        <v>453150.4581090695</v>
      </c>
    </row>
    <row r="100" spans="1:19" outlineLevel="1" x14ac:dyDescent="0.2">
      <c r="A100" s="14" t="s">
        <v>60</v>
      </c>
      <c r="B100" s="15">
        <f t="shared" ref="B100:G100" si="20">B98-B99</f>
        <v>367412.5</v>
      </c>
      <c r="C100" s="15">
        <f t="shared" si="20"/>
        <v>388849.07355840009</v>
      </c>
      <c r="D100" s="15">
        <f t="shared" si="20"/>
        <v>412180.01797190413</v>
      </c>
      <c r="E100" s="15">
        <f t="shared" si="20"/>
        <v>436910.81905021827</v>
      </c>
      <c r="F100" s="15">
        <f t="shared" si="20"/>
        <v>463125.46819323144</v>
      </c>
      <c r="G100" s="15">
        <f t="shared" si="20"/>
        <v>490912.99628482538</v>
      </c>
    </row>
    <row r="101" spans="1:19" outlineLevel="1" x14ac:dyDescent="0.2"/>
    <row r="102" spans="1:19" outlineLevel="1" x14ac:dyDescent="0.2">
      <c r="A102" t="s">
        <v>40</v>
      </c>
      <c r="C102" s="13">
        <f>SUM(C71:C80)</f>
        <v>704450.7263616001</v>
      </c>
      <c r="D102" s="13">
        <f t="shared" ref="D102:G102" si="21">SUM(D71:D80)</f>
        <v>765655.00034329621</v>
      </c>
      <c r="E102" s="13">
        <f t="shared" si="21"/>
        <v>825828.54820389394</v>
      </c>
      <c r="F102" s="13">
        <f t="shared" si="21"/>
        <v>877223.52363308752</v>
      </c>
      <c r="G102" s="13">
        <f t="shared" si="21"/>
        <v>927816.93505107285</v>
      </c>
    </row>
    <row r="103" spans="1:19" outlineLevel="1" x14ac:dyDescent="0.2">
      <c r="A103" t="s">
        <v>41</v>
      </c>
      <c r="C103" s="13">
        <f ca="1">SUM(C84:C95)</f>
        <v>686463.28790412005</v>
      </c>
      <c r="D103" s="13">
        <f ca="1">SUM(D84:D95)</f>
        <v>732655.26839779899</v>
      </c>
      <c r="E103" s="13">
        <f ca="1">SUM(E84:E95)</f>
        <v>797352.06842719729</v>
      </c>
      <c r="F103" s="13">
        <f ca="1">SUM(F84:F95)</f>
        <v>860055.06306193164</v>
      </c>
      <c r="G103" s="13">
        <f ca="1">SUM(G84:G95)</f>
        <v>928945.0214747896</v>
      </c>
    </row>
    <row r="104" spans="1:19" ht="15.75" outlineLevel="1" thickBot="1" x14ac:dyDescent="0.25">
      <c r="A104" s="9" t="s">
        <v>42</v>
      </c>
      <c r="B104" s="9"/>
      <c r="C104" s="16">
        <f ca="1">C102-C103</f>
        <v>17987.43845748005</v>
      </c>
      <c r="D104" s="16">
        <f ca="1">D102-D103</f>
        <v>32999.731945497217</v>
      </c>
      <c r="E104" s="16">
        <f ca="1">E102-E103</f>
        <v>28476.479776696651</v>
      </c>
      <c r="F104" s="16">
        <f ca="1">F102-F103</f>
        <v>17168.460571155883</v>
      </c>
      <c r="G104" s="16">
        <f ca="1">G102-G103</f>
        <v>-1128.0864237167407</v>
      </c>
    </row>
    <row r="105" spans="1:19" ht="15.75" outlineLevel="1" thickTop="1" x14ac:dyDescent="0.2"/>
    <row r="107" spans="1:19" x14ac:dyDescent="0.2">
      <c r="A107" s="39" t="s">
        <v>82</v>
      </c>
      <c r="B107" s="39"/>
      <c r="C107" s="39"/>
      <c r="D107" s="39"/>
      <c r="E107" s="39"/>
      <c r="F107" s="39"/>
      <c r="G107" s="39"/>
      <c r="H107" s="39"/>
    </row>
    <row r="108" spans="1:19" outlineLevel="1" x14ac:dyDescent="0.2">
      <c r="C108" s="13"/>
    </row>
    <row r="109" spans="1:19" outlineLevel="1" x14ac:dyDescent="0.2">
      <c r="A109" s="37"/>
      <c r="C109" s="41">
        <f>$C$3</f>
        <v>2023</v>
      </c>
      <c r="D109" s="41">
        <f>$D$3</f>
        <v>2024</v>
      </c>
      <c r="E109" s="41">
        <f>$E$3</f>
        <v>2025</v>
      </c>
      <c r="F109" s="41">
        <f>$F$3</f>
        <v>2026</v>
      </c>
      <c r="G109" s="41">
        <f>$G$3</f>
        <v>2027</v>
      </c>
      <c r="I109" s="41"/>
      <c r="J109" s="41"/>
      <c r="K109" s="41"/>
      <c r="L109" s="41"/>
      <c r="M109" s="41"/>
      <c r="O109" s="41"/>
      <c r="P109" s="41"/>
      <c r="Q109" s="41"/>
      <c r="R109" s="41"/>
      <c r="S109" s="41"/>
    </row>
    <row r="110" spans="1:19" ht="3" customHeight="1" outlineLevel="1" x14ac:dyDescent="0.2"/>
    <row r="111" spans="1:19" outlineLevel="1" x14ac:dyDescent="0.2">
      <c r="A111" s="13" t="s">
        <v>0</v>
      </c>
      <c r="C111" s="30">
        <f>C48</f>
        <v>793092</v>
      </c>
      <c r="D111" s="30">
        <f t="shared" ref="C111:G112" si="22">D48</f>
        <v>856539.3600000001</v>
      </c>
      <c r="E111" s="30">
        <f t="shared" si="22"/>
        <v>925062.50880000019</v>
      </c>
      <c r="F111" s="30">
        <f t="shared" si="22"/>
        <v>989816.88441600022</v>
      </c>
      <c r="G111" s="30">
        <f t="shared" si="22"/>
        <v>1049205.8974809602</v>
      </c>
      <c r="I111" s="13"/>
      <c r="J111" s="13"/>
      <c r="K111" s="13"/>
      <c r="L111" s="13"/>
      <c r="M111" s="13"/>
      <c r="O111" s="13"/>
      <c r="P111" s="13"/>
      <c r="Q111" s="13"/>
      <c r="R111" s="13"/>
      <c r="S111" s="13"/>
    </row>
    <row r="112" spans="1:19" outlineLevel="1" x14ac:dyDescent="0.2">
      <c r="A112" s="13" t="s">
        <v>5</v>
      </c>
      <c r="C112" s="30">
        <f t="shared" si="22"/>
        <v>245858.52</v>
      </c>
      <c r="D112" s="30">
        <f t="shared" si="22"/>
        <v>265527.20160000003</v>
      </c>
      <c r="E112" s="30">
        <f t="shared" si="22"/>
        <v>277518.75264000002</v>
      </c>
      <c r="F112" s="30">
        <f t="shared" si="22"/>
        <v>287046.89648064005</v>
      </c>
      <c r="G112" s="30">
        <f t="shared" si="22"/>
        <v>304269.71026947844</v>
      </c>
      <c r="I112" s="13"/>
      <c r="J112" s="13"/>
      <c r="K112" s="13"/>
      <c r="L112" s="13"/>
      <c r="M112" s="13"/>
      <c r="O112" s="13"/>
      <c r="P112" s="13"/>
      <c r="Q112" s="13"/>
      <c r="R112" s="13"/>
      <c r="S112" s="13"/>
    </row>
    <row r="113" spans="1:19" outlineLevel="1" x14ac:dyDescent="0.2">
      <c r="A113" s="21" t="s">
        <v>14</v>
      </c>
      <c r="C113" s="31">
        <f>C111-C112</f>
        <v>547233.48</v>
      </c>
      <c r="D113" s="31">
        <f t="shared" ref="D113:G113" si="23">D111-D112</f>
        <v>591012.15840000007</v>
      </c>
      <c r="E113" s="31">
        <f t="shared" si="23"/>
        <v>647543.75616000011</v>
      </c>
      <c r="F113" s="31">
        <f t="shared" si="23"/>
        <v>702769.98793536017</v>
      </c>
      <c r="G113" s="31">
        <f t="shared" si="23"/>
        <v>744936.18721148185</v>
      </c>
      <c r="I113" s="115"/>
      <c r="J113" s="115"/>
      <c r="K113" s="115"/>
      <c r="L113" s="115"/>
      <c r="M113" s="115"/>
      <c r="O113" s="115"/>
      <c r="P113" s="115"/>
      <c r="Q113" s="115"/>
      <c r="R113" s="115"/>
      <c r="S113" s="115"/>
    </row>
    <row r="114" spans="1:19" outlineLevel="1" x14ac:dyDescent="0.2">
      <c r="A114" s="13" t="s">
        <v>43</v>
      </c>
      <c r="C114" s="30">
        <f t="shared" ref="C114:G116" si="24">C51</f>
        <v>103101.96</v>
      </c>
      <c r="D114" s="30">
        <f t="shared" si="24"/>
        <v>111350.11680000002</v>
      </c>
      <c r="E114" s="30">
        <f t="shared" si="24"/>
        <v>120258.12614400002</v>
      </c>
      <c r="F114" s="30">
        <f t="shared" si="24"/>
        <v>118778.02612992002</v>
      </c>
      <c r="G114" s="30">
        <f t="shared" si="24"/>
        <v>125904.70769771522</v>
      </c>
      <c r="I114" s="13"/>
      <c r="J114" s="13"/>
      <c r="K114" s="13"/>
      <c r="L114" s="13"/>
      <c r="M114" s="13"/>
      <c r="O114" s="13"/>
      <c r="P114" s="13"/>
      <c r="Q114" s="13"/>
      <c r="R114" s="13"/>
      <c r="S114" s="13"/>
    </row>
    <row r="115" spans="1:19" outlineLevel="1" x14ac:dyDescent="0.2">
      <c r="A115" s="13" t="s">
        <v>44</v>
      </c>
      <c r="C115" s="30">
        <f t="shared" si="24"/>
        <v>309305.88</v>
      </c>
      <c r="D115" s="30">
        <f t="shared" si="24"/>
        <v>334050.35040000005</v>
      </c>
      <c r="E115" s="30">
        <f t="shared" si="24"/>
        <v>351523.75334400008</v>
      </c>
      <c r="F115" s="30">
        <f t="shared" si="24"/>
        <v>356334.07838976005</v>
      </c>
      <c r="G115" s="30">
        <f t="shared" si="24"/>
        <v>367222.06411833607</v>
      </c>
      <c r="I115" s="13"/>
      <c r="J115" s="13"/>
      <c r="K115" s="13"/>
      <c r="L115" s="13"/>
      <c r="M115" s="13"/>
      <c r="O115" s="13"/>
      <c r="P115" s="13"/>
      <c r="Q115" s="13"/>
      <c r="R115" s="13"/>
      <c r="S115" s="13"/>
    </row>
    <row r="116" spans="1:19" outlineLevel="1" x14ac:dyDescent="0.2">
      <c r="A116" s="13" t="s">
        <v>45</v>
      </c>
      <c r="C116" s="30">
        <f t="shared" si="24"/>
        <v>71378.28</v>
      </c>
      <c r="D116" s="30">
        <f t="shared" si="24"/>
        <v>77088.542400000006</v>
      </c>
      <c r="E116" s="30">
        <f t="shared" si="24"/>
        <v>74005.00070400002</v>
      </c>
      <c r="F116" s="30">
        <f t="shared" si="24"/>
        <v>69287.181909120016</v>
      </c>
      <c r="G116" s="30">
        <f t="shared" si="24"/>
        <v>62952.353848857609</v>
      </c>
      <c r="I116" s="13"/>
      <c r="J116" s="13"/>
      <c r="K116" s="13"/>
      <c r="L116" s="13"/>
      <c r="M116" s="13"/>
      <c r="O116" s="13"/>
      <c r="P116" s="13"/>
      <c r="Q116" s="13"/>
      <c r="R116" s="13"/>
      <c r="S116" s="13"/>
    </row>
    <row r="117" spans="1:19" outlineLevel="1" x14ac:dyDescent="0.2">
      <c r="A117" s="21" t="s">
        <v>15</v>
      </c>
      <c r="C117" s="31">
        <f>C113-C114-C115-C116</f>
        <v>63447.359999999957</v>
      </c>
      <c r="D117" s="31">
        <f t="shared" ref="D117:G117" si="25">D113-D114-D115-D116</f>
        <v>68523.148799999995</v>
      </c>
      <c r="E117" s="31">
        <f t="shared" si="25"/>
        <v>101756.87596800002</v>
      </c>
      <c r="F117" s="31">
        <f t="shared" si="25"/>
        <v>158370.70150656009</v>
      </c>
      <c r="G117" s="31">
        <f t="shared" si="25"/>
        <v>188857.06154657292</v>
      </c>
      <c r="I117" s="115"/>
      <c r="J117" s="115"/>
      <c r="K117" s="115"/>
      <c r="L117" s="115"/>
      <c r="M117" s="115"/>
      <c r="O117" s="115"/>
      <c r="P117" s="115"/>
      <c r="Q117" s="115"/>
      <c r="R117" s="115"/>
      <c r="S117" s="115"/>
    </row>
    <row r="118" spans="1:19" outlineLevel="1" x14ac:dyDescent="0.2">
      <c r="A118" s="13" t="s">
        <v>62</v>
      </c>
      <c r="C118" s="30">
        <f>C54*C14</f>
        <v>15861.839999999989</v>
      </c>
      <c r="D118" s="30">
        <f>D54*D14</f>
        <v>17130.787199999999</v>
      </c>
      <c r="E118" s="30">
        <f>E54*E14</f>
        <v>25439.218992000006</v>
      </c>
      <c r="F118" s="30">
        <f>F54*F14</f>
        <v>39592.675376640022</v>
      </c>
      <c r="G118" s="30">
        <f>G54*G14</f>
        <v>47214.26538664323</v>
      </c>
      <c r="I118" s="13"/>
      <c r="J118" s="13"/>
      <c r="K118" s="13"/>
      <c r="L118" s="13"/>
      <c r="M118" s="13"/>
      <c r="O118" s="13"/>
      <c r="P118" s="13"/>
      <c r="Q118" s="13"/>
      <c r="R118" s="13"/>
      <c r="S118" s="13"/>
    </row>
    <row r="119" spans="1:19" outlineLevel="1" x14ac:dyDescent="0.2">
      <c r="A119" s="21" t="s">
        <v>63</v>
      </c>
      <c r="C119" s="31">
        <f>C117-C118</f>
        <v>47585.519999999968</v>
      </c>
      <c r="D119" s="31">
        <f t="shared" ref="D119:G119" si="26">D117-D118</f>
        <v>51392.361599999997</v>
      </c>
      <c r="E119" s="31">
        <f t="shared" si="26"/>
        <v>76317.656976000013</v>
      </c>
      <c r="F119" s="31">
        <f t="shared" si="26"/>
        <v>118778.02612992006</v>
      </c>
      <c r="G119" s="31">
        <f t="shared" si="26"/>
        <v>141642.79615992968</v>
      </c>
      <c r="I119" s="115"/>
      <c r="J119" s="115"/>
      <c r="K119" s="115"/>
      <c r="L119" s="115"/>
      <c r="M119" s="115"/>
      <c r="O119" s="115"/>
      <c r="P119" s="115"/>
      <c r="Q119" s="115"/>
      <c r="R119" s="115"/>
      <c r="S119" s="115"/>
    </row>
    <row r="120" spans="1:19" outlineLevel="1" x14ac:dyDescent="0.2">
      <c r="A120" s="13" t="s">
        <v>60</v>
      </c>
      <c r="C120" s="34">
        <f>C100-B100</f>
        <v>21436.573558400094</v>
      </c>
      <c r="D120" s="30">
        <f>D100-C100</f>
        <v>23330.944413504039</v>
      </c>
      <c r="E120" s="30">
        <f>E100-D100</f>
        <v>24730.801078314136</v>
      </c>
      <c r="F120" s="30">
        <f>F100-E100</f>
        <v>26214.649143013172</v>
      </c>
      <c r="G120" s="30">
        <f>G100-F100</f>
        <v>27787.528091593937</v>
      </c>
      <c r="I120" s="13"/>
      <c r="J120" s="13"/>
      <c r="K120" s="13"/>
      <c r="L120" s="13"/>
      <c r="M120" s="13"/>
      <c r="O120" s="13"/>
      <c r="P120" s="13"/>
      <c r="Q120" s="13"/>
      <c r="R120" s="13"/>
      <c r="S120" s="13"/>
    </row>
    <row r="121" spans="1:19" outlineLevel="1" x14ac:dyDescent="0.2">
      <c r="A121" s="21" t="s">
        <v>64</v>
      </c>
      <c r="C121" s="21">
        <f>C119+C120</f>
        <v>69022.093558400054</v>
      </c>
      <c r="D121" s="31">
        <f t="shared" ref="D121:G121" si="27">D119+D120</f>
        <v>74723.306013504043</v>
      </c>
      <c r="E121" s="31">
        <f t="shared" si="27"/>
        <v>101048.45805431415</v>
      </c>
      <c r="F121" s="31">
        <f t="shared" si="27"/>
        <v>144992.67527293324</v>
      </c>
      <c r="G121" s="31">
        <f t="shared" si="27"/>
        <v>169430.32425152362</v>
      </c>
      <c r="I121" s="115"/>
      <c r="J121" s="115"/>
      <c r="K121" s="115"/>
      <c r="L121" s="115"/>
      <c r="M121" s="115"/>
      <c r="O121" s="115"/>
      <c r="P121" s="115"/>
      <c r="Q121" s="115"/>
      <c r="R121" s="115"/>
      <c r="S121" s="115"/>
    </row>
    <row r="122" spans="1:19" outlineLevel="1" x14ac:dyDescent="0.2">
      <c r="A122" s="13" t="s">
        <v>49</v>
      </c>
      <c r="C122" s="30">
        <f t="shared" ref="C122:G124" si="28">-(C72-B72)</f>
        <v>-20071.039999999994</v>
      </c>
      <c r="D122" s="30">
        <f t="shared" si="28"/>
        <v>-24744.470400000035</v>
      </c>
      <c r="E122" s="30">
        <f t="shared" si="28"/>
        <v>-9593.2408320000104</v>
      </c>
      <c r="F122" s="30">
        <f t="shared" si="28"/>
        <v>-9065.6125862399931</v>
      </c>
      <c r="G122" s="30">
        <f t="shared" si="28"/>
        <v>-8314.46182909442</v>
      </c>
      <c r="I122" s="13"/>
      <c r="J122" s="13"/>
      <c r="K122" s="13"/>
      <c r="L122" s="13"/>
      <c r="M122" s="13"/>
      <c r="O122" s="13"/>
      <c r="P122" s="13"/>
      <c r="Q122" s="13"/>
      <c r="R122" s="13"/>
      <c r="S122" s="13"/>
    </row>
    <row r="123" spans="1:19" outlineLevel="1" x14ac:dyDescent="0.2">
      <c r="A123" s="13" t="s">
        <v>50</v>
      </c>
      <c r="C123" s="30">
        <f t="shared" si="28"/>
        <v>-17469.200000000012</v>
      </c>
      <c r="D123" s="30">
        <f t="shared" si="28"/>
        <v>-23475.523199999996</v>
      </c>
      <c r="E123" s="30">
        <f t="shared" si="28"/>
        <v>-8222.7778560000152</v>
      </c>
      <c r="F123" s="30">
        <f t="shared" si="28"/>
        <v>-7770.5250739199982</v>
      </c>
      <c r="G123" s="30">
        <f t="shared" si="28"/>
        <v>-7126.6815677951963</v>
      </c>
      <c r="I123" s="13"/>
      <c r="J123" s="13"/>
      <c r="K123" s="13"/>
      <c r="L123" s="13"/>
      <c r="M123" s="13"/>
      <c r="O123" s="13"/>
      <c r="P123" s="13"/>
      <c r="Q123" s="13"/>
      <c r="R123" s="13"/>
      <c r="S123" s="13"/>
    </row>
    <row r="124" spans="1:19" outlineLevel="1" x14ac:dyDescent="0.2">
      <c r="A124" s="13" t="s">
        <v>184</v>
      </c>
      <c r="C124" s="30">
        <f t="shared" si="28"/>
        <v>0</v>
      </c>
      <c r="D124" s="30">
        <f t="shared" si="28"/>
        <v>0</v>
      </c>
      <c r="E124" s="30">
        <f t="shared" si="28"/>
        <v>0</v>
      </c>
      <c r="F124" s="30">
        <f t="shared" si="28"/>
        <v>0</v>
      </c>
      <c r="G124" s="30">
        <f t="shared" si="28"/>
        <v>0</v>
      </c>
      <c r="I124" s="13"/>
      <c r="J124" s="13"/>
      <c r="K124" s="13"/>
      <c r="L124" s="13"/>
      <c r="M124" s="13"/>
      <c r="O124" s="13"/>
      <c r="P124" s="13"/>
      <c r="Q124" s="13"/>
      <c r="R124" s="13"/>
      <c r="S124" s="13"/>
    </row>
    <row r="125" spans="1:19" outlineLevel="1" x14ac:dyDescent="0.2">
      <c r="A125" s="13" t="s">
        <v>54</v>
      </c>
      <c r="C125" s="30">
        <f t="shared" ref="C125:G129" si="29">C84-B84</f>
        <v>29628.720000000001</v>
      </c>
      <c r="D125" s="30">
        <f t="shared" si="29"/>
        <v>10151.577600000019</v>
      </c>
      <c r="E125" s="30">
        <f t="shared" si="29"/>
        <v>10963.70380800002</v>
      </c>
      <c r="F125" s="30">
        <f t="shared" si="29"/>
        <v>10360.700098559988</v>
      </c>
      <c r="G125" s="30">
        <f t="shared" si="29"/>
        <v>9502.2420903936145</v>
      </c>
      <c r="I125" s="13"/>
      <c r="J125" s="13"/>
      <c r="K125" s="13"/>
      <c r="L125" s="13"/>
      <c r="M125" s="13"/>
      <c r="O125" s="13"/>
      <c r="P125" s="13"/>
      <c r="Q125" s="13"/>
      <c r="R125" s="13"/>
      <c r="S125" s="13"/>
    </row>
    <row r="126" spans="1:19" outlineLevel="1" x14ac:dyDescent="0.2">
      <c r="A126" s="13" t="s">
        <v>55</v>
      </c>
      <c r="C126" s="30">
        <f t="shared" si="29"/>
        <v>1346.7599999999984</v>
      </c>
      <c r="D126" s="30">
        <f t="shared" si="29"/>
        <v>19034.20800000001</v>
      </c>
      <c r="E126" s="30">
        <f t="shared" si="29"/>
        <v>21927.407616000011</v>
      </c>
      <c r="F126" s="30">
        <f t="shared" si="29"/>
        <v>4532.8062931199966</v>
      </c>
      <c r="G126" s="30">
        <f t="shared" si="29"/>
        <v>4157.23091454721</v>
      </c>
      <c r="I126" s="13"/>
      <c r="J126" s="13"/>
      <c r="K126" s="13"/>
      <c r="L126" s="13"/>
      <c r="M126" s="13"/>
      <c r="O126" s="13"/>
      <c r="P126" s="13"/>
      <c r="Q126" s="13"/>
      <c r="R126" s="13"/>
      <c r="S126" s="13"/>
    </row>
    <row r="127" spans="1:19" outlineLevel="1" x14ac:dyDescent="0.2">
      <c r="A127" s="13" t="s">
        <v>56</v>
      </c>
      <c r="C127" s="30">
        <f t="shared" si="29"/>
        <v>897.84000000000015</v>
      </c>
      <c r="D127" s="30">
        <f t="shared" si="29"/>
        <v>1268.9472000000023</v>
      </c>
      <c r="E127" s="30">
        <f t="shared" si="29"/>
        <v>1370.4629760000025</v>
      </c>
      <c r="F127" s="30">
        <f t="shared" si="29"/>
        <v>1295.0875123199985</v>
      </c>
      <c r="G127" s="30">
        <f t="shared" si="29"/>
        <v>1187.7802612992018</v>
      </c>
      <c r="I127" s="13"/>
      <c r="J127" s="13"/>
      <c r="K127" s="13"/>
      <c r="L127" s="13"/>
      <c r="M127" s="13"/>
      <c r="O127" s="13"/>
      <c r="P127" s="13"/>
      <c r="Q127" s="13"/>
      <c r="R127" s="13"/>
      <c r="S127" s="13"/>
    </row>
    <row r="128" spans="1:19" outlineLevel="1" x14ac:dyDescent="0.2">
      <c r="A128" s="13" t="s">
        <v>57</v>
      </c>
      <c r="C128" s="30">
        <f t="shared" si="29"/>
        <v>897.84000000000015</v>
      </c>
      <c r="D128" s="30">
        <f t="shared" si="29"/>
        <v>1268.9472000000023</v>
      </c>
      <c r="E128" s="30">
        <f t="shared" si="29"/>
        <v>1370.4629760000025</v>
      </c>
      <c r="F128" s="30">
        <f t="shared" si="29"/>
        <v>1295.0875123199985</v>
      </c>
      <c r="G128" s="30">
        <f t="shared" si="29"/>
        <v>1187.7802612992018</v>
      </c>
      <c r="I128" s="13"/>
      <c r="J128" s="13"/>
      <c r="K128" s="13"/>
      <c r="L128" s="13"/>
      <c r="M128" s="13"/>
      <c r="O128" s="13"/>
      <c r="P128" s="13"/>
      <c r="Q128" s="13"/>
      <c r="R128" s="13"/>
      <c r="S128" s="13"/>
    </row>
    <row r="129" spans="1:19" outlineLevel="1" x14ac:dyDescent="0.2">
      <c r="A129" s="13" t="s">
        <v>185</v>
      </c>
      <c r="C129" s="30">
        <f t="shared" si="29"/>
        <v>0</v>
      </c>
      <c r="D129" s="30">
        <f t="shared" si="29"/>
        <v>0</v>
      </c>
      <c r="E129" s="30">
        <f t="shared" si="29"/>
        <v>0</v>
      </c>
      <c r="F129" s="30">
        <f t="shared" si="29"/>
        <v>0</v>
      </c>
      <c r="G129" s="30">
        <f t="shared" si="29"/>
        <v>0</v>
      </c>
      <c r="I129" s="13"/>
      <c r="J129" s="13"/>
      <c r="K129" s="13"/>
      <c r="L129" s="13"/>
      <c r="M129" s="13"/>
      <c r="O129" s="13"/>
      <c r="P129" s="13"/>
      <c r="Q129" s="13"/>
      <c r="R129" s="13"/>
      <c r="S129" s="13"/>
    </row>
    <row r="130" spans="1:19" outlineLevel="1" x14ac:dyDescent="0.2">
      <c r="A130" s="21" t="s">
        <v>65</v>
      </c>
      <c r="C130" s="21">
        <f>SUM(C122:C129)</f>
        <v>-4769.0800000000054</v>
      </c>
      <c r="D130" s="31">
        <f t="shared" ref="D130:G130" si="30">SUM(D122:D129)</f>
        <v>-16496.313599999998</v>
      </c>
      <c r="E130" s="31">
        <f t="shared" si="30"/>
        <v>17816.018688000011</v>
      </c>
      <c r="F130" s="31">
        <f t="shared" si="30"/>
        <v>647.54375615999015</v>
      </c>
      <c r="G130" s="31">
        <f t="shared" si="30"/>
        <v>593.89013064961182</v>
      </c>
      <c r="I130" s="115"/>
      <c r="J130" s="115"/>
      <c r="K130" s="115"/>
      <c r="L130" s="115"/>
      <c r="M130" s="115"/>
      <c r="O130" s="115"/>
      <c r="P130" s="115"/>
      <c r="Q130" s="115"/>
      <c r="R130" s="115"/>
      <c r="S130" s="115"/>
    </row>
    <row r="131" spans="1:19" outlineLevel="1" x14ac:dyDescent="0.2">
      <c r="A131" s="21" t="s">
        <v>66</v>
      </c>
      <c r="C131" s="21">
        <f>C121+C130</f>
        <v>64253.013558400053</v>
      </c>
      <c r="D131" s="31">
        <f>D121+D130</f>
        <v>58226.992413504049</v>
      </c>
      <c r="E131" s="31">
        <f>E121+E130</f>
        <v>118864.47674231416</v>
      </c>
      <c r="F131" s="31">
        <f>F121+F130</f>
        <v>145640.21902909322</v>
      </c>
      <c r="G131" s="31">
        <f>G121+G130</f>
        <v>170024.21438217323</v>
      </c>
      <c r="I131" s="115"/>
      <c r="J131" s="115"/>
      <c r="K131" s="115"/>
      <c r="L131" s="115"/>
      <c r="M131" s="115"/>
      <c r="O131" s="115"/>
      <c r="P131" s="115"/>
      <c r="Q131" s="115"/>
      <c r="R131" s="115"/>
      <c r="S131" s="115"/>
    </row>
    <row r="132" spans="1:19" outlineLevel="1" x14ac:dyDescent="0.2">
      <c r="A132" s="13" t="s">
        <v>59</v>
      </c>
      <c r="C132" s="34">
        <f>-(C98-B98)</f>
        <v>-41224.179920000141</v>
      </c>
      <c r="D132" s="34">
        <f>-(D98-C98)</f>
        <v>-44867.200795200071</v>
      </c>
      <c r="E132" s="34">
        <f>-(E98-D98)</f>
        <v>-47559.23284291185</v>
      </c>
      <c r="F132" s="34">
        <f>-(F98-E98)</f>
        <v>-50412.786813486833</v>
      </c>
      <c r="G132" s="34">
        <f>-(G98-F98)</f>
        <v>-53437.554022295983</v>
      </c>
      <c r="I132" s="13"/>
      <c r="J132" s="13"/>
      <c r="K132" s="13"/>
      <c r="L132" s="13"/>
      <c r="M132" s="13"/>
      <c r="O132" s="13"/>
      <c r="P132" s="13"/>
      <c r="Q132" s="13"/>
      <c r="R132" s="13"/>
      <c r="S132" s="13"/>
    </row>
    <row r="133" spans="1:19" outlineLevel="1" x14ac:dyDescent="0.2">
      <c r="A133" s="13" t="s">
        <v>186</v>
      </c>
      <c r="C133" s="30">
        <f>-(C80-B80)</f>
        <v>0</v>
      </c>
      <c r="D133" s="30">
        <f>-(D80-C80)</f>
        <v>0</v>
      </c>
      <c r="E133" s="30">
        <f>-(E80-D80)</f>
        <v>0</v>
      </c>
      <c r="F133" s="30">
        <f>-(F80-E80)</f>
        <v>0</v>
      </c>
      <c r="G133" s="30">
        <f>-(G80-F80)</f>
        <v>0</v>
      </c>
      <c r="I133" s="13"/>
      <c r="J133" s="13"/>
      <c r="K133" s="13"/>
      <c r="L133" s="13"/>
      <c r="M133" s="13"/>
      <c r="O133" s="13"/>
      <c r="P133" s="13"/>
      <c r="Q133" s="13"/>
      <c r="R133" s="13"/>
      <c r="S133" s="13"/>
    </row>
    <row r="134" spans="1:19" outlineLevel="1" x14ac:dyDescent="0.2">
      <c r="A134" s="13" t="s">
        <v>187</v>
      </c>
      <c r="C134" s="30">
        <f>C92-B92</f>
        <v>0</v>
      </c>
      <c r="D134" s="30">
        <f>D92-C92</f>
        <v>0</v>
      </c>
      <c r="E134" s="30">
        <f>E92-D92</f>
        <v>0</v>
      </c>
      <c r="F134" s="30">
        <f>F92-E92</f>
        <v>0</v>
      </c>
      <c r="G134" s="30">
        <f>G92-F92</f>
        <v>0</v>
      </c>
      <c r="I134" s="13"/>
      <c r="J134" s="13"/>
      <c r="K134" s="13"/>
      <c r="L134" s="13"/>
      <c r="M134" s="13"/>
      <c r="O134" s="13"/>
      <c r="P134" s="13"/>
      <c r="Q134" s="13"/>
      <c r="R134" s="13"/>
      <c r="S134" s="13"/>
    </row>
    <row r="135" spans="1:19" outlineLevel="1" x14ac:dyDescent="0.2">
      <c r="A135" s="21" t="s">
        <v>67</v>
      </c>
      <c r="C135" s="21">
        <f>SUM(C132:C134)</f>
        <v>-41224.179920000141</v>
      </c>
      <c r="D135" s="31">
        <f>SUM(D132:D134)</f>
        <v>-44867.200795200071</v>
      </c>
      <c r="E135" s="31">
        <f t="shared" ref="E135:G135" si="31">SUM(E132:E134)</f>
        <v>-47559.23284291185</v>
      </c>
      <c r="F135" s="31">
        <f t="shared" si="31"/>
        <v>-50412.786813486833</v>
      </c>
      <c r="G135" s="31">
        <f t="shared" si="31"/>
        <v>-53437.554022295983</v>
      </c>
      <c r="I135" s="115"/>
      <c r="J135" s="115"/>
      <c r="K135" s="115"/>
      <c r="L135" s="115"/>
      <c r="M135" s="115"/>
      <c r="O135" s="115"/>
      <c r="P135" s="115"/>
      <c r="Q135" s="115"/>
      <c r="R135" s="115"/>
      <c r="S135" s="115"/>
    </row>
    <row r="136" spans="1:19" outlineLevel="1" x14ac:dyDescent="0.2">
      <c r="A136" s="21" t="s">
        <v>68</v>
      </c>
      <c r="C136" s="21">
        <f>C130+C135</f>
        <v>-45993.259920000142</v>
      </c>
      <c r="D136" s="31">
        <f>D130+D135</f>
        <v>-61363.514395200065</v>
      </c>
      <c r="E136" s="31">
        <f>E130+E135</f>
        <v>-29743.214154911839</v>
      </c>
      <c r="F136" s="31">
        <f>F130+F135</f>
        <v>-49765.243057326843</v>
      </c>
      <c r="G136" s="31">
        <f>G130+G135</f>
        <v>-52843.663891646371</v>
      </c>
      <c r="I136" s="115"/>
      <c r="J136" s="115"/>
      <c r="K136" s="115"/>
      <c r="L136" s="115"/>
      <c r="M136" s="115"/>
      <c r="O136" s="115"/>
      <c r="P136" s="115"/>
      <c r="Q136" s="115"/>
      <c r="R136" s="115"/>
      <c r="S136" s="115"/>
    </row>
    <row r="137" spans="1:19" outlineLevel="1" x14ac:dyDescent="0.2">
      <c r="A137" s="21" t="s">
        <v>69</v>
      </c>
      <c r="C137" s="21">
        <f>C121+C136</f>
        <v>23028.833638399912</v>
      </c>
      <c r="D137" s="31">
        <f>D121+D136</f>
        <v>13359.791618303978</v>
      </c>
      <c r="E137" s="31">
        <f>E121+E136</f>
        <v>71305.24389940231</v>
      </c>
      <c r="F137" s="31">
        <f>F121+F136</f>
        <v>95227.432215606386</v>
      </c>
      <c r="G137" s="31">
        <f>G121+G136</f>
        <v>116586.66035987725</v>
      </c>
      <c r="I137" s="115"/>
      <c r="J137" s="115"/>
      <c r="K137" s="115"/>
      <c r="L137" s="115"/>
      <c r="M137" s="115"/>
      <c r="O137" s="115"/>
      <c r="P137" s="115"/>
      <c r="Q137" s="115"/>
      <c r="R137" s="115"/>
      <c r="S137" s="115"/>
    </row>
    <row r="138" spans="1:19" outlineLevel="1" x14ac:dyDescent="0.2">
      <c r="A138" s="13" t="s">
        <v>168</v>
      </c>
      <c r="C138" s="13">
        <f t="shared" ref="C138:G139" si="32">-(C55*(1-C$14))</f>
        <v>0</v>
      </c>
      <c r="D138" s="13">
        <f t="shared" si="32"/>
        <v>0</v>
      </c>
      <c r="E138" s="13">
        <f t="shared" si="32"/>
        <v>0</v>
      </c>
      <c r="F138" s="13">
        <f t="shared" si="32"/>
        <v>0</v>
      </c>
      <c r="G138" s="13">
        <f t="shared" si="32"/>
        <v>0</v>
      </c>
      <c r="I138" s="13"/>
      <c r="J138" s="13"/>
      <c r="K138" s="13"/>
      <c r="L138" s="13"/>
      <c r="M138" s="13"/>
      <c r="O138" s="13"/>
      <c r="P138" s="13"/>
      <c r="Q138" s="13"/>
      <c r="R138" s="13"/>
      <c r="S138" s="13"/>
    </row>
    <row r="139" spans="1:19" outlineLevel="1" x14ac:dyDescent="0.2">
      <c r="A139" s="13" t="s">
        <v>169</v>
      </c>
      <c r="C139" s="13">
        <f t="shared" si="32"/>
        <v>0</v>
      </c>
      <c r="D139" s="13">
        <f t="shared" si="32"/>
        <v>0</v>
      </c>
      <c r="E139" s="13">
        <f t="shared" si="32"/>
        <v>0</v>
      </c>
      <c r="F139" s="13">
        <f t="shared" si="32"/>
        <v>0</v>
      </c>
      <c r="G139" s="13">
        <f t="shared" si="32"/>
        <v>0</v>
      </c>
      <c r="I139" s="13"/>
      <c r="J139" s="13"/>
      <c r="K139" s="13"/>
      <c r="L139" s="13"/>
      <c r="M139" s="13"/>
      <c r="O139" s="13"/>
      <c r="P139" s="13"/>
      <c r="Q139" s="13"/>
      <c r="R139" s="13"/>
      <c r="S139" s="13"/>
    </row>
    <row r="140" spans="1:19" outlineLevel="1" x14ac:dyDescent="0.2">
      <c r="A140" s="13" t="s">
        <v>188</v>
      </c>
      <c r="C140" s="13">
        <f ca="1">IF(C58*(1-C$14)&lt;0,-C58*(1-C$14),0)</f>
        <v>0</v>
      </c>
      <c r="D140" s="13">
        <f ca="1">IF(D58*(1-D$14)&lt;0,-D58*(1-D$14),0)</f>
        <v>0</v>
      </c>
      <c r="E140" s="13">
        <f ca="1">IF(E58*(1-E$14)&lt;0,-E58*(1-E$14),0)</f>
        <v>0</v>
      </c>
      <c r="F140" s="13">
        <f ca="1">IF(F58*(1-F$14)&lt;0,-F58*(1-F$14),0)</f>
        <v>0</v>
      </c>
      <c r="G140" s="13">
        <f ca="1">IF(G58*(1-G$14)&lt;0,-G58*(1-G$14),0)</f>
        <v>30.458333440351996</v>
      </c>
      <c r="I140" s="13"/>
      <c r="J140" s="13"/>
      <c r="K140" s="13"/>
      <c r="L140" s="13"/>
      <c r="M140" s="13"/>
      <c r="O140" s="13"/>
      <c r="P140" s="13"/>
      <c r="Q140" s="13"/>
      <c r="R140" s="13"/>
      <c r="S140" s="13"/>
    </row>
    <row r="141" spans="1:19" outlineLevel="1" x14ac:dyDescent="0.2">
      <c r="A141" s="21" t="s">
        <v>76</v>
      </c>
      <c r="C141" s="21">
        <f ca="1">SUM(C138:C140)</f>
        <v>0</v>
      </c>
      <c r="D141" s="31">
        <f t="shared" ref="D141:G141" ca="1" si="33">SUM(D138:D140)</f>
        <v>0</v>
      </c>
      <c r="E141" s="31">
        <f t="shared" ca="1" si="33"/>
        <v>0</v>
      </c>
      <c r="F141" s="31">
        <f t="shared" ca="1" si="33"/>
        <v>0</v>
      </c>
      <c r="G141" s="31">
        <f t="shared" ca="1" si="33"/>
        <v>30.458333440351996</v>
      </c>
      <c r="I141" s="115"/>
      <c r="J141" s="115"/>
      <c r="K141" s="115"/>
      <c r="L141" s="115"/>
      <c r="M141" s="115"/>
      <c r="O141" s="115"/>
      <c r="P141" s="115"/>
      <c r="Q141" s="115"/>
      <c r="R141" s="115"/>
      <c r="S141" s="115"/>
    </row>
    <row r="142" spans="1:19" outlineLevel="1" x14ac:dyDescent="0.2">
      <c r="A142" s="13" t="s">
        <v>51</v>
      </c>
      <c r="C142" s="30">
        <f t="shared" ref="C142:G143" si="34">-(C75-B75)</f>
        <v>-681.84000000000015</v>
      </c>
      <c r="D142" s="30">
        <f t="shared" si="34"/>
        <v>-1268.9472000000023</v>
      </c>
      <c r="E142" s="30">
        <f t="shared" si="34"/>
        <v>-1370.4629760000025</v>
      </c>
      <c r="F142" s="30">
        <f t="shared" si="34"/>
        <v>-1295.0875123199985</v>
      </c>
      <c r="G142" s="30">
        <f t="shared" si="34"/>
        <v>-1187.7802612992018</v>
      </c>
      <c r="I142" s="13"/>
      <c r="J142" s="13"/>
      <c r="K142" s="13"/>
      <c r="L142" s="13"/>
      <c r="M142" s="13"/>
      <c r="O142" s="13"/>
      <c r="P142" s="13"/>
      <c r="Q142" s="13"/>
      <c r="R142" s="13"/>
      <c r="S142" s="13"/>
    </row>
    <row r="143" spans="1:19" outlineLevel="1" x14ac:dyDescent="0.2">
      <c r="A143" s="13" t="s">
        <v>189</v>
      </c>
      <c r="C143" s="30">
        <f t="shared" si="34"/>
        <v>0</v>
      </c>
      <c r="D143" s="30">
        <f t="shared" si="34"/>
        <v>0</v>
      </c>
      <c r="E143" s="30">
        <f t="shared" si="34"/>
        <v>0</v>
      </c>
      <c r="F143" s="30">
        <f t="shared" si="34"/>
        <v>0</v>
      </c>
      <c r="G143" s="30">
        <f t="shared" si="34"/>
        <v>0</v>
      </c>
      <c r="I143" s="13"/>
      <c r="J143" s="13"/>
      <c r="K143" s="13"/>
      <c r="L143" s="13"/>
      <c r="M143" s="13"/>
      <c r="O143" s="13"/>
      <c r="P143" s="13"/>
      <c r="Q143" s="13"/>
      <c r="R143" s="13"/>
      <c r="S143" s="13"/>
    </row>
    <row r="144" spans="1:19" outlineLevel="1" x14ac:dyDescent="0.2">
      <c r="A144" s="13" t="s">
        <v>58</v>
      </c>
      <c r="C144" s="30">
        <f t="shared" ref="C144:G145" si="35">C89-B89</f>
        <v>2342.7599999999984</v>
      </c>
      <c r="D144" s="30">
        <f t="shared" si="35"/>
        <v>1903.4208000000035</v>
      </c>
      <c r="E144" s="30">
        <f t="shared" si="35"/>
        <v>2055.6944640000038</v>
      </c>
      <c r="F144" s="30">
        <f t="shared" si="35"/>
        <v>1942.6312684799996</v>
      </c>
      <c r="G144" s="30">
        <f t="shared" si="35"/>
        <v>1781.6703919487991</v>
      </c>
      <c r="I144" s="13"/>
      <c r="J144" s="13"/>
      <c r="K144" s="13"/>
      <c r="L144" s="13"/>
      <c r="M144" s="13"/>
      <c r="O144" s="13"/>
      <c r="P144" s="13"/>
      <c r="Q144" s="13"/>
      <c r="R144" s="13"/>
      <c r="S144" s="13"/>
    </row>
    <row r="145" spans="1:19" outlineLevel="1" x14ac:dyDescent="0.2">
      <c r="A145" s="13" t="s">
        <v>190</v>
      </c>
      <c r="C145" s="30">
        <f t="shared" si="35"/>
        <v>0</v>
      </c>
      <c r="D145" s="30">
        <f t="shared" si="35"/>
        <v>0</v>
      </c>
      <c r="E145" s="30">
        <f t="shared" si="35"/>
        <v>0</v>
      </c>
      <c r="F145" s="30">
        <f t="shared" si="35"/>
        <v>0</v>
      </c>
      <c r="G145" s="30">
        <f t="shared" si="35"/>
        <v>0</v>
      </c>
      <c r="I145" s="13"/>
      <c r="J145" s="13"/>
      <c r="K145" s="13"/>
      <c r="L145" s="13"/>
      <c r="M145" s="13"/>
      <c r="O145" s="13"/>
      <c r="P145" s="13"/>
      <c r="Q145" s="13"/>
      <c r="R145" s="13"/>
      <c r="S145" s="13"/>
    </row>
    <row r="146" spans="1:19" outlineLevel="1" x14ac:dyDescent="0.2">
      <c r="A146" s="13" t="s">
        <v>30</v>
      </c>
      <c r="C146" s="30">
        <f t="shared" ref="C146:G147" si="36">-(C79-B79)</f>
        <v>-27676</v>
      </c>
      <c r="D146" s="30">
        <f t="shared" si="36"/>
        <v>26000</v>
      </c>
      <c r="E146" s="30">
        <f t="shared" si="36"/>
        <v>0</v>
      </c>
      <c r="F146" s="30">
        <f t="shared" si="36"/>
        <v>0</v>
      </c>
      <c r="G146" s="30">
        <f t="shared" si="36"/>
        <v>0</v>
      </c>
      <c r="I146" s="13"/>
      <c r="J146" s="13"/>
      <c r="K146" s="13"/>
      <c r="L146" s="13"/>
      <c r="M146" s="13"/>
      <c r="O146" s="13"/>
      <c r="P146" s="13"/>
      <c r="Q146" s="13"/>
      <c r="R146" s="13"/>
      <c r="S146" s="13"/>
    </row>
    <row r="147" spans="1:19" outlineLevel="1" x14ac:dyDescent="0.2">
      <c r="A147" s="13" t="s">
        <v>191</v>
      </c>
      <c r="C147" s="30">
        <f t="shared" si="36"/>
        <v>0</v>
      </c>
      <c r="D147" s="30">
        <f t="shared" si="36"/>
        <v>0</v>
      </c>
      <c r="E147" s="30">
        <f t="shared" si="36"/>
        <v>0</v>
      </c>
      <c r="F147" s="30">
        <f t="shared" si="36"/>
        <v>0</v>
      </c>
      <c r="G147" s="30">
        <f t="shared" si="36"/>
        <v>0</v>
      </c>
      <c r="I147" s="13"/>
      <c r="J147" s="13"/>
      <c r="K147" s="13"/>
      <c r="L147" s="13"/>
      <c r="M147" s="13"/>
      <c r="O147" s="13"/>
      <c r="P147" s="13"/>
      <c r="Q147" s="13"/>
      <c r="R147" s="13"/>
      <c r="S147" s="13"/>
    </row>
    <row r="148" spans="1:19" outlineLevel="1" x14ac:dyDescent="0.2">
      <c r="A148" s="13" t="s">
        <v>37</v>
      </c>
      <c r="C148" s="30">
        <f t="shared" ref="C148:G149" si="37">C93-B93</f>
        <v>5000</v>
      </c>
      <c r="D148" s="30">
        <f t="shared" si="37"/>
        <v>-5000</v>
      </c>
      <c r="E148" s="30">
        <f t="shared" si="37"/>
        <v>0</v>
      </c>
      <c r="F148" s="30">
        <f t="shared" si="37"/>
        <v>0</v>
      </c>
      <c r="G148" s="30">
        <f t="shared" si="37"/>
        <v>0</v>
      </c>
      <c r="I148" s="13"/>
      <c r="J148" s="13"/>
      <c r="K148" s="13"/>
      <c r="L148" s="13"/>
      <c r="M148" s="13"/>
      <c r="O148" s="13"/>
      <c r="P148" s="13"/>
      <c r="Q148" s="13"/>
      <c r="R148" s="13"/>
      <c r="S148" s="13"/>
    </row>
    <row r="149" spans="1:19" outlineLevel="1" x14ac:dyDescent="0.2">
      <c r="A149" s="13" t="s">
        <v>192</v>
      </c>
      <c r="C149" s="30">
        <f t="shared" si="37"/>
        <v>0</v>
      </c>
      <c r="D149" s="30">
        <f t="shared" si="37"/>
        <v>0</v>
      </c>
      <c r="E149" s="30">
        <f t="shared" si="37"/>
        <v>0</v>
      </c>
      <c r="F149" s="30">
        <f t="shared" si="37"/>
        <v>0</v>
      </c>
      <c r="G149" s="30">
        <f t="shared" si="37"/>
        <v>0</v>
      </c>
      <c r="I149" s="13"/>
      <c r="J149" s="13"/>
      <c r="K149" s="13"/>
      <c r="L149" s="13"/>
      <c r="M149" s="13"/>
      <c r="O149" s="13"/>
      <c r="P149" s="13"/>
      <c r="Q149" s="13"/>
      <c r="R149" s="13"/>
      <c r="S149" s="13"/>
    </row>
    <row r="150" spans="1:19" outlineLevel="1" x14ac:dyDescent="0.2">
      <c r="A150" s="21" t="s">
        <v>77</v>
      </c>
      <c r="C150" s="21">
        <f>SUM(C142:C149)</f>
        <v>-21015.08</v>
      </c>
      <c r="D150" s="21">
        <f t="shared" ref="D150:G150" si="38">SUM(D142:D149)</f>
        <v>21634.473600000001</v>
      </c>
      <c r="E150" s="21">
        <f t="shared" si="38"/>
        <v>685.23148800000126</v>
      </c>
      <c r="F150" s="21">
        <f t="shared" si="38"/>
        <v>647.54375616000107</v>
      </c>
      <c r="G150" s="21">
        <f t="shared" si="38"/>
        <v>593.89013064959727</v>
      </c>
      <c r="I150" s="115"/>
      <c r="J150" s="115"/>
      <c r="K150" s="115"/>
      <c r="L150" s="115"/>
      <c r="M150" s="115"/>
      <c r="O150" s="115"/>
      <c r="P150" s="115"/>
      <c r="Q150" s="115"/>
      <c r="R150" s="115"/>
      <c r="S150" s="115"/>
    </row>
    <row r="151" spans="1:19" outlineLevel="1" x14ac:dyDescent="0.2">
      <c r="A151" s="21" t="s">
        <v>72</v>
      </c>
      <c r="C151" s="21">
        <f ca="1">C141+C150</f>
        <v>-21015.08</v>
      </c>
      <c r="D151" s="31">
        <f t="shared" ref="D151:G151" ca="1" si="39">D141+D150</f>
        <v>21634.473600000001</v>
      </c>
      <c r="E151" s="31">
        <f t="shared" ca="1" si="39"/>
        <v>685.23148800000126</v>
      </c>
      <c r="F151" s="31">
        <f t="shared" ca="1" si="39"/>
        <v>647.54375616000107</v>
      </c>
      <c r="G151" s="31">
        <f t="shared" ca="1" si="39"/>
        <v>624.34846408994929</v>
      </c>
      <c r="I151" s="115"/>
      <c r="J151" s="115"/>
      <c r="K151" s="115"/>
      <c r="L151" s="115"/>
      <c r="M151" s="115"/>
      <c r="O151" s="115"/>
      <c r="P151" s="115"/>
      <c r="Q151" s="115"/>
      <c r="R151" s="115"/>
      <c r="S151" s="115"/>
    </row>
    <row r="152" spans="1:19" outlineLevel="1" x14ac:dyDescent="0.2">
      <c r="A152" s="21" t="s">
        <v>73</v>
      </c>
      <c r="C152" s="21">
        <f ca="1">C137+C151</f>
        <v>2013.7536383999104</v>
      </c>
      <c r="D152" s="31">
        <f t="shared" ref="D152:G152" ca="1" si="40">D137+D151</f>
        <v>34994.265218303975</v>
      </c>
      <c r="E152" s="31">
        <f t="shared" ca="1" si="40"/>
        <v>71990.475387402315</v>
      </c>
      <c r="F152" s="31">
        <f t="shared" ca="1" si="40"/>
        <v>95874.975971766384</v>
      </c>
      <c r="G152" s="31">
        <f t="shared" ca="1" si="40"/>
        <v>117211.0088239672</v>
      </c>
      <c r="I152" s="115"/>
      <c r="J152" s="115"/>
      <c r="K152" s="115"/>
      <c r="L152" s="115"/>
      <c r="M152" s="115"/>
      <c r="O152" s="115"/>
      <c r="P152" s="115"/>
      <c r="Q152" s="115"/>
      <c r="R152" s="115"/>
      <c r="S152" s="115"/>
    </row>
    <row r="153" spans="1:19" outlineLevel="1" x14ac:dyDescent="0.2">
      <c r="A153" s="13" t="s">
        <v>188</v>
      </c>
      <c r="C153" s="13">
        <f ca="1">IF(C58*(1-C$14)&lt;0,0,-C58*(1-C$14))</f>
        <v>-1214.1520958799033</v>
      </c>
      <c r="D153" s="13">
        <f ca="1">IF(D58*(1-D$14)&lt;0,0,-D58*(1-D$14))</f>
        <v>-2227.4819063210621</v>
      </c>
      <c r="E153" s="13">
        <f ca="1">IF(E58*(1-E$14)&lt;0,0,-E58*(1-E$14))</f>
        <v>-1708.5887866017993</v>
      </c>
      <c r="F153" s="13">
        <f ca="1">IF(F58*(1-F$14)&lt;0,0,-F58*(1-F$14))</f>
        <v>-901.34417998568392</v>
      </c>
      <c r="G153" s="13">
        <f ca="1">IF(G58*(1-G$14)&lt;0,0,-G58*(1-G$14))</f>
        <v>0</v>
      </c>
      <c r="I153" s="13"/>
      <c r="J153" s="13"/>
      <c r="K153" s="13"/>
      <c r="L153" s="13"/>
      <c r="M153" s="13"/>
      <c r="O153" s="13"/>
      <c r="P153" s="13"/>
      <c r="Q153" s="13"/>
      <c r="R153" s="13"/>
      <c r="S153" s="13"/>
    </row>
    <row r="154" spans="1:19" outlineLevel="1" x14ac:dyDescent="0.2">
      <c r="A154" s="13" t="s">
        <v>193</v>
      </c>
      <c r="C154" s="13">
        <f>-(C57*(1-C$14))</f>
        <v>-6600</v>
      </c>
      <c r="D154" s="13">
        <f>-(D57*(1-D$14))</f>
        <v>-6600</v>
      </c>
      <c r="E154" s="13">
        <f>-(E57*(1-E$14))</f>
        <v>-6600</v>
      </c>
      <c r="F154" s="13">
        <f>-(F57*(1-F$14))</f>
        <v>-6600</v>
      </c>
      <c r="G154" s="13">
        <f>-(G57*(1-G$14))</f>
        <v>-6600</v>
      </c>
      <c r="I154" s="13"/>
      <c r="J154" s="13"/>
      <c r="K154" s="13"/>
      <c r="L154" s="13"/>
      <c r="M154" s="13"/>
      <c r="O154" s="13"/>
      <c r="P154" s="13"/>
      <c r="Q154" s="13"/>
      <c r="R154" s="13"/>
      <c r="S154" s="13"/>
    </row>
    <row r="155" spans="1:19" outlineLevel="1" x14ac:dyDescent="0.2">
      <c r="A155" s="13" t="s">
        <v>53</v>
      </c>
      <c r="C155" s="34">
        <f ca="1">C83-B83</f>
        <v>17987.43845748005</v>
      </c>
      <c r="D155" s="34">
        <f ca="1">D83-C83</f>
        <v>15012.293488017167</v>
      </c>
      <c r="E155" s="34">
        <f ca="1">E83-D83</f>
        <v>-4523.2521688005654</v>
      </c>
      <c r="F155" s="34">
        <f ca="1">F83-E83</f>
        <v>-11308.019205540768</v>
      </c>
      <c r="G155" s="34">
        <f ca="1">G83-F83</f>
        <v>-17168.460571155883</v>
      </c>
      <c r="I155" s="13"/>
      <c r="J155" s="13"/>
      <c r="K155" s="13"/>
      <c r="L155" s="13"/>
      <c r="M155" s="13"/>
      <c r="O155" s="13"/>
      <c r="P155" s="13"/>
      <c r="Q155" s="13"/>
      <c r="R155" s="13"/>
      <c r="S155" s="13"/>
    </row>
    <row r="156" spans="1:19" outlineLevel="1" x14ac:dyDescent="0.2">
      <c r="A156" s="13" t="s">
        <v>36</v>
      </c>
      <c r="C156" s="34">
        <f>C91-B91</f>
        <v>15000</v>
      </c>
      <c r="D156" s="34">
        <f>D91-C91</f>
        <v>0</v>
      </c>
      <c r="E156" s="34">
        <f>E91-D91</f>
        <v>0</v>
      </c>
      <c r="F156" s="34">
        <f>F91-E91</f>
        <v>0</v>
      </c>
      <c r="G156" s="34">
        <f>G91-F91</f>
        <v>0</v>
      </c>
      <c r="I156" s="13"/>
      <c r="J156" s="13"/>
      <c r="K156" s="13"/>
      <c r="L156" s="13"/>
      <c r="M156" s="13"/>
      <c r="O156" s="13"/>
      <c r="P156" s="13"/>
      <c r="Q156" s="13"/>
      <c r="R156" s="13"/>
      <c r="S156" s="13"/>
    </row>
    <row r="157" spans="1:19" outlineLevel="1" x14ac:dyDescent="0.2">
      <c r="A157" s="21" t="s">
        <v>70</v>
      </c>
      <c r="C157" s="15">
        <f ca="1">SUM(C153:C156)</f>
        <v>25173.286361600149</v>
      </c>
      <c r="D157" s="33">
        <f t="shared" ref="D157:G157" ca="1" si="41">SUM(D153:D156)</f>
        <v>6184.8115816961053</v>
      </c>
      <c r="E157" s="33">
        <f t="shared" ca="1" si="41"/>
        <v>-12831.840955402364</v>
      </c>
      <c r="F157" s="33">
        <f t="shared" ca="1" si="41"/>
        <v>-18809.363385526452</v>
      </c>
      <c r="G157" s="33">
        <f t="shared" ca="1" si="41"/>
        <v>-23768.460571155883</v>
      </c>
      <c r="I157" s="13"/>
      <c r="J157" s="13"/>
      <c r="K157" s="13"/>
      <c r="L157" s="13"/>
      <c r="M157" s="13"/>
      <c r="O157" s="13"/>
      <c r="P157" s="13"/>
      <c r="Q157" s="13"/>
      <c r="R157" s="13"/>
      <c r="S157" s="13"/>
    </row>
    <row r="158" spans="1:19" outlineLevel="1" x14ac:dyDescent="0.2">
      <c r="A158" s="21" t="s">
        <v>71</v>
      </c>
      <c r="C158" s="21">
        <f ca="1">C152+C157</f>
        <v>27187.040000000059</v>
      </c>
      <c r="D158" s="31">
        <f t="shared" ref="D158:G158" ca="1" si="42">D152+D157</f>
        <v>41179.076800000083</v>
      </c>
      <c r="E158" s="31">
        <f t="shared" ca="1" si="42"/>
        <v>59158.634431999948</v>
      </c>
      <c r="F158" s="31">
        <f t="shared" ca="1" si="42"/>
        <v>77065.612586239935</v>
      </c>
      <c r="G158" s="31">
        <f t="shared" ca="1" si="42"/>
        <v>93442.548252811321</v>
      </c>
      <c r="I158" s="115"/>
      <c r="J158" s="115"/>
      <c r="K158" s="115"/>
      <c r="L158" s="115"/>
      <c r="M158" s="115"/>
      <c r="O158" s="115"/>
      <c r="P158" s="115"/>
      <c r="Q158" s="115"/>
      <c r="R158" s="115"/>
      <c r="S158" s="115"/>
    </row>
    <row r="159" spans="1:19" ht="3.75" customHeight="1" outlineLevel="1" x14ac:dyDescent="0.2">
      <c r="D159" s="32"/>
      <c r="E159" s="32"/>
      <c r="F159" s="32"/>
      <c r="G159" s="32"/>
    </row>
    <row r="160" spans="1:19" outlineLevel="1" x14ac:dyDescent="0.2">
      <c r="A160" s="13" t="s">
        <v>3</v>
      </c>
      <c r="C160" s="30">
        <f>-C62</f>
        <v>-21800</v>
      </c>
      <c r="D160" s="30">
        <f>-D62</f>
        <v>-25000</v>
      </c>
      <c r="E160" s="30">
        <f>-E62</f>
        <v>-41000</v>
      </c>
      <c r="F160" s="30">
        <f>-F62</f>
        <v>-68000</v>
      </c>
      <c r="G160" s="30">
        <f>-G62</f>
        <v>-84000</v>
      </c>
      <c r="I160" s="13"/>
      <c r="J160" s="13"/>
      <c r="K160" s="13"/>
      <c r="L160" s="13"/>
      <c r="M160" s="13"/>
      <c r="O160" s="13"/>
      <c r="P160" s="13"/>
      <c r="Q160" s="13"/>
      <c r="R160" s="13"/>
      <c r="S160" s="13"/>
    </row>
    <row r="161" spans="1:19" outlineLevel="1" x14ac:dyDescent="0.2">
      <c r="A161" s="21" t="s">
        <v>74</v>
      </c>
      <c r="C161" s="21">
        <f>C160</f>
        <v>-21800</v>
      </c>
      <c r="D161" s="31">
        <f t="shared" ref="D161:G161" si="43">D160</f>
        <v>-25000</v>
      </c>
      <c r="E161" s="31">
        <f t="shared" si="43"/>
        <v>-41000</v>
      </c>
      <c r="F161" s="31">
        <f t="shared" si="43"/>
        <v>-68000</v>
      </c>
      <c r="G161" s="31">
        <f t="shared" si="43"/>
        <v>-84000</v>
      </c>
      <c r="I161" s="115"/>
      <c r="J161" s="115"/>
      <c r="K161" s="115"/>
      <c r="L161" s="115"/>
      <c r="M161" s="115"/>
      <c r="O161" s="115"/>
      <c r="P161" s="115"/>
      <c r="Q161" s="115"/>
      <c r="R161" s="115"/>
      <c r="S161" s="115"/>
    </row>
    <row r="162" spans="1:19" ht="3.75" customHeight="1" outlineLevel="1" x14ac:dyDescent="0.2">
      <c r="D162" s="32"/>
      <c r="E162" s="32"/>
      <c r="F162" s="32"/>
      <c r="G162" s="32"/>
    </row>
    <row r="163" spans="1:19" outlineLevel="1" x14ac:dyDescent="0.2">
      <c r="A163" s="20" t="s">
        <v>78</v>
      </c>
      <c r="C163" s="21">
        <f ca="1">C158+C161</f>
        <v>5387.0400000000591</v>
      </c>
      <c r="D163" s="31">
        <f t="shared" ref="D163:G163" ca="1" si="44">D158+D161</f>
        <v>16179.076800000083</v>
      </c>
      <c r="E163" s="31">
        <f t="shared" ca="1" si="44"/>
        <v>18158.634431999948</v>
      </c>
      <c r="F163" s="31">
        <f t="shared" ca="1" si="44"/>
        <v>9065.6125862399349</v>
      </c>
      <c r="G163" s="31">
        <f t="shared" ca="1" si="44"/>
        <v>9442.5482528113207</v>
      </c>
      <c r="I163" s="115"/>
      <c r="J163" s="115"/>
      <c r="K163" s="115"/>
      <c r="L163" s="115"/>
      <c r="M163" s="115"/>
      <c r="O163" s="115"/>
      <c r="P163" s="115"/>
      <c r="Q163" s="115"/>
      <c r="R163" s="115"/>
      <c r="S163" s="115"/>
    </row>
    <row r="164" spans="1:19" ht="3" customHeight="1" outlineLevel="1" x14ac:dyDescent="0.2">
      <c r="A164" s="23"/>
      <c r="C164" s="24"/>
      <c r="D164" s="24"/>
      <c r="E164" s="24"/>
      <c r="F164" s="24"/>
      <c r="G164" s="24"/>
    </row>
    <row r="165" spans="1:19" outlineLevel="1" x14ac:dyDescent="0.2">
      <c r="A165" s="35" t="s">
        <v>75</v>
      </c>
      <c r="C165" s="36">
        <f ca="1">C152+C157+C161-C163</f>
        <v>0</v>
      </c>
      <c r="D165" s="36">
        <f t="shared" ref="D165:G165" ca="1" si="45">D152+D157+D161-D163</f>
        <v>0</v>
      </c>
      <c r="E165" s="36">
        <f t="shared" ca="1" si="45"/>
        <v>0</v>
      </c>
      <c r="F165" s="36">
        <f t="shared" ca="1" si="45"/>
        <v>0</v>
      </c>
      <c r="G165" s="36">
        <f t="shared" ca="1" si="45"/>
        <v>0</v>
      </c>
    </row>
    <row r="166" spans="1:19" outlineLevel="1" x14ac:dyDescent="0.2">
      <c r="A166" s="35" t="s">
        <v>75</v>
      </c>
      <c r="C166" s="36">
        <f ca="1">(C70+C71)-(B70+B71)-C163</f>
        <v>-6.5483618527650833E-11</v>
      </c>
      <c r="D166" s="36">
        <f ca="1">(D70+D71)-(C70+C71)-D163</f>
        <v>-5.8207660913467407E-11</v>
      </c>
      <c r="E166" s="36">
        <f ca="1">(E70+E71)-(D70+D71)-E163</f>
        <v>7.2759576141834259E-11</v>
      </c>
      <c r="F166" s="36">
        <f ca="1">(F70+F71)-(E70+E71)-F163</f>
        <v>5.8207660913467407E-11</v>
      </c>
      <c r="G166" s="36">
        <f ca="1">(G70+G71)-(F70+F71)-G163</f>
        <v>-1.6007106751203537E-10</v>
      </c>
    </row>
    <row r="167" spans="1:19" outlineLevel="1" x14ac:dyDescent="0.2"/>
    <row r="169" spans="1:19" x14ac:dyDescent="0.2">
      <c r="A169" s="39" t="s">
        <v>84</v>
      </c>
      <c r="B169" s="39"/>
      <c r="C169" s="39"/>
      <c r="D169" s="39"/>
      <c r="E169" s="39"/>
      <c r="F169" s="39"/>
      <c r="G169" s="39"/>
      <c r="H169" s="39"/>
    </row>
    <row r="170" spans="1:19" outlineLevel="1" x14ac:dyDescent="0.2"/>
    <row r="171" spans="1:19" outlineLevel="1" x14ac:dyDescent="0.2">
      <c r="A171" s="68" t="s">
        <v>94</v>
      </c>
      <c r="B171" s="69"/>
      <c r="C171" s="69"/>
      <c r="D171" s="69"/>
      <c r="E171" s="69"/>
      <c r="F171" s="69"/>
      <c r="G171" s="69"/>
      <c r="H171" s="69"/>
    </row>
    <row r="172" spans="1:19" outlineLevel="2" x14ac:dyDescent="0.2"/>
    <row r="173" spans="1:19" outlineLevel="2" x14ac:dyDescent="0.2">
      <c r="A173" s="75" t="s">
        <v>147</v>
      </c>
      <c r="B173" s="76"/>
      <c r="C173" s="76"/>
      <c r="D173" s="76"/>
      <c r="E173" s="76"/>
      <c r="F173" s="76"/>
      <c r="G173" s="76"/>
      <c r="H173" s="76"/>
    </row>
    <row r="174" spans="1:19" outlineLevel="2" x14ac:dyDescent="0.2">
      <c r="A174" t="s">
        <v>85</v>
      </c>
      <c r="B174" s="80">
        <f>$G$6</f>
        <v>0.03</v>
      </c>
    </row>
    <row r="175" spans="1:19" outlineLevel="2" x14ac:dyDescent="0.2">
      <c r="A175" t="s">
        <v>86</v>
      </c>
      <c r="B175" s="117">
        <f>$G$40</f>
        <v>8.6999999999999994E-2</v>
      </c>
    </row>
    <row r="176" spans="1:19" outlineLevel="2" x14ac:dyDescent="0.2"/>
    <row r="177" spans="1:8" outlineLevel="2" x14ac:dyDescent="0.2">
      <c r="B177" s="28">
        <f>$B$3</f>
        <v>2022</v>
      </c>
      <c r="C177" s="41">
        <f>$C$3</f>
        <v>2023</v>
      </c>
      <c r="D177" s="41">
        <f>$D$3</f>
        <v>2024</v>
      </c>
      <c r="E177" s="41">
        <f>$E$3</f>
        <v>2025</v>
      </c>
      <c r="F177" s="41">
        <f>$F$3</f>
        <v>2026</v>
      </c>
      <c r="G177" s="41">
        <f>$G$3</f>
        <v>2027</v>
      </c>
      <c r="H177" s="65" t="s">
        <v>87</v>
      </c>
    </row>
    <row r="178" spans="1:8" outlineLevel="2" x14ac:dyDescent="0.2">
      <c r="B178" s="74">
        <f>DATE(B177,12,31)</f>
        <v>44926</v>
      </c>
      <c r="C178" s="74">
        <f>DATE((B177+1),12,31)</f>
        <v>45291</v>
      </c>
      <c r="D178" s="74">
        <f t="shared" ref="D178:G178" si="46">DATE((C177+1),12,31)</f>
        <v>45657</v>
      </c>
      <c r="E178" s="74">
        <f t="shared" si="46"/>
        <v>46022</v>
      </c>
      <c r="F178" s="74">
        <f t="shared" si="46"/>
        <v>46387</v>
      </c>
      <c r="G178" s="74">
        <f t="shared" si="46"/>
        <v>46752</v>
      </c>
      <c r="H178" s="74">
        <f>G178</f>
        <v>46752</v>
      </c>
    </row>
    <row r="179" spans="1:8" outlineLevel="2" x14ac:dyDescent="0.2">
      <c r="B179" s="28"/>
      <c r="C179" s="41"/>
      <c r="D179" s="41"/>
      <c r="E179" s="41"/>
      <c r="F179" s="41"/>
      <c r="G179" s="41"/>
      <c r="H179" s="65"/>
    </row>
    <row r="180" spans="1:8" outlineLevel="2" x14ac:dyDescent="0.2">
      <c r="A180" t="s">
        <v>131</v>
      </c>
      <c r="B180" s="27">
        <v>0</v>
      </c>
      <c r="C180" s="30">
        <f>C137</f>
        <v>23028.833638399912</v>
      </c>
      <c r="D180" s="30">
        <f t="shared" ref="D180:G180" si="47">D137</f>
        <v>13359.791618303978</v>
      </c>
      <c r="E180" s="30">
        <f t="shared" si="47"/>
        <v>71305.24389940231</v>
      </c>
      <c r="F180" s="30">
        <f t="shared" si="47"/>
        <v>95227.432215606386</v>
      </c>
      <c r="G180" s="30">
        <f t="shared" si="47"/>
        <v>116586.66035987725</v>
      </c>
      <c r="H180" s="34">
        <f>G180*(1+$B$174)/($B$175-$B$174)</f>
        <v>2106741.4065030455</v>
      </c>
    </row>
    <row r="181" spans="1:8" outlineLevel="2" x14ac:dyDescent="0.2">
      <c r="A181" t="s">
        <v>134</v>
      </c>
      <c r="B181" s="27"/>
      <c r="C181" s="13"/>
      <c r="D181" s="13"/>
      <c r="E181" s="13"/>
      <c r="F181" s="13"/>
      <c r="G181" s="34">
        <f>H180</f>
        <v>2106741.4065030455</v>
      </c>
      <c r="H181" s="13"/>
    </row>
    <row r="182" spans="1:8" outlineLevel="2" x14ac:dyDescent="0.2">
      <c r="A182" s="20" t="s">
        <v>132</v>
      </c>
      <c r="B182" s="58"/>
      <c r="C182" s="31">
        <f t="shared" ref="C182:F182" si="48">C180+C181</f>
        <v>23028.833638399912</v>
      </c>
      <c r="D182" s="31">
        <f t="shared" si="48"/>
        <v>13359.791618303978</v>
      </c>
      <c r="E182" s="31">
        <f t="shared" si="48"/>
        <v>71305.24389940231</v>
      </c>
      <c r="F182" s="31">
        <f t="shared" si="48"/>
        <v>95227.432215606386</v>
      </c>
      <c r="G182" s="31">
        <f>G180+G181</f>
        <v>2223328.0668629226</v>
      </c>
      <c r="H182" s="13"/>
    </row>
    <row r="183" spans="1:8" outlineLevel="2" x14ac:dyDescent="0.2">
      <c r="B183" s="27"/>
      <c r="C183" s="13"/>
      <c r="D183" s="13"/>
      <c r="E183" s="13"/>
      <c r="F183" s="13"/>
      <c r="G183" s="13"/>
      <c r="H183" s="13"/>
    </row>
    <row r="184" spans="1:8" outlineLevel="2" x14ac:dyDescent="0.2">
      <c r="A184" t="s">
        <v>133</v>
      </c>
      <c r="B184" s="27">
        <v>0</v>
      </c>
      <c r="C184" s="30">
        <f ca="1">C151</f>
        <v>-21015.08</v>
      </c>
      <c r="D184" s="30">
        <f t="shared" ref="D184:G184" ca="1" si="49">D151</f>
        <v>21634.473600000001</v>
      </c>
      <c r="E184" s="30">
        <f t="shared" ca="1" si="49"/>
        <v>685.23148800000126</v>
      </c>
      <c r="F184" s="30">
        <f t="shared" ca="1" si="49"/>
        <v>647.54375616000107</v>
      </c>
      <c r="G184" s="30">
        <f t="shared" ca="1" si="49"/>
        <v>624.34846408994929</v>
      </c>
      <c r="H184" s="34">
        <f ca="1">G184*(1+$B$174)/($B$175-$B$174)</f>
        <v>11282.086280923648</v>
      </c>
    </row>
    <row r="185" spans="1:8" outlineLevel="2" x14ac:dyDescent="0.2">
      <c r="A185" t="s">
        <v>135</v>
      </c>
      <c r="G185" s="34">
        <f ca="1">H184</f>
        <v>11282.086280923648</v>
      </c>
    </row>
    <row r="186" spans="1:8" outlineLevel="2" x14ac:dyDescent="0.2">
      <c r="A186" s="20" t="s">
        <v>136</v>
      </c>
      <c r="B186" s="58"/>
      <c r="C186" s="31">
        <f t="shared" ref="C186:F186" ca="1" si="50">C184+C185</f>
        <v>-21015.08</v>
      </c>
      <c r="D186" s="31">
        <f t="shared" ca="1" si="50"/>
        <v>21634.473600000001</v>
      </c>
      <c r="E186" s="31">
        <f t="shared" ca="1" si="50"/>
        <v>685.23148800000126</v>
      </c>
      <c r="F186" s="31">
        <f t="shared" ca="1" si="50"/>
        <v>647.54375616000107</v>
      </c>
      <c r="G186" s="31">
        <f ca="1">G184+G185</f>
        <v>11906.434745013597</v>
      </c>
      <c r="H186" s="13"/>
    </row>
    <row r="187" spans="1:8" outlineLevel="2" x14ac:dyDescent="0.2">
      <c r="B187" s="27"/>
      <c r="C187" s="13"/>
      <c r="D187" s="13"/>
      <c r="E187" s="13"/>
      <c r="F187" s="13"/>
      <c r="G187" s="13"/>
      <c r="H187" s="13"/>
    </row>
    <row r="188" spans="1:8" outlineLevel="2" x14ac:dyDescent="0.2">
      <c r="A188" t="s">
        <v>88</v>
      </c>
      <c r="B188" s="30">
        <f>NPV($B$175,C182:G182)</f>
        <v>1621281.1389763737</v>
      </c>
      <c r="C188" s="82">
        <f ca="1">B188/$B$190</f>
        <v>0.99519984705678166</v>
      </c>
    </row>
    <row r="189" spans="1:8" outlineLevel="2" x14ac:dyDescent="0.2">
      <c r="A189" t="s">
        <v>89</v>
      </c>
      <c r="B189" s="34">
        <f ca="1">NPV($B$175,C186:G186)</f>
        <v>7819.934311744054</v>
      </c>
      <c r="C189" s="82">
        <f ca="1">B189/$B$190</f>
        <v>4.8001529432183023E-3</v>
      </c>
    </row>
    <row r="190" spans="1:8" outlineLevel="2" x14ac:dyDescent="0.2">
      <c r="A190" s="20" t="s">
        <v>90</v>
      </c>
      <c r="B190" s="31">
        <f ca="1">B188+B189</f>
        <v>1629101.0732881178</v>
      </c>
      <c r="C190" s="83">
        <f ca="1">C188+C189</f>
        <v>1</v>
      </c>
    </row>
    <row r="191" spans="1:8" outlineLevel="2" x14ac:dyDescent="0.2">
      <c r="A191" t="s">
        <v>91</v>
      </c>
      <c r="B191" s="34">
        <f>B71</f>
        <v>89784</v>
      </c>
    </row>
    <row r="192" spans="1:8" outlineLevel="2" x14ac:dyDescent="0.2">
      <c r="A192" t="s">
        <v>92</v>
      </c>
      <c r="B192" s="30">
        <f>B91</f>
        <v>150000</v>
      </c>
    </row>
    <row r="193" spans="1:8" outlineLevel="2" x14ac:dyDescent="0.2">
      <c r="A193" s="14" t="s">
        <v>93</v>
      </c>
      <c r="B193" s="81">
        <f ca="1">B190+B191-B192</f>
        <v>1568885.0732881178</v>
      </c>
    </row>
    <row r="194" spans="1:8" outlineLevel="2" x14ac:dyDescent="0.2">
      <c r="B194" s="13"/>
    </row>
    <row r="195" spans="1:8" outlineLevel="2" x14ac:dyDescent="0.2">
      <c r="A195" s="75" t="s">
        <v>145</v>
      </c>
      <c r="B195" s="77"/>
      <c r="C195" s="76"/>
      <c r="D195" s="76"/>
      <c r="E195" s="76"/>
      <c r="F195" s="76"/>
      <c r="G195" s="76"/>
      <c r="H195" s="76"/>
    </row>
    <row r="196" spans="1:8" outlineLevel="2" x14ac:dyDescent="0.2">
      <c r="C196" s="147" t="s">
        <v>157</v>
      </c>
      <c r="D196" s="147"/>
      <c r="E196" s="147"/>
      <c r="F196" s="147"/>
      <c r="G196" s="147"/>
    </row>
    <row r="197" spans="1:8" ht="20.25" customHeight="1" outlineLevel="2" x14ac:dyDescent="0.2">
      <c r="C197" s="148" t="s">
        <v>95</v>
      </c>
      <c r="D197" s="148"/>
      <c r="E197" s="148"/>
      <c r="F197" s="148"/>
      <c r="G197" s="148"/>
    </row>
    <row r="198" spans="1:8" outlineLevel="2" x14ac:dyDescent="0.2">
      <c r="B198" s="30">
        <f ca="1">B190</f>
        <v>1629101.0732881178</v>
      </c>
      <c r="C198" s="84">
        <v>0.01</v>
      </c>
      <c r="D198" s="85">
        <f>C198+0.01</f>
        <v>0.02</v>
      </c>
      <c r="E198" s="85">
        <f t="shared" ref="E198:G198" si="51">D198+0.01</f>
        <v>0.03</v>
      </c>
      <c r="F198" s="85">
        <f t="shared" si="51"/>
        <v>0.04</v>
      </c>
      <c r="G198" s="85">
        <f t="shared" si="51"/>
        <v>0.05</v>
      </c>
    </row>
    <row r="199" spans="1:8" outlineLevel="2" x14ac:dyDescent="0.2">
      <c r="A199" s="146" t="s">
        <v>96</v>
      </c>
      <c r="B199" s="86">
        <v>7.6999999999999999E-2</v>
      </c>
      <c r="C199" s="13">
        <f t="dataTable" ref="C199:G203" dt2D="1" dtr="1" r1="B174" r2="B175" ca="1"/>
        <v>1461187.5530104609</v>
      </c>
      <c r="D199" s="13">
        <v>1689303.650011484</v>
      </c>
      <c r="E199" s="96">
        <v>2014490.4265874098</v>
      </c>
      <c r="F199" s="96">
        <v>2515453.8391503226</v>
      </c>
      <c r="G199" s="47">
        <v>3387501.2610190972</v>
      </c>
    </row>
    <row r="200" spans="1:8" outlineLevel="2" x14ac:dyDescent="0.2">
      <c r="A200" s="146"/>
      <c r="B200" s="87">
        <f>B199+0.01</f>
        <v>8.6999999999999994E-2</v>
      </c>
      <c r="C200" s="13">
        <v>1246527.7862672114</v>
      </c>
      <c r="D200" s="13">
        <v>1409264.1844775968</v>
      </c>
      <c r="E200" s="96">
        <v>1629101.0732881178</v>
      </c>
      <c r="F200" s="96">
        <v>1942485.5743584344</v>
      </c>
      <c r="G200" s="13">
        <v>2425267.1030343277</v>
      </c>
    </row>
    <row r="201" spans="1:8" outlineLevel="2" x14ac:dyDescent="0.2">
      <c r="A201" s="146"/>
      <c r="B201" s="87">
        <f t="shared" ref="B201:B203" si="52">B200+0.01</f>
        <v>9.6999999999999989E-2</v>
      </c>
      <c r="C201" s="13">
        <v>1081949.7904124227</v>
      </c>
      <c r="D201" s="13">
        <v>1202767.8665216726</v>
      </c>
      <c r="E201" s="96">
        <v>1359651.0399769666</v>
      </c>
      <c r="F201" s="96">
        <v>1571580.9409604345</v>
      </c>
      <c r="G201" s="13">
        <v>1873693.7785326121</v>
      </c>
    </row>
    <row r="202" spans="1:8" outlineLevel="2" x14ac:dyDescent="0.2">
      <c r="A202" s="146"/>
      <c r="B202" s="87">
        <f t="shared" si="52"/>
        <v>0.10699999999999998</v>
      </c>
      <c r="C202" s="13">
        <v>951935.00649830804</v>
      </c>
      <c r="D202" s="13">
        <v>1044423.3355911651</v>
      </c>
      <c r="E202" s="96">
        <v>1160934.6073055433</v>
      </c>
      <c r="F202" s="96">
        <v>1312225.3631137661</v>
      </c>
      <c r="G202" s="13">
        <v>1516600.5946441719</v>
      </c>
    </row>
    <row r="203" spans="1:8" outlineLevel="2" x14ac:dyDescent="0.2">
      <c r="A203" s="146"/>
      <c r="B203" s="87">
        <f t="shared" si="52"/>
        <v>0.11699999999999998</v>
      </c>
      <c r="C203" s="47">
        <v>846767.66003884631</v>
      </c>
      <c r="D203" s="13">
        <v>919311.44306109846</v>
      </c>
      <c r="E203" s="13">
        <v>1008531.9578126034</v>
      </c>
      <c r="F203" s="13">
        <v>1120926.6322398239</v>
      </c>
      <c r="G203" s="13">
        <v>1266871.9557497974</v>
      </c>
    </row>
    <row r="204" spans="1:8" outlineLevel="2" x14ac:dyDescent="0.2">
      <c r="A204" s="114"/>
      <c r="B204" s="42"/>
      <c r="C204" s="13"/>
      <c r="D204" s="13"/>
      <c r="E204" s="13"/>
      <c r="F204" s="13"/>
      <c r="G204" s="13"/>
    </row>
    <row r="205" spans="1:8" outlineLevel="2" x14ac:dyDescent="0.2">
      <c r="A205" s="114"/>
      <c r="B205" s="42"/>
      <c r="C205" s="13"/>
      <c r="D205" s="13"/>
      <c r="E205" s="13"/>
      <c r="F205" s="13"/>
      <c r="G205" s="13"/>
    </row>
    <row r="206" spans="1:8" outlineLevel="2" x14ac:dyDescent="0.2">
      <c r="A206" s="75" t="s">
        <v>146</v>
      </c>
      <c r="B206" s="78"/>
      <c r="C206" s="76"/>
      <c r="D206" s="76"/>
      <c r="E206" s="76"/>
      <c r="F206" s="76"/>
      <c r="G206" s="76"/>
      <c r="H206" s="76"/>
    </row>
    <row r="207" spans="1:8" outlineLevel="2" x14ac:dyDescent="0.2">
      <c r="A207" s="2"/>
      <c r="B207" s="42"/>
    </row>
    <row r="208" spans="1:8" outlineLevel="2" x14ac:dyDescent="0.2">
      <c r="A208" t="s">
        <v>144</v>
      </c>
      <c r="B208" s="30">
        <f>XNPV($B$175,B180:$H$180,B178:$H$178)</f>
        <v>1620915.4751854364</v>
      </c>
      <c r="C208" s="30">
        <f>XNPV($B$175,C180:$H$180,C178:$H$178)</f>
        <v>1761935.1215265694</v>
      </c>
      <c r="D208" s="30">
        <f>XNPV($B$175,D180:$H$180,D178:$H$178)</f>
        <v>1890623.1919342342</v>
      </c>
      <c r="E208" s="30">
        <f>XNPV($B$175,E180:$H$180,E178:$H$178)</f>
        <v>2040585.3161434161</v>
      </c>
      <c r="F208" s="30">
        <f>XNPV($B$175,F180:$H$180,F178:$H$178)</f>
        <v>2140607.4385292428</v>
      </c>
      <c r="G208" s="30">
        <f>XNPV($B$175,G180:$H$180,G178:$H$178)</f>
        <v>2223328.0668629226</v>
      </c>
      <c r="H208" s="30">
        <f>XNPV($B$175,H180:$H$180,H178:$H$178)</f>
        <v>2106741.4065030455</v>
      </c>
    </row>
    <row r="209" spans="1:8" outlineLevel="2" x14ac:dyDescent="0.2">
      <c r="A209" t="s">
        <v>98</v>
      </c>
      <c r="B209" s="34">
        <f ca="1">XNPV($B$175,B184:$H$184,B178:$H$178)</f>
        <v>7813.7291309817847</v>
      </c>
      <c r="C209" s="34">
        <f ca="1">XNPV($B$175,C184:$H$184,C178:$H$178)</f>
        <v>8493.5235653772033</v>
      </c>
      <c r="D209" s="34">
        <f ca="1">XNPV($B$175,D184:$H$184,D178:$H$178)</f>
        <v>32083.183924793113</v>
      </c>
      <c r="E209" s="34">
        <f ca="1">XNPV($B$175,E184:$H$184,E178:$H$178)</f>
        <v>11357.748123050107</v>
      </c>
      <c r="F209" s="34">
        <f ca="1">XNPV($B$175,F184:$H$184,F178:$H$178)</f>
        <v>11601.025582299466</v>
      </c>
      <c r="G209" s="34">
        <f ca="1">XNPV($B$175,G184:$H$184,G178:$H$178)</f>
        <v>11906.434745013597</v>
      </c>
      <c r="H209" s="34">
        <f ca="1">XNPV($B$175,H184:$H$184,H178:$H$178)</f>
        <v>11282.086280923648</v>
      </c>
    </row>
    <row r="210" spans="1:8" outlineLevel="2" x14ac:dyDescent="0.2">
      <c r="A210" s="20" t="s">
        <v>97</v>
      </c>
      <c r="B210" s="31">
        <f ca="1">B208+B209</f>
        <v>1628729.2043164182</v>
      </c>
      <c r="C210" s="31">
        <f t="shared" ref="C210:H210" ca="1" si="53">C208+C209</f>
        <v>1770428.6450919465</v>
      </c>
      <c r="D210" s="31">
        <f t="shared" ca="1" si="53"/>
        <v>1922706.3758590273</v>
      </c>
      <c r="E210" s="31">
        <f t="shared" ca="1" si="53"/>
        <v>2051943.0642664663</v>
      </c>
      <c r="F210" s="31">
        <f t="shared" ca="1" si="53"/>
        <v>2152208.4641115423</v>
      </c>
      <c r="G210" s="31">
        <f t="shared" ca="1" si="53"/>
        <v>2235234.5016079363</v>
      </c>
      <c r="H210" s="31">
        <f t="shared" ca="1" si="53"/>
        <v>2118023.4927839693</v>
      </c>
    </row>
    <row r="211" spans="1:8" outlineLevel="2" x14ac:dyDescent="0.2"/>
    <row r="212" spans="1:8" outlineLevel="2" x14ac:dyDescent="0.2"/>
    <row r="213" spans="1:8" outlineLevel="2" x14ac:dyDescent="0.2"/>
    <row r="214" spans="1:8" outlineLevel="2" x14ac:dyDescent="0.2"/>
    <row r="215" spans="1:8" outlineLevel="2" x14ac:dyDescent="0.2"/>
    <row r="216" spans="1:8" outlineLevel="2" x14ac:dyDescent="0.2"/>
    <row r="217" spans="1:8" outlineLevel="2" x14ac:dyDescent="0.2"/>
    <row r="218" spans="1:8" outlineLevel="2" x14ac:dyDescent="0.2"/>
    <row r="219" spans="1:8" outlineLevel="2" x14ac:dyDescent="0.2"/>
    <row r="220" spans="1:8" outlineLevel="2" x14ac:dyDescent="0.2"/>
    <row r="221" spans="1:8" outlineLevel="2" x14ac:dyDescent="0.2"/>
    <row r="222" spans="1:8" outlineLevel="2" x14ac:dyDescent="0.2"/>
    <row r="223" spans="1:8" outlineLevel="2" x14ac:dyDescent="0.2"/>
    <row r="224" spans="1:8" outlineLevel="2" x14ac:dyDescent="0.2"/>
    <row r="225" spans="1:8" outlineLevel="2" x14ac:dyDescent="0.2"/>
    <row r="226" spans="1:8" outlineLevel="2" x14ac:dyDescent="0.2"/>
    <row r="227" spans="1:8" outlineLevel="2" x14ac:dyDescent="0.2"/>
    <row r="228" spans="1:8" outlineLevel="2" x14ac:dyDescent="0.2"/>
    <row r="229" spans="1:8" outlineLevel="2" x14ac:dyDescent="0.2"/>
    <row r="230" spans="1:8" outlineLevel="1" x14ac:dyDescent="0.2"/>
    <row r="231" spans="1:8" outlineLevel="1" x14ac:dyDescent="0.2">
      <c r="A231" s="68" t="s">
        <v>99</v>
      </c>
      <c r="B231" s="69"/>
      <c r="C231" s="69"/>
      <c r="D231" s="69"/>
      <c r="E231" s="69"/>
      <c r="F231" s="69"/>
      <c r="G231" s="69"/>
      <c r="H231" s="69"/>
    </row>
    <row r="232" spans="1:8" outlineLevel="2" x14ac:dyDescent="0.2"/>
    <row r="233" spans="1:8" outlineLevel="2" x14ac:dyDescent="0.2">
      <c r="A233" t="s">
        <v>100</v>
      </c>
    </row>
    <row r="234" spans="1:8" outlineLevel="2" x14ac:dyDescent="0.2">
      <c r="A234" t="s">
        <v>101</v>
      </c>
      <c r="B234" s="48" t="s">
        <v>102</v>
      </c>
      <c r="C234" s="48" t="s">
        <v>103</v>
      </c>
      <c r="D234" s="48" t="s">
        <v>104</v>
      </c>
      <c r="E234" s="48" t="s">
        <v>109</v>
      </c>
      <c r="F234" s="48" t="s">
        <v>110</v>
      </c>
    </row>
    <row r="235" spans="1:8" outlineLevel="2" x14ac:dyDescent="0.2">
      <c r="A235" t="s">
        <v>105</v>
      </c>
      <c r="B235" s="45">
        <v>17.07</v>
      </c>
      <c r="C235" s="110">
        <v>21.3</v>
      </c>
      <c r="D235" s="110">
        <v>7.3</v>
      </c>
      <c r="E235" s="45">
        <v>26.74</v>
      </c>
      <c r="F235" s="45">
        <v>3.65</v>
      </c>
    </row>
    <row r="236" spans="1:8" outlineLevel="2" x14ac:dyDescent="0.2">
      <c r="A236" t="s">
        <v>106</v>
      </c>
      <c r="B236" s="45">
        <v>16.809999999999999</v>
      </c>
      <c r="C236" s="110">
        <v>20.02</v>
      </c>
      <c r="D236" s="45">
        <v>3.54</v>
      </c>
      <c r="E236" s="45">
        <v>25.62</v>
      </c>
      <c r="F236" s="45">
        <v>3.34</v>
      </c>
    </row>
    <row r="237" spans="1:8" outlineLevel="2" x14ac:dyDescent="0.2">
      <c r="A237" s="14" t="s">
        <v>107</v>
      </c>
      <c r="B237" s="104">
        <f>AVERAGE(B235:B236)</f>
        <v>16.939999999999998</v>
      </c>
      <c r="C237" s="104">
        <f t="shared" ref="C237:F237" si="54">AVERAGE(C235:C236)</f>
        <v>20.66</v>
      </c>
      <c r="D237" s="104">
        <f t="shared" si="54"/>
        <v>5.42</v>
      </c>
      <c r="E237" s="104">
        <f t="shared" si="54"/>
        <v>26.18</v>
      </c>
      <c r="F237" s="104">
        <f t="shared" si="54"/>
        <v>3.4950000000000001</v>
      </c>
    </row>
    <row r="238" spans="1:8" outlineLevel="2" x14ac:dyDescent="0.2">
      <c r="A238" t="s">
        <v>194</v>
      </c>
    </row>
    <row r="239" spans="1:8" outlineLevel="2" x14ac:dyDescent="0.2"/>
    <row r="240" spans="1:8" outlineLevel="2" x14ac:dyDescent="0.2">
      <c r="A240" t="s">
        <v>176</v>
      </c>
      <c r="B240" s="45">
        <v>18.87</v>
      </c>
      <c r="C240" s="110">
        <v>24</v>
      </c>
      <c r="D240" s="45">
        <v>5.66</v>
      </c>
      <c r="F240" s="45">
        <v>4.5599999999999996</v>
      </c>
    </row>
    <row r="241" spans="1:8" outlineLevel="2" x14ac:dyDescent="0.2">
      <c r="A241" t="s">
        <v>177</v>
      </c>
      <c r="B241" s="45">
        <v>8.69</v>
      </c>
      <c r="C241" s="45">
        <v>12.12</v>
      </c>
      <c r="D241" s="45">
        <v>2.41</v>
      </c>
      <c r="F241" s="110">
        <v>2.1</v>
      </c>
    </row>
    <row r="242" spans="1:8" outlineLevel="2" x14ac:dyDescent="0.2">
      <c r="A242" t="s">
        <v>178</v>
      </c>
      <c r="B242" s="45">
        <v>14.14</v>
      </c>
      <c r="C242" s="45">
        <v>17.27</v>
      </c>
      <c r="D242" s="45">
        <v>3.15</v>
      </c>
      <c r="F242" s="45">
        <v>2.34</v>
      </c>
    </row>
    <row r="243" spans="1:8" outlineLevel="2" x14ac:dyDescent="0.2">
      <c r="A243" t="s">
        <v>180</v>
      </c>
      <c r="B243" s="45">
        <v>17.89</v>
      </c>
      <c r="C243" s="45">
        <v>22.05</v>
      </c>
      <c r="D243" s="45">
        <v>5.82</v>
      </c>
      <c r="F243" s="45">
        <v>4.32</v>
      </c>
    </row>
    <row r="244" spans="1:8" outlineLevel="2" x14ac:dyDescent="0.2">
      <c r="A244" t="s">
        <v>181</v>
      </c>
      <c r="B244" s="45">
        <v>11.14</v>
      </c>
      <c r="C244" s="45">
        <v>31.29</v>
      </c>
      <c r="D244" s="45">
        <v>1.37</v>
      </c>
      <c r="F244" s="110">
        <v>1.99</v>
      </c>
    </row>
    <row r="245" spans="1:8" outlineLevel="2" x14ac:dyDescent="0.2">
      <c r="A245" s="14" t="s">
        <v>115</v>
      </c>
      <c r="B245" s="104">
        <f>AVERAGE(B240:B244)</f>
        <v>14.146000000000001</v>
      </c>
      <c r="C245" s="104">
        <f t="shared" ref="C245:F245" si="55">AVERAGE(C240:C244)</f>
        <v>21.345999999999997</v>
      </c>
      <c r="D245" s="104">
        <f t="shared" si="55"/>
        <v>3.6819999999999999</v>
      </c>
      <c r="E245" s="104"/>
      <c r="F245" s="104">
        <f t="shared" si="55"/>
        <v>3.0620000000000003</v>
      </c>
    </row>
    <row r="246" spans="1:8" outlineLevel="2" x14ac:dyDescent="0.2">
      <c r="A246" t="s">
        <v>183</v>
      </c>
    </row>
    <row r="247" spans="1:8" outlineLevel="2" x14ac:dyDescent="0.2"/>
    <row r="248" spans="1:8" outlineLevel="2" x14ac:dyDescent="0.2">
      <c r="A248" t="s">
        <v>112</v>
      </c>
      <c r="B248" s="121">
        <v>44892</v>
      </c>
    </row>
    <row r="249" spans="1:8" outlineLevel="2" x14ac:dyDescent="0.2">
      <c r="A249" t="s">
        <v>179</v>
      </c>
      <c r="B249" s="121">
        <v>20223</v>
      </c>
    </row>
    <row r="250" spans="1:8" outlineLevel="2" x14ac:dyDescent="0.2">
      <c r="B250" s="27"/>
    </row>
    <row r="251" spans="1:8" outlineLevel="2" x14ac:dyDescent="0.2">
      <c r="B251" s="28">
        <v>2022</v>
      </c>
      <c r="C251" s="49" t="s">
        <v>206</v>
      </c>
      <c r="D251" s="2" t="s">
        <v>153</v>
      </c>
    </row>
    <row r="252" spans="1:8" outlineLevel="2" x14ac:dyDescent="0.2">
      <c r="A252" t="s">
        <v>113</v>
      </c>
      <c r="B252" s="30">
        <f>B253+B249</f>
        <v>132453</v>
      </c>
      <c r="C252" s="88">
        <f>B252*B237</f>
        <v>2243753.8199999998</v>
      </c>
      <c r="D252" s="89">
        <f>B245*B252</f>
        <v>1873680.138</v>
      </c>
      <c r="E252" s="13"/>
      <c r="F252" s="13"/>
    </row>
    <row r="253" spans="1:8" outlineLevel="2" x14ac:dyDescent="0.2">
      <c r="A253" t="s">
        <v>114</v>
      </c>
      <c r="B253" s="34">
        <f>B248+B54</f>
        <v>112230</v>
      </c>
      <c r="C253" s="30">
        <f>B253*C237</f>
        <v>2318671.7999999998</v>
      </c>
      <c r="D253" s="34">
        <f>C245*B253</f>
        <v>2395661.5799999996</v>
      </c>
      <c r="E253" s="13"/>
      <c r="F253" s="13"/>
    </row>
    <row r="254" spans="1:8" outlineLevel="2" x14ac:dyDescent="0.2">
      <c r="A254" t="s">
        <v>182</v>
      </c>
      <c r="B254" s="30">
        <f>B95+B91-B71</f>
        <v>352504</v>
      </c>
      <c r="C254" s="34">
        <f>B254*D237</f>
        <v>1910571.68</v>
      </c>
      <c r="D254" s="30">
        <f>D245*B254</f>
        <v>1297919.7279999999</v>
      </c>
      <c r="E254" s="13"/>
      <c r="F254" s="13"/>
      <c r="H254" s="13"/>
    </row>
    <row r="255" spans="1:8" outlineLevel="2" x14ac:dyDescent="0.2">
      <c r="A255" t="s">
        <v>108</v>
      </c>
      <c r="B255" s="34">
        <f>B253*(1-B14)</f>
        <v>80804.919107485941</v>
      </c>
      <c r="C255" s="30">
        <f>B255*E237</f>
        <v>2115472.7822339819</v>
      </c>
      <c r="D255" s="34"/>
    </row>
    <row r="256" spans="1:8" outlineLevel="2" x14ac:dyDescent="0.2">
      <c r="A256" t="s">
        <v>111</v>
      </c>
      <c r="B256" s="30">
        <f>B48</f>
        <v>748200</v>
      </c>
      <c r="C256" s="34">
        <f>B256*F237</f>
        <v>2614959</v>
      </c>
      <c r="D256" s="30">
        <f>F245*B256</f>
        <v>2290988.4000000004</v>
      </c>
      <c r="E256" s="13"/>
      <c r="F256" s="13"/>
    </row>
    <row r="257" spans="1:8" outlineLevel="2" x14ac:dyDescent="0.2">
      <c r="A257" s="70" t="s">
        <v>107</v>
      </c>
      <c r="B257" s="70"/>
      <c r="C257" s="72">
        <f>AVERAGE(C252:C256)</f>
        <v>2240685.8164467961</v>
      </c>
      <c r="D257" s="72">
        <f>AVERAGE(D252:D256)</f>
        <v>1964562.4615</v>
      </c>
      <c r="E257" s="72"/>
      <c r="F257" s="72"/>
    </row>
    <row r="258" spans="1:8" outlineLevel="2" x14ac:dyDescent="0.2">
      <c r="A258" s="38"/>
      <c r="B258" s="38"/>
      <c r="C258" s="103"/>
      <c r="D258" s="103"/>
      <c r="E258" s="13"/>
    </row>
    <row r="259" spans="1:8" outlineLevel="2" x14ac:dyDescent="0.2">
      <c r="A259" s="38"/>
      <c r="B259" s="38"/>
      <c r="C259" s="103"/>
      <c r="D259" s="103"/>
      <c r="E259" s="13"/>
    </row>
    <row r="260" spans="1:8" outlineLevel="2" x14ac:dyDescent="0.2">
      <c r="A260" s="68" t="s">
        <v>156</v>
      </c>
      <c r="B260" s="69"/>
      <c r="C260" s="69"/>
      <c r="D260" s="69"/>
      <c r="E260" s="69"/>
      <c r="F260" s="69"/>
      <c r="G260" s="69"/>
      <c r="H260" s="69"/>
    </row>
    <row r="261" spans="1:8" ht="16.5" outlineLevel="2" x14ac:dyDescent="0.3">
      <c r="A261" s="98"/>
      <c r="B261" s="98"/>
      <c r="C261" s="98"/>
      <c r="D261" s="99"/>
      <c r="E261" s="98"/>
      <c r="F261" s="100"/>
      <c r="G261" s="100"/>
      <c r="H261" s="100"/>
    </row>
    <row r="262" spans="1:8" ht="16.5" outlineLevel="2" x14ac:dyDescent="0.3">
      <c r="A262" s="98"/>
      <c r="B262" s="98"/>
      <c r="C262" s="113" t="s">
        <v>148</v>
      </c>
      <c r="D262" s="113" t="s">
        <v>149</v>
      </c>
      <c r="E262" s="113" t="s">
        <v>150</v>
      </c>
      <c r="F262" s="113" t="s">
        <v>151</v>
      </c>
      <c r="G262" s="100"/>
      <c r="H262" s="100"/>
    </row>
    <row r="263" spans="1:8" ht="16.5" outlineLevel="2" x14ac:dyDescent="0.3">
      <c r="A263" t="s">
        <v>152</v>
      </c>
      <c r="B263" s="98"/>
      <c r="C263" s="30">
        <f>MIN($C$252:$C$256)</f>
        <v>1910571.68</v>
      </c>
      <c r="D263" s="30">
        <f>C263</f>
        <v>1910571.68</v>
      </c>
      <c r="E263" s="30">
        <f>MAX($C$252:$C$256)</f>
        <v>2614959</v>
      </c>
      <c r="F263" s="30">
        <f>E263</f>
        <v>2614959</v>
      </c>
      <c r="G263" s="100"/>
      <c r="H263" s="100"/>
    </row>
    <row r="264" spans="1:8" ht="16.5" outlineLevel="2" x14ac:dyDescent="0.3">
      <c r="A264" t="s">
        <v>153</v>
      </c>
      <c r="B264" s="98"/>
      <c r="C264" s="34">
        <f>MIN($D$252:$D$256)</f>
        <v>1297919.7279999999</v>
      </c>
      <c r="D264" s="30">
        <f t="shared" ref="D264:D266" si="56">C264</f>
        <v>1297919.7279999999</v>
      </c>
      <c r="E264" s="34">
        <f>MAX($D$252:$D$256)</f>
        <v>2395661.5799999996</v>
      </c>
      <c r="F264" s="30">
        <f t="shared" ref="F264:F266" si="57">E264</f>
        <v>2395661.5799999996</v>
      </c>
      <c r="G264" s="98"/>
      <c r="H264" s="98"/>
    </row>
    <row r="265" spans="1:8" ht="16.5" outlineLevel="2" x14ac:dyDescent="0.3">
      <c r="A265" t="s">
        <v>154</v>
      </c>
      <c r="B265" s="98"/>
      <c r="C265" s="30">
        <f>MIN($E$199:$F$202)</f>
        <v>1160934.6073055433</v>
      </c>
      <c r="D265" s="30">
        <f t="shared" si="56"/>
        <v>1160934.6073055433</v>
      </c>
      <c r="E265" s="30">
        <f>MAX($E$199:$F$202)</f>
        <v>2515453.8391503226</v>
      </c>
      <c r="F265" s="30">
        <f t="shared" si="57"/>
        <v>2515453.8391503226</v>
      </c>
      <c r="G265" s="100"/>
      <c r="H265" s="100"/>
    </row>
    <row r="266" spans="1:8" ht="16.5" outlineLevel="2" x14ac:dyDescent="0.3">
      <c r="A266" t="s">
        <v>155</v>
      </c>
      <c r="B266" s="98"/>
      <c r="C266" s="34">
        <f ca="1">MIN($B$190)</f>
        <v>1629101.0732881178</v>
      </c>
      <c r="D266" s="30">
        <f t="shared" ca="1" si="56"/>
        <v>1629101.0732881178</v>
      </c>
      <c r="E266" s="34">
        <f ca="1">MAX($B$190)</f>
        <v>1629101.0732881178</v>
      </c>
      <c r="F266" s="30">
        <f t="shared" ca="1" si="57"/>
        <v>1629101.0732881178</v>
      </c>
      <c r="G266" s="100"/>
      <c r="H266" s="100"/>
    </row>
    <row r="267" spans="1:8" ht="16.5" outlineLevel="2" x14ac:dyDescent="0.3">
      <c r="A267" s="98"/>
      <c r="B267" s="98"/>
      <c r="C267" s="98"/>
      <c r="D267" s="101"/>
      <c r="E267" s="98"/>
      <c r="F267" s="100"/>
      <c r="G267" s="100"/>
      <c r="H267" s="100"/>
    </row>
    <row r="268" spans="1:8" ht="16.5" outlineLevel="2" x14ac:dyDescent="0.3">
      <c r="A268" s="98"/>
      <c r="B268" s="98"/>
      <c r="C268" s="98"/>
      <c r="D268" s="101"/>
      <c r="E268" s="98"/>
      <c r="F268" s="100"/>
      <c r="G268" s="100"/>
      <c r="H268" s="100"/>
    </row>
    <row r="269" spans="1:8" ht="16.5" outlineLevel="2" x14ac:dyDescent="0.3">
      <c r="A269" s="98"/>
      <c r="B269" s="97"/>
      <c r="C269" s="98"/>
      <c r="D269" s="101"/>
      <c r="E269" s="98"/>
      <c r="F269" s="100"/>
      <c r="G269" s="100"/>
      <c r="H269" s="100"/>
    </row>
    <row r="270" spans="1:8" ht="16.5" outlineLevel="2" x14ac:dyDescent="0.3">
      <c r="A270" s="98"/>
      <c r="B270" s="98"/>
      <c r="C270" s="98"/>
      <c r="D270" s="102"/>
      <c r="E270" s="98"/>
      <c r="F270" s="100"/>
      <c r="G270" s="100"/>
      <c r="H270" s="100"/>
    </row>
    <row r="271" spans="1:8" ht="16.5" outlineLevel="2" x14ac:dyDescent="0.3">
      <c r="A271" s="98"/>
      <c r="B271" s="98"/>
      <c r="C271" s="98"/>
      <c r="D271" s="102"/>
      <c r="E271" s="98"/>
      <c r="F271" s="100"/>
      <c r="G271" s="100"/>
      <c r="H271" s="100"/>
    </row>
    <row r="272" spans="1:8" ht="16.5" outlineLevel="2" x14ac:dyDescent="0.3">
      <c r="A272" s="98"/>
      <c r="B272" s="98"/>
      <c r="C272" s="98"/>
      <c r="D272" s="102"/>
      <c r="E272" s="98"/>
      <c r="F272" s="100"/>
      <c r="G272" s="100"/>
      <c r="H272" s="100"/>
    </row>
    <row r="273" spans="1:8" ht="16.5" outlineLevel="2" x14ac:dyDescent="0.3">
      <c r="A273" s="98"/>
      <c r="B273" s="98"/>
      <c r="C273" s="98"/>
      <c r="D273" s="101"/>
      <c r="E273" s="98"/>
      <c r="F273" s="100"/>
      <c r="G273" s="100"/>
      <c r="H273" s="100"/>
    </row>
    <row r="274" spans="1:8" ht="16.5" outlineLevel="2" x14ac:dyDescent="0.3">
      <c r="A274" s="98"/>
      <c r="B274" s="98"/>
      <c r="C274" s="98"/>
      <c r="D274" s="98"/>
      <c r="E274" s="98"/>
      <c r="F274" s="100"/>
      <c r="G274" s="100"/>
      <c r="H274" s="100"/>
    </row>
    <row r="275" spans="1:8" ht="16.5" outlineLevel="2" x14ac:dyDescent="0.3">
      <c r="A275" s="98"/>
      <c r="B275" s="98"/>
      <c r="C275" s="98"/>
      <c r="D275" s="98"/>
      <c r="E275" s="98"/>
      <c r="F275" s="98"/>
      <c r="G275" s="98"/>
      <c r="H275" s="100"/>
    </row>
    <row r="276" spans="1:8" ht="16.5" outlineLevel="2" x14ac:dyDescent="0.3">
      <c r="A276" s="98"/>
    </row>
    <row r="277" spans="1:8" ht="16.5" outlineLevel="2" x14ac:dyDescent="0.3">
      <c r="A277" s="98"/>
      <c r="B277" s="98"/>
      <c r="C277" s="98"/>
      <c r="D277" s="98"/>
      <c r="E277" s="98"/>
      <c r="F277" s="98"/>
      <c r="G277" s="98"/>
      <c r="H277" s="98"/>
    </row>
    <row r="278" spans="1:8" ht="16.5" outlineLevel="2" x14ac:dyDescent="0.3">
      <c r="A278" s="98"/>
      <c r="B278" s="98"/>
      <c r="C278" s="98"/>
      <c r="D278" s="98"/>
      <c r="E278" s="98"/>
      <c r="F278" s="98"/>
      <c r="G278" s="98"/>
      <c r="H278" s="98"/>
    </row>
    <row r="279" spans="1:8" ht="16.5" outlineLevel="2" x14ac:dyDescent="0.3">
      <c r="A279" s="98"/>
      <c r="B279" s="98"/>
      <c r="C279" s="98"/>
      <c r="D279" s="98"/>
      <c r="E279" s="98"/>
      <c r="F279" s="98"/>
      <c r="G279" s="98"/>
      <c r="H279" s="98"/>
    </row>
    <row r="280" spans="1:8" ht="16.5" outlineLevel="2" x14ac:dyDescent="0.3">
      <c r="A280" s="98"/>
      <c r="B280" s="98"/>
      <c r="C280" s="98"/>
      <c r="D280" s="98"/>
      <c r="E280" s="98"/>
      <c r="F280" s="98"/>
      <c r="G280" s="98"/>
      <c r="H280" s="98"/>
    </row>
    <row r="281" spans="1:8" ht="16.5" outlineLevel="2" x14ac:dyDescent="0.3">
      <c r="A281" s="98"/>
      <c r="B281" s="98"/>
      <c r="C281" s="98"/>
      <c r="D281" s="98"/>
      <c r="E281" s="98"/>
      <c r="F281" s="98"/>
      <c r="G281" s="98"/>
      <c r="H281" s="98"/>
    </row>
    <row r="282" spans="1:8" ht="16.5" outlineLevel="2" x14ac:dyDescent="0.3">
      <c r="A282" s="98"/>
      <c r="B282" s="98"/>
      <c r="C282" s="98"/>
      <c r="D282" s="98"/>
      <c r="E282" s="98"/>
      <c r="F282" s="98"/>
      <c r="G282" s="98"/>
      <c r="H282" s="98"/>
    </row>
    <row r="283" spans="1:8" ht="16.5" outlineLevel="2" x14ac:dyDescent="0.3">
      <c r="A283" s="98"/>
      <c r="B283" s="98"/>
      <c r="C283" s="98"/>
      <c r="D283" s="98"/>
      <c r="E283" s="98"/>
      <c r="F283" s="98"/>
      <c r="G283" s="98"/>
      <c r="H283" s="98"/>
    </row>
    <row r="284" spans="1:8" ht="16.5" outlineLevel="2" x14ac:dyDescent="0.3">
      <c r="A284" s="98"/>
      <c r="B284" s="98"/>
      <c r="C284" s="98"/>
      <c r="D284" s="98"/>
      <c r="E284" s="98"/>
      <c r="F284" s="98"/>
      <c r="G284" s="98"/>
      <c r="H284" s="98"/>
    </row>
    <row r="285" spans="1:8" ht="16.5" outlineLevel="2" x14ac:dyDescent="0.3">
      <c r="A285" s="98"/>
      <c r="B285" s="98"/>
      <c r="C285" s="98"/>
      <c r="D285" s="98"/>
      <c r="E285" s="98"/>
      <c r="F285" s="98"/>
      <c r="G285" s="98"/>
      <c r="H285" s="98"/>
    </row>
    <row r="286" spans="1:8" ht="16.5" outlineLevel="2" x14ac:dyDescent="0.3">
      <c r="A286" s="98"/>
      <c r="B286" s="98"/>
      <c r="C286" s="98"/>
      <c r="D286" s="98"/>
      <c r="E286" s="98"/>
      <c r="F286" s="98"/>
      <c r="G286" s="98"/>
      <c r="H286" s="98"/>
    </row>
    <row r="287" spans="1:8" ht="16.5" outlineLevel="2" x14ac:dyDescent="0.3">
      <c r="A287" s="98"/>
      <c r="B287" s="98"/>
      <c r="C287" s="98"/>
      <c r="D287" s="98"/>
      <c r="E287" s="98"/>
      <c r="F287" s="98"/>
      <c r="G287" s="98"/>
      <c r="H287" s="98"/>
    </row>
    <row r="288" spans="1:8" outlineLevel="2" x14ac:dyDescent="0.2">
      <c r="A288" s="38"/>
      <c r="B288" s="38"/>
      <c r="C288" s="103"/>
      <c r="D288" s="103"/>
      <c r="E288" s="13"/>
    </row>
    <row r="289" spans="1:8" outlineLevel="1" x14ac:dyDescent="0.2"/>
    <row r="290" spans="1:8" outlineLevel="1" x14ac:dyDescent="0.2">
      <c r="A290" s="68" t="s">
        <v>116</v>
      </c>
      <c r="B290" s="69"/>
      <c r="C290" s="69"/>
      <c r="D290" s="69"/>
      <c r="E290" s="69"/>
      <c r="F290" s="69"/>
      <c r="G290" s="69"/>
      <c r="H290" s="69"/>
    </row>
    <row r="291" spans="1:8" outlineLevel="2" x14ac:dyDescent="0.2"/>
    <row r="292" spans="1:8" outlineLevel="2" x14ac:dyDescent="0.2">
      <c r="B292" s="28">
        <f>$B$3</f>
        <v>2022</v>
      </c>
      <c r="C292" s="41">
        <f>$C$3</f>
        <v>2023</v>
      </c>
      <c r="D292" s="41">
        <f>$D$3</f>
        <v>2024</v>
      </c>
      <c r="E292" s="41">
        <f>$E$3</f>
        <v>2025</v>
      </c>
      <c r="F292" s="41">
        <f>$F$3</f>
        <v>2026</v>
      </c>
      <c r="G292" s="41">
        <f>$G$3</f>
        <v>2027</v>
      </c>
      <c r="H292" s="65" t="s">
        <v>87</v>
      </c>
    </row>
    <row r="293" spans="1:8" outlineLevel="2" x14ac:dyDescent="0.2">
      <c r="B293" s="46"/>
      <c r="C293" s="43"/>
      <c r="D293" s="43"/>
      <c r="E293" s="43"/>
      <c r="F293" s="43"/>
      <c r="G293" s="43"/>
      <c r="H293" s="44"/>
    </row>
    <row r="294" spans="1:8" outlineLevel="2" x14ac:dyDescent="0.2">
      <c r="A294" s="50" t="s">
        <v>63</v>
      </c>
      <c r="C294" s="30">
        <f>C119</f>
        <v>47585.519999999968</v>
      </c>
      <c r="D294" s="30">
        <f t="shared" ref="D294:G294" si="58">D119</f>
        <v>51392.361599999997</v>
      </c>
      <c r="E294" s="30">
        <f t="shared" si="58"/>
        <v>76317.656976000013</v>
      </c>
      <c r="F294" s="30">
        <f t="shared" si="58"/>
        <v>118778.02612992006</v>
      </c>
      <c r="G294" s="30">
        <f t="shared" si="58"/>
        <v>141642.79615992968</v>
      </c>
    </row>
    <row r="295" spans="1:8" outlineLevel="2" x14ac:dyDescent="0.2">
      <c r="A295" s="50" t="s">
        <v>117</v>
      </c>
      <c r="C295" s="34">
        <f>+SUM(B72:B74,B77:B78)-SUM(B84:B88,B92)</f>
        <v>326450</v>
      </c>
      <c r="D295" s="34">
        <f t="shared" ref="D295:H295" si="59">+SUM(C72:C74,C77:C78)-SUM(C84:C88,C92)</f>
        <v>351006.68636160006</v>
      </c>
      <c r="E295" s="34">
        <f t="shared" si="59"/>
        <v>389039.25634329609</v>
      </c>
      <c r="F295" s="34">
        <f t="shared" si="59"/>
        <v>394051.66941989388</v>
      </c>
      <c r="G295" s="34">
        <f t="shared" si="59"/>
        <v>417602.26333420753</v>
      </c>
      <c r="H295" s="34">
        <f t="shared" si="59"/>
        <v>442658.39913425985</v>
      </c>
    </row>
    <row r="296" spans="1:8" outlineLevel="2" x14ac:dyDescent="0.2">
      <c r="A296" s="50" t="s">
        <v>118</v>
      </c>
      <c r="C296" s="30">
        <f>D295</f>
        <v>351006.68636160006</v>
      </c>
      <c r="D296" s="30">
        <f t="shared" ref="D296:G296" si="60">E295</f>
        <v>389039.25634329609</v>
      </c>
      <c r="E296" s="30">
        <f t="shared" si="60"/>
        <v>394051.66941989388</v>
      </c>
      <c r="F296" s="30">
        <f t="shared" si="60"/>
        <v>417602.26333420753</v>
      </c>
      <c r="G296" s="30">
        <f t="shared" si="60"/>
        <v>442658.39913425985</v>
      </c>
    </row>
    <row r="297" spans="1:8" outlineLevel="2" x14ac:dyDescent="0.2">
      <c r="A297" s="51"/>
    </row>
    <row r="298" spans="1:8" outlineLevel="2" x14ac:dyDescent="0.2">
      <c r="A298" s="50" t="s">
        <v>119</v>
      </c>
      <c r="C298" s="90">
        <f>C294/C295</f>
        <v>0.14576664113953122</v>
      </c>
      <c r="D298" s="90">
        <f t="shared" ref="D298:G298" si="61">D294/D295</f>
        <v>0.14641419550354837</v>
      </c>
      <c r="E298" s="90">
        <f t="shared" si="61"/>
        <v>0.19616955289636831</v>
      </c>
      <c r="F298" s="90">
        <f t="shared" si="61"/>
        <v>0.30142754198904936</v>
      </c>
      <c r="G298" s="90">
        <f t="shared" si="61"/>
        <v>0.33918110268136359</v>
      </c>
    </row>
    <row r="299" spans="1:8" outlineLevel="2" x14ac:dyDescent="0.2">
      <c r="A299" s="52" t="s">
        <v>120</v>
      </c>
      <c r="C299" s="91">
        <f>$B$175</f>
        <v>8.6999999999999994E-2</v>
      </c>
      <c r="D299" s="91">
        <f t="shared" ref="D299:G299" si="62">$B$175</f>
        <v>8.6999999999999994E-2</v>
      </c>
      <c r="E299" s="91">
        <f t="shared" si="62"/>
        <v>8.6999999999999994E-2</v>
      </c>
      <c r="F299" s="91">
        <f t="shared" si="62"/>
        <v>8.6999999999999994E-2</v>
      </c>
      <c r="G299" s="91">
        <f t="shared" si="62"/>
        <v>8.6999999999999994E-2</v>
      </c>
    </row>
    <row r="300" spans="1:8" outlineLevel="2" x14ac:dyDescent="0.2">
      <c r="A300" s="50" t="s">
        <v>121</v>
      </c>
      <c r="B300" s="56"/>
      <c r="C300" s="92">
        <f>C298-C299</f>
        <v>5.8766641139531228E-2</v>
      </c>
      <c r="D300" s="92">
        <f t="shared" ref="D300:G300" si="63">D298-D299</f>
        <v>5.9414195503548373E-2</v>
      </c>
      <c r="E300" s="92">
        <f t="shared" si="63"/>
        <v>0.10916955289636832</v>
      </c>
      <c r="F300" s="92">
        <f t="shared" si="63"/>
        <v>0.21442754198904937</v>
      </c>
      <c r="G300" s="92">
        <f t="shared" si="63"/>
        <v>0.25218110268136362</v>
      </c>
    </row>
    <row r="301" spans="1:8" outlineLevel="2" x14ac:dyDescent="0.2">
      <c r="A301" s="61" t="str">
        <f t="shared" ref="A301" si="64">A295</f>
        <v>COEi</v>
      </c>
      <c r="C301" s="34">
        <f>C295</f>
        <v>326450</v>
      </c>
      <c r="D301" s="34">
        <f t="shared" ref="D301:G301" si="65">D295</f>
        <v>351006.68636160006</v>
      </c>
      <c r="E301" s="34">
        <f t="shared" si="65"/>
        <v>389039.25634329609</v>
      </c>
      <c r="F301" s="34">
        <f t="shared" si="65"/>
        <v>394051.66941989388</v>
      </c>
      <c r="G301" s="34">
        <f t="shared" si="65"/>
        <v>417602.26333420753</v>
      </c>
      <c r="H301" s="55"/>
    </row>
    <row r="302" spans="1:8" outlineLevel="2" x14ac:dyDescent="0.2">
      <c r="A302" s="50" t="s">
        <v>137</v>
      </c>
      <c r="B302" s="57"/>
      <c r="C302" s="93">
        <f>C300*C301</f>
        <v>19184.36999999997</v>
      </c>
      <c r="D302" s="93">
        <f t="shared" ref="D302:G302" si="66">D300*D301</f>
        <v>20854.779886540793</v>
      </c>
      <c r="E302" s="93">
        <f t="shared" si="66"/>
        <v>42471.241674133256</v>
      </c>
      <c r="F302" s="93">
        <f t="shared" si="66"/>
        <v>84495.530890389302</v>
      </c>
      <c r="G302" s="93">
        <f t="shared" si="66"/>
        <v>105311.39924985364</v>
      </c>
      <c r="H302" s="34">
        <f>H180-H295</f>
        <v>1664083.0073687856</v>
      </c>
    </row>
    <row r="303" spans="1:8" outlineLevel="2" x14ac:dyDescent="0.2">
      <c r="A303" s="52" t="s">
        <v>138</v>
      </c>
      <c r="B303" s="62"/>
      <c r="C303" s="63"/>
      <c r="D303" s="63"/>
      <c r="E303" s="63"/>
      <c r="F303" s="63"/>
      <c r="G303" s="94">
        <f>H302</f>
        <v>1664083.0073687856</v>
      </c>
      <c r="H303" s="13"/>
    </row>
    <row r="304" spans="1:8" outlineLevel="2" x14ac:dyDescent="0.2">
      <c r="A304" s="50" t="s">
        <v>139</v>
      </c>
      <c r="B304" s="60"/>
      <c r="C304" s="95">
        <f>C302+C303</f>
        <v>19184.36999999997</v>
      </c>
      <c r="D304" s="95">
        <f t="shared" ref="D304:G304" si="67">D302+D303</f>
        <v>20854.779886540793</v>
      </c>
      <c r="E304" s="95">
        <f t="shared" si="67"/>
        <v>42471.241674133256</v>
      </c>
      <c r="F304" s="95">
        <f t="shared" si="67"/>
        <v>84495.530890389302</v>
      </c>
      <c r="G304" s="95">
        <f t="shared" si="67"/>
        <v>1769394.4066186391</v>
      </c>
      <c r="H304" s="13"/>
    </row>
    <row r="305" spans="1:8" outlineLevel="2" x14ac:dyDescent="0.2">
      <c r="A305" s="59"/>
      <c r="B305" s="60"/>
      <c r="C305" s="54"/>
      <c r="D305" s="54"/>
      <c r="E305" s="54"/>
      <c r="F305" s="54"/>
      <c r="G305" s="54"/>
      <c r="H305" s="13"/>
    </row>
    <row r="306" spans="1:8" outlineLevel="2" x14ac:dyDescent="0.2">
      <c r="A306" s="53" t="s">
        <v>130</v>
      </c>
      <c r="B306" s="30">
        <f>NPV(B175,C304:G304)</f>
        <v>1294831.1389763735</v>
      </c>
    </row>
    <row r="307" spans="1:8" outlineLevel="2" x14ac:dyDescent="0.2">
      <c r="A307" s="53" t="s">
        <v>127</v>
      </c>
      <c r="B307" s="34">
        <f>C295</f>
        <v>326450</v>
      </c>
    </row>
    <row r="308" spans="1:8" outlineLevel="2" x14ac:dyDescent="0.2">
      <c r="A308" s="73" t="s">
        <v>128</v>
      </c>
      <c r="B308" s="71">
        <f>B306+B307</f>
        <v>1621281.1389763735</v>
      </c>
    </row>
    <row r="309" spans="1:8" outlineLevel="2" x14ac:dyDescent="0.2">
      <c r="A309" s="67" t="s">
        <v>75</v>
      </c>
      <c r="B309" s="115">
        <f>B188</f>
        <v>1621281.1389763737</v>
      </c>
    </row>
    <row r="310" spans="1:8" outlineLevel="2" x14ac:dyDescent="0.2">
      <c r="A310" s="51"/>
      <c r="B310" s="13"/>
      <c r="C310" s="54"/>
      <c r="D310" s="54"/>
      <c r="E310" s="54"/>
      <c r="F310" s="54"/>
      <c r="G310" s="54"/>
    </row>
    <row r="311" spans="1:8" outlineLevel="2" x14ac:dyDescent="0.2">
      <c r="A311" s="50" t="s">
        <v>76</v>
      </c>
      <c r="B311" s="13"/>
      <c r="C311" s="30">
        <f ca="1">C141</f>
        <v>0</v>
      </c>
      <c r="D311" s="30">
        <f t="shared" ref="D311:G311" ca="1" si="68">D141</f>
        <v>0</v>
      </c>
      <c r="E311" s="30">
        <f t="shared" ca="1" si="68"/>
        <v>0</v>
      </c>
      <c r="F311" s="30">
        <f t="shared" ca="1" si="68"/>
        <v>0</v>
      </c>
      <c r="G311" s="30">
        <f t="shared" ca="1" si="68"/>
        <v>30.458333440351996</v>
      </c>
    </row>
    <row r="312" spans="1:8" outlineLevel="2" x14ac:dyDescent="0.2">
      <c r="A312" s="50" t="s">
        <v>122</v>
      </c>
      <c r="C312" s="34">
        <f>B75+B76+B79+B80-B90-B94-B89-B93</f>
        <v>26054</v>
      </c>
      <c r="D312" s="34">
        <f t="shared" ref="D312:H312" si="69">C75+C76+C79+C80-C90-C94-C89-C93</f>
        <v>47069.08</v>
      </c>
      <c r="E312" s="34">
        <f t="shared" si="69"/>
        <v>25434.606400000004</v>
      </c>
      <c r="F312" s="34">
        <f t="shared" si="69"/>
        <v>24749.374911999996</v>
      </c>
      <c r="G312" s="34">
        <f t="shared" si="69"/>
        <v>24101.831155839998</v>
      </c>
      <c r="H312" s="34">
        <f t="shared" si="69"/>
        <v>23507.941025190401</v>
      </c>
    </row>
    <row r="313" spans="1:8" outlineLevel="2" x14ac:dyDescent="0.2">
      <c r="A313" s="50" t="s">
        <v>123</v>
      </c>
      <c r="C313" s="30">
        <f>D312</f>
        <v>47069.08</v>
      </c>
      <c r="D313" s="30">
        <f t="shared" ref="D313:G313" si="70">E312</f>
        <v>25434.606400000004</v>
      </c>
      <c r="E313" s="30">
        <f t="shared" si="70"/>
        <v>24749.374911999996</v>
      </c>
      <c r="F313" s="30">
        <f t="shared" si="70"/>
        <v>24101.831155839998</v>
      </c>
      <c r="G313" s="30">
        <f t="shared" si="70"/>
        <v>23507.941025190401</v>
      </c>
    </row>
    <row r="314" spans="1:8" outlineLevel="2" x14ac:dyDescent="0.2">
      <c r="A314" s="51"/>
    </row>
    <row r="315" spans="1:8" outlineLevel="2" x14ac:dyDescent="0.2">
      <c r="A315" s="50" t="s">
        <v>124</v>
      </c>
      <c r="C315" s="90">
        <f ca="1">C311/C312</f>
        <v>0</v>
      </c>
      <c r="D315" s="90">
        <f t="shared" ref="D315:G315" ca="1" si="71">D311/D312</f>
        <v>0</v>
      </c>
      <c r="E315" s="90">
        <f t="shared" ca="1" si="71"/>
        <v>0</v>
      </c>
      <c r="F315" s="90">
        <f t="shared" ca="1" si="71"/>
        <v>0</v>
      </c>
      <c r="G315" s="90">
        <f t="shared" ca="1" si="71"/>
        <v>1.2637352424971985E-3</v>
      </c>
    </row>
    <row r="316" spans="1:8" outlineLevel="2" x14ac:dyDescent="0.2">
      <c r="A316" s="52" t="s">
        <v>120</v>
      </c>
      <c r="C316" s="91">
        <f>C299</f>
        <v>8.6999999999999994E-2</v>
      </c>
      <c r="D316" s="91">
        <f t="shared" ref="D316:G316" si="72">D299</f>
        <v>8.6999999999999994E-2</v>
      </c>
      <c r="E316" s="91">
        <f t="shared" si="72"/>
        <v>8.6999999999999994E-2</v>
      </c>
      <c r="F316" s="91">
        <f t="shared" si="72"/>
        <v>8.6999999999999994E-2</v>
      </c>
      <c r="G316" s="91">
        <f t="shared" si="72"/>
        <v>8.6999999999999994E-2</v>
      </c>
    </row>
    <row r="317" spans="1:8" outlineLevel="2" x14ac:dyDescent="0.2">
      <c r="A317" s="50" t="s">
        <v>121</v>
      </c>
      <c r="B317" s="56"/>
      <c r="C317" s="92">
        <f ca="1">C315-C316</f>
        <v>-8.6999999999999994E-2</v>
      </c>
      <c r="D317" s="92">
        <f t="shared" ref="D317:G317" ca="1" si="73">D315-D316</f>
        <v>-8.6999999999999994E-2</v>
      </c>
      <c r="E317" s="92">
        <f t="shared" ca="1" si="73"/>
        <v>-8.6999999999999994E-2</v>
      </c>
      <c r="F317" s="92">
        <f t="shared" ca="1" si="73"/>
        <v>-8.6999999999999994E-2</v>
      </c>
      <c r="G317" s="92">
        <f t="shared" ca="1" si="73"/>
        <v>-8.5736264757502789E-2</v>
      </c>
    </row>
    <row r="318" spans="1:8" outlineLevel="2" x14ac:dyDescent="0.2">
      <c r="A318" s="61" t="str">
        <f>A312</f>
        <v>CNOEi</v>
      </c>
      <c r="C318" s="34">
        <f>K302+C312</f>
        <v>26054</v>
      </c>
      <c r="D318" s="34">
        <f t="shared" ref="D318:G318" si="74">D312</f>
        <v>47069.08</v>
      </c>
      <c r="E318" s="34">
        <f t="shared" si="74"/>
        <v>25434.606400000004</v>
      </c>
      <c r="F318" s="34">
        <f t="shared" si="74"/>
        <v>24749.374911999996</v>
      </c>
      <c r="G318" s="34">
        <f t="shared" si="74"/>
        <v>24101.831155839998</v>
      </c>
      <c r="H318" s="55"/>
    </row>
    <row r="319" spans="1:8" outlineLevel="2" x14ac:dyDescent="0.2">
      <c r="A319" s="50" t="s">
        <v>140</v>
      </c>
      <c r="B319" s="57"/>
      <c r="C319" s="93">
        <f ca="1">C317*C318</f>
        <v>-2266.6979999999999</v>
      </c>
      <c r="D319" s="93">
        <f t="shared" ref="D319:G319" ca="1" si="75">D317*D318</f>
        <v>-4095.0099599999999</v>
      </c>
      <c r="E319" s="93">
        <f t="shared" ca="1" si="75"/>
        <v>-2212.8107568</v>
      </c>
      <c r="F319" s="93">
        <f t="shared" ca="1" si="75"/>
        <v>-2153.1956173439994</v>
      </c>
      <c r="G319" s="93">
        <f t="shared" ca="1" si="75"/>
        <v>-2066.4009771177275</v>
      </c>
      <c r="H319" s="34">
        <f ca="1">H184-H312</f>
        <v>-12225.854744266753</v>
      </c>
    </row>
    <row r="320" spans="1:8" outlineLevel="2" x14ac:dyDescent="0.2">
      <c r="A320" s="52" t="s">
        <v>141</v>
      </c>
      <c r="B320" s="62"/>
      <c r="C320" s="63"/>
      <c r="D320" s="63"/>
      <c r="E320" s="63"/>
      <c r="F320" s="63"/>
      <c r="G320" s="94">
        <f ca="1">H319</f>
        <v>-12225.854744266753</v>
      </c>
      <c r="H320" s="13"/>
    </row>
    <row r="321" spans="1:8" outlineLevel="2" x14ac:dyDescent="0.2">
      <c r="A321" s="50" t="s">
        <v>142</v>
      </c>
      <c r="B321" s="60"/>
      <c r="C321" s="95">
        <f t="shared" ref="C321:F321" ca="1" si="76">C319+C320</f>
        <v>-2266.6979999999999</v>
      </c>
      <c r="D321" s="95">
        <f t="shared" ca="1" si="76"/>
        <v>-4095.0099599999999</v>
      </c>
      <c r="E321" s="95">
        <f t="shared" ca="1" si="76"/>
        <v>-2212.8107568</v>
      </c>
      <c r="F321" s="95">
        <f t="shared" ca="1" si="76"/>
        <v>-2153.1956173439994</v>
      </c>
      <c r="G321" s="95">
        <f ca="1">G319+G320</f>
        <v>-14292.255721384481</v>
      </c>
      <c r="H321" s="13"/>
    </row>
    <row r="322" spans="1:8" outlineLevel="2" x14ac:dyDescent="0.2">
      <c r="A322" s="59"/>
      <c r="C322" s="64"/>
    </row>
    <row r="323" spans="1:8" outlineLevel="2" x14ac:dyDescent="0.2">
      <c r="A323" s="53" t="s">
        <v>143</v>
      </c>
      <c r="B323" s="30">
        <f ca="1">NPV(C316,C321:G321)</f>
        <v>-18234.065688255952</v>
      </c>
    </row>
    <row r="324" spans="1:8" outlineLevel="2" x14ac:dyDescent="0.2">
      <c r="A324" s="53" t="s">
        <v>129</v>
      </c>
      <c r="B324" s="34">
        <f>C312</f>
        <v>26054</v>
      </c>
    </row>
    <row r="325" spans="1:8" outlineLevel="2" x14ac:dyDescent="0.2">
      <c r="A325" s="73" t="s">
        <v>125</v>
      </c>
      <c r="B325" s="71">
        <f ca="1">B323+B324</f>
        <v>7819.9343117440476</v>
      </c>
    </row>
    <row r="326" spans="1:8" outlineLevel="2" x14ac:dyDescent="0.2">
      <c r="A326" s="67" t="s">
        <v>75</v>
      </c>
      <c r="B326" s="115">
        <f ca="1">B189</f>
        <v>7819.934311744054</v>
      </c>
    </row>
    <row r="327" spans="1:8" outlineLevel="2" x14ac:dyDescent="0.2">
      <c r="A327" s="51"/>
    </row>
    <row r="328" spans="1:8" outlineLevel="2" x14ac:dyDescent="0.2">
      <c r="A328" s="73" t="s">
        <v>126</v>
      </c>
      <c r="B328" s="71">
        <f ca="1">B308+B325</f>
        <v>1629101.0732881175</v>
      </c>
    </row>
    <row r="329" spans="1:8" outlineLevel="2" x14ac:dyDescent="0.2">
      <c r="A329" s="67" t="s">
        <v>75</v>
      </c>
      <c r="B329" s="115">
        <f ca="1">B190</f>
        <v>1629101.0732881178</v>
      </c>
    </row>
    <row r="330" spans="1:8" outlineLevel="2" x14ac:dyDescent="0.2"/>
    <row r="331" spans="1:8" outlineLevel="2" x14ac:dyDescent="0.2"/>
    <row r="332" spans="1:8" outlineLevel="1" x14ac:dyDescent="0.2">
      <c r="C332" s="13"/>
      <c r="D332" s="13"/>
      <c r="E332" s="13"/>
      <c r="F332" s="13"/>
    </row>
    <row r="333" spans="1:8" x14ac:dyDescent="0.2">
      <c r="C333" s="13"/>
      <c r="D333" s="13"/>
      <c r="E333" s="13"/>
      <c r="F333" s="13"/>
    </row>
    <row r="334" spans="1:8" x14ac:dyDescent="0.2">
      <c r="C334" s="13"/>
      <c r="D334" s="13"/>
      <c r="E334" s="13"/>
      <c r="F334" s="13"/>
    </row>
    <row r="335" spans="1:8" x14ac:dyDescent="0.2">
      <c r="C335" s="13"/>
      <c r="D335" s="13"/>
      <c r="E335" s="13"/>
      <c r="F335" s="13"/>
    </row>
    <row r="337" spans="3:6" x14ac:dyDescent="0.2">
      <c r="C337" s="13"/>
      <c r="D337" s="13"/>
      <c r="E337" s="13"/>
      <c r="F337" s="13"/>
    </row>
    <row r="338" spans="3:6" x14ac:dyDescent="0.2">
      <c r="C338" s="13"/>
      <c r="D338" s="13"/>
      <c r="E338" s="13"/>
      <c r="F338" s="13"/>
    </row>
    <row r="339" spans="3:6" x14ac:dyDescent="0.2">
      <c r="C339" s="13"/>
      <c r="D339" s="13"/>
      <c r="E339" s="13"/>
      <c r="F339" s="13"/>
    </row>
    <row r="340" spans="3:6" x14ac:dyDescent="0.2">
      <c r="C340" s="13"/>
      <c r="D340" s="13"/>
      <c r="E340" s="13"/>
      <c r="F340" s="13"/>
    </row>
  </sheetData>
  <mergeCells count="6">
    <mergeCell ref="A199:A203"/>
    <mergeCell ref="C196:G196"/>
    <mergeCell ref="C197:G197"/>
    <mergeCell ref="J3:O3"/>
    <mergeCell ref="J15:O15"/>
    <mergeCell ref="J27:O27"/>
  </mergeCells>
  <printOptions horizontalCentered="1" verticalCentered="1"/>
  <pageMargins left="0" right="0" top="0" bottom="0" header="0" footer="0"/>
  <pageSetup scale="60" orientation="landscape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11</xdr:col>
                    <xdr:colOff>19050</xdr:colOff>
                    <xdr:row>43</xdr:row>
                    <xdr:rowOff>19050</xdr:rowOff>
                  </from>
                  <to>
                    <xdr:col>11</xdr:col>
                    <xdr:colOff>1104900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3</xdr:col>
                    <xdr:colOff>619125</xdr:colOff>
                    <xdr:row>189</xdr:row>
                    <xdr:rowOff>38100</xdr:rowOff>
                  </from>
                  <to>
                    <xdr:col>4</xdr:col>
                    <xdr:colOff>476250</xdr:colOff>
                    <xdr:row>190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6313-5679-4DD6-B8EC-08704ECE71D0}">
  <dimension ref="A1:G40"/>
  <sheetViews>
    <sheetView tabSelected="1" workbookViewId="0">
      <selection activeCell="G11" sqref="G11"/>
    </sheetView>
  </sheetViews>
  <sheetFormatPr baseColWidth="10" defaultRowHeight="15" x14ac:dyDescent="0.2"/>
  <cols>
    <col min="1" max="1" width="27.19921875" bestFit="1" customWidth="1"/>
    <col min="2" max="2" width="13.09765625" bestFit="1" customWidth="1"/>
    <col min="7" max="7" width="70.8984375" bestFit="1" customWidth="1"/>
  </cols>
  <sheetData>
    <row r="1" spans="1:7" x14ac:dyDescent="0.2">
      <c r="B1" s="153">
        <v>2022</v>
      </c>
      <c r="C1" s="153" t="s">
        <v>247</v>
      </c>
      <c r="D1" s="153" t="s">
        <v>248</v>
      </c>
    </row>
    <row r="2" spans="1:7" x14ac:dyDescent="0.2">
      <c r="A2" t="s">
        <v>96</v>
      </c>
      <c r="B2" s="116">
        <f>'MODELO VALORACIÓN SIMPLIFICADO'!B40</f>
        <v>0</v>
      </c>
      <c r="C2" s="116">
        <f>'MODELO VALORACIÓN SIMPLIFICADO'!C40</f>
        <v>8.6999999999999994E-2</v>
      </c>
    </row>
    <row r="3" spans="1:7" x14ac:dyDescent="0.2">
      <c r="G3" s="159" t="s">
        <v>231</v>
      </c>
    </row>
    <row r="4" spans="1:7" x14ac:dyDescent="0.2">
      <c r="A4" t="s">
        <v>207</v>
      </c>
      <c r="B4" s="116">
        <f>('MODELO VALORACIÓN SIMPLIFICADO'!B54+'MODELO VALORACIÓN SIMPLIFICADO'!B100)/'MODELO VALORACIÓN SIMPLIFICADO'!B48</f>
        <v>0.58106188184977281</v>
      </c>
      <c r="G4" s="159" t="s">
        <v>207</v>
      </c>
    </row>
    <row r="5" spans="1:7" x14ac:dyDescent="0.2">
      <c r="A5" t="s">
        <v>208</v>
      </c>
      <c r="G5" s="159" t="s">
        <v>232</v>
      </c>
    </row>
    <row r="6" spans="1:7" x14ac:dyDescent="0.2">
      <c r="A6" t="s">
        <v>209</v>
      </c>
      <c r="B6" t="e">
        <f>'MODELO VALORACIÓN SIMPLIFICADO'!B119/'MODELO VALORACIÓN SIMPLIFICADO'!B141</f>
        <v>#DIV/0!</v>
      </c>
      <c r="C6" t="e">
        <f ca="1">'MODELO VALORACIÓN SIMPLIFICADO'!C119/'MODELO VALORACIÓN SIMPLIFICADO'!C141</f>
        <v>#DIV/0!</v>
      </c>
      <c r="G6" s="159" t="s">
        <v>233</v>
      </c>
    </row>
    <row r="7" spans="1:7" x14ac:dyDescent="0.2">
      <c r="A7" t="s">
        <v>210</v>
      </c>
      <c r="B7" s="116" t="e">
        <f>'MODELO VALORACIÓN SIMPLIFICADO'!B119/(-'MODELO VALORACIÓN SIMPLIFICADO'!B136-'MODELO VALORACIÓN SIMPLIFICADO'!B150)</f>
        <v>#DIV/0!</v>
      </c>
      <c r="C7" s="116">
        <f>'MODELO VALORACIÓN SIMPLIFICADO'!C119/(-'MODELO VALORACIÓN SIMPLIFICADO'!C136-'MODELO VALORACIÓN SIMPLIFICADO'!C150)</f>
        <v>0.71014324570361431</v>
      </c>
      <c r="G7" s="159" t="s">
        <v>230</v>
      </c>
    </row>
    <row r="8" spans="1:7" x14ac:dyDescent="0.2">
      <c r="B8" s="116"/>
      <c r="C8" s="116"/>
      <c r="G8" s="159" t="s">
        <v>234</v>
      </c>
    </row>
    <row r="9" spans="1:7" x14ac:dyDescent="0.2">
      <c r="A9" t="s">
        <v>211</v>
      </c>
      <c r="B9" s="116">
        <f>('MODELO VALORACIÓN SIMPLIFICADO'!B96-'MODELO VALORACIÓN SIMPLIFICADO'!B95)/'MODELO VALORACIÓN SIMPLIFICADO'!B96</f>
        <v>0.52347818148026182</v>
      </c>
      <c r="C9" s="116">
        <f ca="1">('MODELO VALORACIÓN SIMPLIFICADO'!C96-'MODELO VALORACIÓN SIMPLIFICADO'!C95)/'MODELO VALORACIÓN SIMPLIFICADO'!C96</f>
        <v>0.55957264817289509</v>
      </c>
      <c r="E9" s="157" t="s">
        <v>253</v>
      </c>
      <c r="F9" s="158"/>
      <c r="G9" s="159" t="s">
        <v>235</v>
      </c>
    </row>
    <row r="10" spans="1:7" x14ac:dyDescent="0.2">
      <c r="A10" t="s">
        <v>212</v>
      </c>
      <c r="B10" s="116">
        <f>'MODELO VALORACIÓN SIMPLIFICADO'!B95/'MODELO VALORACIÓN SIMPLIFICADO'!B96</f>
        <v>0.47652181851973824</v>
      </c>
      <c r="C10" s="116">
        <f ca="1">'MODELO VALORACIÓN SIMPLIFICADO'!C95/'MODELO VALORACIÓN SIMPLIFICADO'!C96</f>
        <v>0.44042735182710491</v>
      </c>
      <c r="E10" s="157"/>
      <c r="F10" s="158"/>
      <c r="G10" s="159" t="s">
        <v>236</v>
      </c>
    </row>
    <row r="11" spans="1:7" x14ac:dyDescent="0.2">
      <c r="G11" s="159" t="s">
        <v>210</v>
      </c>
    </row>
    <row r="12" spans="1:7" x14ac:dyDescent="0.2">
      <c r="A12" t="s">
        <v>213</v>
      </c>
      <c r="B12" s="154">
        <v>3.4299999999999997E-2</v>
      </c>
      <c r="C12" s="154">
        <v>3.4299999999999997E-2</v>
      </c>
      <c r="G12" s="159" t="s">
        <v>96</v>
      </c>
    </row>
    <row r="13" spans="1:7" x14ac:dyDescent="0.2">
      <c r="A13" t="s">
        <v>214</v>
      </c>
      <c r="B13" s="154">
        <v>2.6599999999999999E-2</v>
      </c>
      <c r="C13" s="154">
        <v>2.6599999999999999E-2</v>
      </c>
      <c r="G13" s="159" t="s">
        <v>237</v>
      </c>
    </row>
    <row r="14" spans="1:7" x14ac:dyDescent="0.2">
      <c r="A14" t="s">
        <v>215</v>
      </c>
      <c r="B14">
        <v>1.1459577381297801</v>
      </c>
      <c r="C14">
        <v>1.1459577381297801</v>
      </c>
      <c r="G14" t="s">
        <v>238</v>
      </c>
    </row>
    <row r="15" spans="1:7" x14ac:dyDescent="0.2">
      <c r="A15" t="s">
        <v>216</v>
      </c>
      <c r="B15" s="154">
        <v>3.8399999999999997E-2</v>
      </c>
      <c r="C15" s="154">
        <v>3.8399999999999997E-2</v>
      </c>
      <c r="G15" t="s">
        <v>239</v>
      </c>
    </row>
    <row r="16" spans="1:7" x14ac:dyDescent="0.2">
      <c r="A16" t="s">
        <v>217</v>
      </c>
      <c r="B16" s="154">
        <f>B12+B14*B13+B15</f>
        <v>0.10318247583425214</v>
      </c>
      <c r="C16" s="154">
        <f>C12+C14*C13+C15</f>
        <v>0.10318247583425214</v>
      </c>
      <c r="G16" t="s">
        <v>240</v>
      </c>
    </row>
    <row r="17" spans="1:7" x14ac:dyDescent="0.2">
      <c r="A17" t="s">
        <v>218</v>
      </c>
      <c r="B17" s="154">
        <f>(B2-B16*B10)/(B9*(1-'MODELO VALORACIÓN SIMPLIFICADO'!C14))</f>
        <v>-0.125235913073767</v>
      </c>
      <c r="C17" s="154">
        <f ca="1">(C2-C16*C10)/(C9*(1-'MODELO VALORACIÓN SIMPLIFICADO'!D14))</f>
        <v>9.9017504516568974E-2</v>
      </c>
      <c r="G17" t="s">
        <v>241</v>
      </c>
    </row>
    <row r="18" spans="1:7" x14ac:dyDescent="0.2">
      <c r="G18" t="s">
        <v>242</v>
      </c>
    </row>
    <row r="19" spans="1:7" x14ac:dyDescent="0.2">
      <c r="A19" t="s">
        <v>219</v>
      </c>
      <c r="B19" s="151">
        <f>'MODELO VALORACIÓN SIMPLIFICADO'!B48</f>
        <v>748200</v>
      </c>
      <c r="C19" s="151">
        <f>'MODELO VALORACIÓN SIMPLIFICADO'!C48</f>
        <v>793092</v>
      </c>
      <c r="D19" s="151">
        <f>C19-B19</f>
        <v>44892</v>
      </c>
      <c r="G19" t="s">
        <v>243</v>
      </c>
    </row>
    <row r="20" spans="1:7" x14ac:dyDescent="0.2">
      <c r="A20" t="s">
        <v>139</v>
      </c>
      <c r="B20" s="151" t="e">
        <f>(('MODELO VALORACIÓN SIMPLIFICADO'!B119/'MODELO VALORACIÓN SIMPLIFICADO'!B136)-'MODELO VALORACIÓN SIMPLIFICADO'!$B$40)*'MODELO VALORACIÓN SIMPLIFICADO'!B136</f>
        <v>#DIV/0!</v>
      </c>
      <c r="C20" s="151">
        <f>(('MODELO VALORACIÓN SIMPLIFICADO'!C119/'MODELO VALORACIÓN SIMPLIFICADO'!C136)-'MODELO VALORACIÓN SIMPLIFICADO'!$C$40)*'MODELO VALORACIÓN SIMPLIFICADO'!C136</f>
        <v>51586.933613039982</v>
      </c>
      <c r="D20" s="151"/>
      <c r="G20" s="159" t="s">
        <v>244</v>
      </c>
    </row>
    <row r="21" spans="1:7" x14ac:dyDescent="0.2">
      <c r="A21" t="s">
        <v>220</v>
      </c>
      <c r="B21" s="151" t="e">
        <f>(('MODELO VALORACIÓN SIMPLIFICADO'!B141/'MODELO VALORACIÓN SIMPLIFICADO'!B150)-'MODELO VALORACIÓN SIMPLIFICADO'!$B$40)*'MODELO VALORACIÓN SIMPLIFICADO'!B150</f>
        <v>#DIV/0!</v>
      </c>
      <c r="C21" s="151">
        <f ca="1">(('MODELO VALORACIÓN SIMPLIFICADO'!C141/'MODELO VALORACIÓN SIMPLIFICADO'!C150)-'MODELO VALORACIÓN SIMPLIFICADO'!$C$40)*'MODELO VALORACIÓN SIMPLIFICADO'!C150</f>
        <v>1828.31196</v>
      </c>
      <c r="D21" s="151"/>
      <c r="G21" s="159" t="s">
        <v>245</v>
      </c>
    </row>
    <row r="22" spans="1:7" ht="15.75" thickBot="1" x14ac:dyDescent="0.25">
      <c r="A22" s="9" t="s">
        <v>221</v>
      </c>
      <c r="B22" s="152" t="e">
        <f>B20+B21</f>
        <v>#DIV/0!</v>
      </c>
      <c r="C22" s="152">
        <f ca="1">C20+C21</f>
        <v>53415.245573039982</v>
      </c>
      <c r="D22" s="152" t="e">
        <f ca="1">C22-B22</f>
        <v>#DIV/0!</v>
      </c>
      <c r="G22" t="s">
        <v>246</v>
      </c>
    </row>
    <row r="23" spans="1:7" ht="15.75" thickTop="1" x14ac:dyDescent="0.2">
      <c r="A23" t="s">
        <v>222</v>
      </c>
      <c r="B23" s="116" t="e">
        <f>B22/B19</f>
        <v>#DIV/0!</v>
      </c>
      <c r="C23" s="116">
        <f ca="1">C22/C19</f>
        <v>6.7350629653356711E-2</v>
      </c>
      <c r="D23" s="116" t="e">
        <f ca="1">C23-B23</f>
        <v>#DIV/0!</v>
      </c>
    </row>
    <row r="24" spans="1:7" x14ac:dyDescent="0.2">
      <c r="A24" t="s">
        <v>223</v>
      </c>
      <c r="C24" s="116">
        <f>D19/C19</f>
        <v>5.6603773584905662E-2</v>
      </c>
    </row>
    <row r="25" spans="1:7" x14ac:dyDescent="0.2">
      <c r="A25" t="s">
        <v>224</v>
      </c>
      <c r="C25" t="e">
        <f ca="1">C28+C29</f>
        <v>#DIV/0!</v>
      </c>
    </row>
    <row r="27" spans="1:7" x14ac:dyDescent="0.2">
      <c r="D27" t="s">
        <v>249</v>
      </c>
    </row>
    <row r="28" spans="1:7" x14ac:dyDescent="0.2">
      <c r="A28" t="s">
        <v>225</v>
      </c>
      <c r="B28">
        <v>0</v>
      </c>
      <c r="C28" s="154">
        <f ca="1">C23*C24</f>
        <v>3.8122997916994364E-3</v>
      </c>
      <c r="D28" t="e">
        <f ca="1">C28/$C$25</f>
        <v>#DIV/0!</v>
      </c>
    </row>
    <row r="29" spans="1:7" x14ac:dyDescent="0.2">
      <c r="A29" t="s">
        <v>226</v>
      </c>
      <c r="B29">
        <v>0</v>
      </c>
      <c r="C29" s="154" t="e">
        <f ca="1">D23</f>
        <v>#DIV/0!</v>
      </c>
      <c r="D29" t="e">
        <f ca="1">C29/$C$25</f>
        <v>#DIV/0!</v>
      </c>
    </row>
    <row r="32" spans="1:7" x14ac:dyDescent="0.2">
      <c r="A32" t="s">
        <v>229</v>
      </c>
      <c r="B32" s="116">
        <f>'MODELO VALORACIÓN SIMPLIFICADO'!B61/'MODELO VALORACIÓN SIMPLIFICADO'!B95</f>
        <v>0.14616747865119334</v>
      </c>
      <c r="C32" s="116">
        <f ca="1">'MODELO VALORACIÓN SIMPLIFICADO'!C61/'MODELO VALORACIÓN SIMPLIFICADO'!C95</f>
        <v>0.1281874844675461</v>
      </c>
    </row>
    <row r="33" spans="1:3" x14ac:dyDescent="0.2">
      <c r="A33" t="s">
        <v>252</v>
      </c>
      <c r="B33" s="116">
        <f>'MODELO VALORACIÓN SIMPLIFICADO'!B61/'MODELO VALORACIÓN SIMPLIFICADO'!B81</f>
        <v>6.9651992735311669E-2</v>
      </c>
      <c r="C33" s="116">
        <f ca="1">'MODELO VALORACIÓN SIMPLIFICADO'!C61/'MODELO VALORACIÓN SIMPLIFICADO'!C81</f>
        <v>5.6457274321419483E-2</v>
      </c>
    </row>
    <row r="34" spans="1:3" x14ac:dyDescent="0.2">
      <c r="A34" t="s">
        <v>228</v>
      </c>
      <c r="B34" s="156">
        <v>1</v>
      </c>
      <c r="C34" s="156">
        <v>1</v>
      </c>
    </row>
    <row r="35" spans="1:3" x14ac:dyDescent="0.2">
      <c r="A35" t="s">
        <v>251</v>
      </c>
      <c r="B35" s="116">
        <f>(B33*B34)/(1-(B33*B34))</f>
        <v>7.486660066064435E-2</v>
      </c>
      <c r="C35" s="116">
        <f ca="1">(C33*C34)/(1-(C33*C34))</f>
        <v>5.9835418985204225E-2</v>
      </c>
    </row>
    <row r="36" spans="1:3" x14ac:dyDescent="0.2">
      <c r="A36" t="s">
        <v>227</v>
      </c>
      <c r="B36" s="116">
        <f>(B32*B34)/(1-(B32*B34))</f>
        <v>0.17118987037445152</v>
      </c>
      <c r="C36" s="116">
        <f ca="1">(C32*C34)/(1-(C32*C34))</f>
        <v>0.14703560935834514</v>
      </c>
    </row>
    <row r="38" spans="1:3" x14ac:dyDescent="0.2">
      <c r="A38" t="s">
        <v>230</v>
      </c>
      <c r="B38" s="155">
        <v>0.7</v>
      </c>
      <c r="C38" s="155">
        <v>0.7</v>
      </c>
    </row>
    <row r="40" spans="1:3" x14ac:dyDescent="0.2">
      <c r="A40" t="s">
        <v>250</v>
      </c>
      <c r="B40" s="116">
        <f>'MODELO VALORACIÓN SIMPLIFICADO'!B81/'MODELO VALORACIÓN SIMPLIFICADO'!B48</f>
        <v>0.81980486500935579</v>
      </c>
      <c r="C40" s="116">
        <f ca="1">'MODELO VALORACIÓN SIMPLIFICADO'!C81/'MODELO VALORACIÓN SIMPLIFICADO'!C48</f>
        <v>0.88823330251925392</v>
      </c>
    </row>
  </sheetData>
  <mergeCells count="1"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VALORACIÓN SIMPLIFICADO</vt:lpstr>
      <vt:lpstr>KPI's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Papá</dc:creator>
  <cp:lastModifiedBy>NICOLÁS GONZÁLEZ</cp:lastModifiedBy>
  <cp:lastPrinted>2018-06-07T20:03:38Z</cp:lastPrinted>
  <dcterms:created xsi:type="dcterms:W3CDTF">2011-01-01T22:12:31Z</dcterms:created>
  <dcterms:modified xsi:type="dcterms:W3CDTF">2023-04-25T02:06:33Z</dcterms:modified>
</cp:coreProperties>
</file>