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A38CBA9A-6D14-4F3E-9328-CF0B32531D94}" xr6:coauthVersionLast="47" xr6:coauthVersionMax="47" xr10:uidLastSave="{00000000-0000-0000-0000-000000000000}"/>
  <bookViews>
    <workbookView xWindow="-28920" yWindow="-120" windowWidth="29040" windowHeight="15720" tabRatio="796" xr2:uid="{00000000-000D-0000-FFFF-FFFF00000000}"/>
  </bookViews>
  <sheets>
    <sheet name="MODELO VALORACIÓN SIMPLIFICADO" sheetId="15" r:id="rId1"/>
    <sheet name="KPI's" sheetId="16" r:id="rId2"/>
  </sheets>
  <externalReferences>
    <externalReference r:id="rId3"/>
    <externalReference r:id="rId4"/>
  </externalReference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'MODELO VALORACIÓN SIMPLIFICADO'!#REF!</definedName>
  </definedNames>
  <calcPr calcId="191029" calcMode="autoNoTable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15" l="1"/>
  <c r="B175" i="15"/>
  <c r="B252" i="15"/>
  <c r="E244" i="15"/>
  <c r="B248" i="15"/>
  <c r="D24" i="15"/>
  <c r="D77" i="15" s="1"/>
  <c r="E24" i="15"/>
  <c r="F24" i="15"/>
  <c r="G24" i="15"/>
  <c r="C24" i="15"/>
  <c r="F5" i="15"/>
  <c r="G5" i="15"/>
  <c r="M60" i="15"/>
  <c r="N60" i="15"/>
  <c r="O60" i="15"/>
  <c r="P60" i="15"/>
  <c r="Q60" i="15"/>
  <c r="D198" i="15"/>
  <c r="E198" i="15" s="1"/>
  <c r="F198" i="15" s="1"/>
  <c r="G198" i="15" s="1"/>
  <c r="G177" i="15"/>
  <c r="F177" i="15"/>
  <c r="E177" i="15"/>
  <c r="D177" i="15"/>
  <c r="C177" i="15"/>
  <c r="B177" i="15"/>
  <c r="E149" i="15"/>
  <c r="F149" i="15"/>
  <c r="G94" i="15"/>
  <c r="G149" i="15" s="1"/>
  <c r="F94" i="15"/>
  <c r="E94" i="15"/>
  <c r="D94" i="15"/>
  <c r="C94" i="15"/>
  <c r="C149" i="15" s="1"/>
  <c r="D155" i="15"/>
  <c r="C93" i="15"/>
  <c r="C92" i="15"/>
  <c r="C134" i="15" s="1"/>
  <c r="C91" i="15"/>
  <c r="C155" i="15"/>
  <c r="C133" i="15"/>
  <c r="B57" i="15"/>
  <c r="B56" i="15"/>
  <c r="B55" i="15"/>
  <c r="E134" i="15"/>
  <c r="D133" i="15"/>
  <c r="D134" i="15"/>
  <c r="G92" i="15"/>
  <c r="G134" i="15" s="1"/>
  <c r="F92" i="15"/>
  <c r="E92" i="15"/>
  <c r="F134" i="15" s="1"/>
  <c r="D92" i="15"/>
  <c r="G78" i="15"/>
  <c r="F78" i="15"/>
  <c r="E78" i="15"/>
  <c r="D78" i="15"/>
  <c r="C78" i="15"/>
  <c r="G80" i="15"/>
  <c r="G133" i="15" s="1"/>
  <c r="F80" i="15"/>
  <c r="F133" i="15" s="1"/>
  <c r="E80" i="15"/>
  <c r="E133" i="15" s="1"/>
  <c r="D80" i="15"/>
  <c r="C80" i="15"/>
  <c r="C147" i="15" s="1"/>
  <c r="D147" i="15"/>
  <c r="G109" i="15"/>
  <c r="F109" i="15"/>
  <c r="E109" i="15"/>
  <c r="D109" i="15"/>
  <c r="C109" i="15"/>
  <c r="G68" i="15"/>
  <c r="F68" i="15"/>
  <c r="E68" i="15"/>
  <c r="D68" i="15"/>
  <c r="C68" i="15"/>
  <c r="B68" i="15"/>
  <c r="B46" i="15"/>
  <c r="C46" i="15"/>
  <c r="D46" i="15"/>
  <c r="E46" i="15"/>
  <c r="F46" i="15"/>
  <c r="G46" i="15"/>
  <c r="E147" i="15" l="1"/>
  <c r="F147" i="15"/>
  <c r="G147" i="15"/>
  <c r="D149" i="15"/>
  <c r="B52" i="15"/>
  <c r="K12" i="15"/>
  <c r="L12" i="15"/>
  <c r="M12" i="15"/>
  <c r="N12" i="15"/>
  <c r="O12" i="15"/>
  <c r="B7" i="16"/>
  <c r="B6" i="16"/>
  <c r="C2" i="16"/>
  <c r="B2" i="16"/>
  <c r="B21" i="16"/>
  <c r="B20" i="16"/>
  <c r="B22" i="16" s="1"/>
  <c r="B16" i="16"/>
  <c r="C16" i="16"/>
  <c r="G28" i="15" l="1"/>
  <c r="F28" i="15"/>
  <c r="E28" i="15"/>
  <c r="D28" i="15"/>
  <c r="C28" i="15"/>
  <c r="G22" i="15"/>
  <c r="E22" i="15"/>
  <c r="D22" i="15"/>
  <c r="C22" i="15"/>
  <c r="C20" i="15"/>
  <c r="D20" i="15"/>
  <c r="E20" i="15"/>
  <c r="G20" i="15"/>
  <c r="G19" i="15"/>
  <c r="F19" i="15"/>
  <c r="F22" i="15"/>
  <c r="F20" i="15"/>
  <c r="E19" i="15"/>
  <c r="D19" i="15"/>
  <c r="C19" i="15"/>
  <c r="G7" i="15"/>
  <c r="F7" i="15"/>
  <c r="E7" i="15"/>
  <c r="D7" i="15"/>
  <c r="C7" i="15"/>
  <c r="B13" i="15"/>
  <c r="B95" i="15" l="1"/>
  <c r="B93" i="15"/>
  <c r="B91" i="15"/>
  <c r="C156" i="15" s="1"/>
  <c r="B89" i="15"/>
  <c r="B85" i="15"/>
  <c r="B79" i="15"/>
  <c r="B26" i="15" s="1"/>
  <c r="B77" i="15"/>
  <c r="B24" i="15" s="1"/>
  <c r="B75" i="15"/>
  <c r="B73" i="15"/>
  <c r="B72" i="15"/>
  <c r="B71" i="15"/>
  <c r="B87" i="15"/>
  <c r="B86" i="15"/>
  <c r="B84" i="15"/>
  <c r="G93" i="15"/>
  <c r="F93" i="15"/>
  <c r="E93" i="15"/>
  <c r="E148" i="15" s="1"/>
  <c r="D93" i="15"/>
  <c r="G91" i="15"/>
  <c r="F91" i="15"/>
  <c r="E91" i="15"/>
  <c r="D91" i="15"/>
  <c r="D156" i="15" s="1"/>
  <c r="D148" i="15"/>
  <c r="G57" i="15"/>
  <c r="F57" i="15"/>
  <c r="E57" i="15"/>
  <c r="D57" i="15"/>
  <c r="C57" i="15"/>
  <c r="B60" i="15"/>
  <c r="F154" i="15" l="1"/>
  <c r="P59" i="15"/>
  <c r="G154" i="15"/>
  <c r="Q59" i="15"/>
  <c r="F148" i="15"/>
  <c r="G148" i="15"/>
  <c r="E156" i="15"/>
  <c r="M59" i="15"/>
  <c r="C154" i="15"/>
  <c r="F156" i="15"/>
  <c r="D154" i="15"/>
  <c r="N59" i="15"/>
  <c r="G156" i="15"/>
  <c r="B81" i="15"/>
  <c r="B96" i="15" s="1"/>
  <c r="E154" i="15"/>
  <c r="O59" i="15"/>
  <c r="B37" i="15"/>
  <c r="C148" i="15"/>
  <c r="B35" i="15"/>
  <c r="B99" i="15"/>
  <c r="B98" i="15" s="1"/>
  <c r="B51" i="15" l="1"/>
  <c r="B49" i="15"/>
  <c r="B48" i="15"/>
  <c r="B7" i="15" l="1"/>
  <c r="B19" i="16"/>
  <c r="B23" i="16" s="1"/>
  <c r="B40" i="16"/>
  <c r="G298" i="15"/>
  <c r="C311" i="15"/>
  <c r="B323" i="15" s="1"/>
  <c r="C294" i="15"/>
  <c r="C300" i="15" s="1"/>
  <c r="E264" i="15"/>
  <c r="F264" i="15" s="1"/>
  <c r="C264" i="15"/>
  <c r="D264" i="15" s="1"/>
  <c r="B253" i="15"/>
  <c r="B255" i="15"/>
  <c r="F244" i="15"/>
  <c r="C244" i="15"/>
  <c r="B244" i="15"/>
  <c r="F237" i="15"/>
  <c r="D237" i="15"/>
  <c r="C237" i="15"/>
  <c r="B237" i="15"/>
  <c r="G26" i="15"/>
  <c r="G79" i="15" s="1"/>
  <c r="F26" i="15"/>
  <c r="F79" i="15" s="1"/>
  <c r="E26" i="15"/>
  <c r="E79" i="15" s="1"/>
  <c r="D26" i="15"/>
  <c r="D79" i="15" s="1"/>
  <c r="C26" i="15"/>
  <c r="C79" i="15" s="1"/>
  <c r="C146" i="15" s="1"/>
  <c r="C5" i="15"/>
  <c r="E5" i="15"/>
  <c r="D5" i="15"/>
  <c r="C255" i="15" l="1"/>
  <c r="E146" i="15"/>
  <c r="C77" i="15"/>
  <c r="C98" i="15"/>
  <c r="C132" i="15" s="1"/>
  <c r="C135" i="15" s="1"/>
  <c r="D146" i="15"/>
  <c r="F146" i="15"/>
  <c r="G146" i="15"/>
  <c r="D98" i="15"/>
  <c r="D99" i="15"/>
  <c r="C99" i="15"/>
  <c r="E99" i="15"/>
  <c r="E77" i="15"/>
  <c r="E98" i="15"/>
  <c r="F98" i="15"/>
  <c r="F99" i="15"/>
  <c r="F77" i="15"/>
  <c r="G99" i="15"/>
  <c r="G77" i="15"/>
  <c r="G98" i="15"/>
  <c r="B306" i="15"/>
  <c r="C317" i="15"/>
  <c r="C253" i="15"/>
  <c r="D255" i="15"/>
  <c r="C298" i="15"/>
  <c r="E298" i="15"/>
  <c r="F298" i="15"/>
  <c r="G315" i="15"/>
  <c r="D298" i="15"/>
  <c r="B200" i="15"/>
  <c r="B201" i="15" s="1"/>
  <c r="B202" i="15" s="1"/>
  <c r="B203" i="15" s="1"/>
  <c r="B192" i="15"/>
  <c r="B191" i="15"/>
  <c r="A317" i="15"/>
  <c r="A300" i="15"/>
  <c r="C291" i="15"/>
  <c r="D178" i="15"/>
  <c r="B50" i="15"/>
  <c r="B54" i="15" s="1"/>
  <c r="B100" i="15"/>
  <c r="B39" i="15" s="1"/>
  <c r="C48" i="15"/>
  <c r="G132" i="15" l="1"/>
  <c r="G135" i="15" s="1"/>
  <c r="C19" i="16"/>
  <c r="D19" i="16" s="1"/>
  <c r="C24" i="16" s="1"/>
  <c r="C85" i="15"/>
  <c r="C126" i="15" s="1"/>
  <c r="C84" i="15"/>
  <c r="C125" i="15" s="1"/>
  <c r="C89" i="15"/>
  <c r="C144" i="15" s="1"/>
  <c r="C88" i="15"/>
  <c r="C129" i="15" s="1"/>
  <c r="C55" i="15"/>
  <c r="M50" i="15"/>
  <c r="C111" i="15"/>
  <c r="C90" i="15"/>
  <c r="C145" i="15" s="1"/>
  <c r="C56" i="15"/>
  <c r="C87" i="15"/>
  <c r="C128" i="15" s="1"/>
  <c r="C86" i="15"/>
  <c r="C127" i="15" s="1"/>
  <c r="F132" i="15"/>
  <c r="F135" i="15" s="1"/>
  <c r="E132" i="15"/>
  <c r="E135" i="15" s="1"/>
  <c r="D132" i="15"/>
  <c r="D135" i="15" s="1"/>
  <c r="B4" i="16"/>
  <c r="C76" i="15"/>
  <c r="C143" i="15" s="1"/>
  <c r="C75" i="15"/>
  <c r="C142" i="15" s="1"/>
  <c r="C74" i="15"/>
  <c r="C124" i="15" s="1"/>
  <c r="C73" i="15"/>
  <c r="C123" i="15" s="1"/>
  <c r="C72" i="15"/>
  <c r="C122" i="15" s="1"/>
  <c r="C71" i="15"/>
  <c r="E100" i="15"/>
  <c r="D100" i="15"/>
  <c r="C100" i="15"/>
  <c r="C120" i="15" s="1"/>
  <c r="F100" i="15"/>
  <c r="G100" i="15"/>
  <c r="B254" i="15"/>
  <c r="D254" i="15" s="1"/>
  <c r="D252" i="15"/>
  <c r="B251" i="15"/>
  <c r="C252" i="15"/>
  <c r="C315" i="15"/>
  <c r="E315" i="15"/>
  <c r="F315" i="15"/>
  <c r="D315" i="15"/>
  <c r="C51" i="15"/>
  <c r="E291" i="15"/>
  <c r="B59" i="15"/>
  <c r="B291" i="15"/>
  <c r="D48" i="15"/>
  <c r="N50" i="15" s="1"/>
  <c r="C52" i="15"/>
  <c r="C49" i="15"/>
  <c r="C53" i="15"/>
  <c r="D291" i="15"/>
  <c r="E178" i="15"/>
  <c r="C150" i="15" l="1"/>
  <c r="C114" i="15"/>
  <c r="M53" i="15"/>
  <c r="M51" i="15"/>
  <c r="C112" i="15"/>
  <c r="C113" i="15" s="1"/>
  <c r="C138" i="15"/>
  <c r="M57" i="15"/>
  <c r="M54" i="15"/>
  <c r="C115" i="15"/>
  <c r="C102" i="15"/>
  <c r="C116" i="15"/>
  <c r="M55" i="15"/>
  <c r="C139" i="15"/>
  <c r="M58" i="15"/>
  <c r="C130" i="15"/>
  <c r="C136" i="15" s="1"/>
  <c r="B9" i="16"/>
  <c r="B10" i="16"/>
  <c r="F120" i="15"/>
  <c r="D111" i="15"/>
  <c r="D89" i="15"/>
  <c r="D144" i="15" s="1"/>
  <c r="D87" i="15"/>
  <c r="D128" i="15" s="1"/>
  <c r="D85" i="15"/>
  <c r="D126" i="15" s="1"/>
  <c r="D76" i="15"/>
  <c r="D143" i="15" s="1"/>
  <c r="D74" i="15"/>
  <c r="D124" i="15" s="1"/>
  <c r="D72" i="15"/>
  <c r="D122" i="15" s="1"/>
  <c r="D55" i="15"/>
  <c r="D90" i="15"/>
  <c r="D145" i="15" s="1"/>
  <c r="D88" i="15"/>
  <c r="D129" i="15" s="1"/>
  <c r="D86" i="15"/>
  <c r="D127" i="15" s="1"/>
  <c r="D84" i="15"/>
  <c r="D125" i="15" s="1"/>
  <c r="D75" i="15"/>
  <c r="D142" i="15" s="1"/>
  <c r="D73" i="15"/>
  <c r="D123" i="15" s="1"/>
  <c r="D71" i="15"/>
  <c r="D56" i="15"/>
  <c r="D120" i="15"/>
  <c r="G120" i="15"/>
  <c r="E120" i="15"/>
  <c r="D294" i="15"/>
  <c r="C295" i="15" s="1"/>
  <c r="D251" i="15"/>
  <c r="C251" i="15"/>
  <c r="D311" i="15"/>
  <c r="F178" i="15"/>
  <c r="C50" i="15"/>
  <c r="M52" i="15" s="1"/>
  <c r="C178" i="15"/>
  <c r="B178" i="15"/>
  <c r="D51" i="15"/>
  <c r="D49" i="15"/>
  <c r="E48" i="15"/>
  <c r="O50" i="15" s="1"/>
  <c r="D53" i="15"/>
  <c r="D52" i="15"/>
  <c r="B61" i="15"/>
  <c r="D114" i="15" l="1"/>
  <c r="N53" i="15"/>
  <c r="D112" i="15"/>
  <c r="N51" i="15"/>
  <c r="D150" i="15"/>
  <c r="D115" i="15"/>
  <c r="N54" i="15"/>
  <c r="N58" i="15"/>
  <c r="D139" i="15"/>
  <c r="D138" i="15"/>
  <c r="N57" i="15"/>
  <c r="C117" i="15"/>
  <c r="D116" i="15"/>
  <c r="N55" i="15"/>
  <c r="D102" i="15"/>
  <c r="B17" i="16"/>
  <c r="B63" i="15"/>
  <c r="B33" i="16"/>
  <c r="B35" i="16" s="1"/>
  <c r="B32" i="16"/>
  <c r="B36" i="16" s="1"/>
  <c r="D113" i="15"/>
  <c r="D130" i="15"/>
  <c r="D136" i="15" s="1"/>
  <c r="E111" i="15"/>
  <c r="E55" i="15"/>
  <c r="E89" i="15"/>
  <c r="E144" i="15" s="1"/>
  <c r="E76" i="15"/>
  <c r="E143" i="15" s="1"/>
  <c r="E85" i="15"/>
  <c r="E126" i="15" s="1"/>
  <c r="E90" i="15"/>
  <c r="E145" i="15" s="1"/>
  <c r="E88" i="15"/>
  <c r="E129" i="15" s="1"/>
  <c r="E86" i="15"/>
  <c r="E127" i="15" s="1"/>
  <c r="E84" i="15"/>
  <c r="E125" i="15" s="1"/>
  <c r="E75" i="15"/>
  <c r="E142" i="15" s="1"/>
  <c r="E73" i="15"/>
  <c r="E123" i="15" s="1"/>
  <c r="E71" i="15"/>
  <c r="E56" i="15"/>
  <c r="E87" i="15"/>
  <c r="E128" i="15" s="1"/>
  <c r="E72" i="15"/>
  <c r="E122" i="15" s="1"/>
  <c r="E74" i="15"/>
  <c r="E124" i="15" s="1"/>
  <c r="D300" i="15"/>
  <c r="E311" i="15"/>
  <c r="C312" i="15"/>
  <c r="D317" i="15"/>
  <c r="C263" i="15"/>
  <c r="D263" i="15" s="1"/>
  <c r="D256" i="15"/>
  <c r="E263" i="15"/>
  <c r="F263" i="15" s="1"/>
  <c r="E294" i="15"/>
  <c r="E262" i="15"/>
  <c r="F262" i="15" s="1"/>
  <c r="C256" i="15"/>
  <c r="C262" i="15"/>
  <c r="D262" i="15" s="1"/>
  <c r="D50" i="15"/>
  <c r="C54" i="15"/>
  <c r="F291" i="15"/>
  <c r="G178" i="15"/>
  <c r="H178" i="15" s="1"/>
  <c r="E53" i="15"/>
  <c r="E51" i="15"/>
  <c r="F48" i="15"/>
  <c r="P50" i="15" s="1"/>
  <c r="E52" i="15"/>
  <c r="E49" i="15"/>
  <c r="E150" i="15" l="1"/>
  <c r="O57" i="15"/>
  <c r="E138" i="15"/>
  <c r="E114" i="15"/>
  <c r="O53" i="15"/>
  <c r="E112" i="15"/>
  <c r="E113" i="15" s="1"/>
  <c r="O51" i="15"/>
  <c r="D54" i="15"/>
  <c r="N52" i="15"/>
  <c r="E102" i="15"/>
  <c r="E116" i="15"/>
  <c r="O55" i="15"/>
  <c r="D117" i="15"/>
  <c r="M56" i="15"/>
  <c r="C118" i="15"/>
  <c r="C119" i="15" s="1"/>
  <c r="O58" i="15"/>
  <c r="E139" i="15"/>
  <c r="E115" i="15"/>
  <c r="O54" i="15"/>
  <c r="F111" i="15"/>
  <c r="F89" i="15"/>
  <c r="F144" i="15" s="1"/>
  <c r="F87" i="15"/>
  <c r="F128" i="15" s="1"/>
  <c r="F85" i="15"/>
  <c r="F126" i="15" s="1"/>
  <c r="F76" i="15"/>
  <c r="F143" i="15" s="1"/>
  <c r="F74" i="15"/>
  <c r="F124" i="15" s="1"/>
  <c r="F72" i="15"/>
  <c r="F55" i="15"/>
  <c r="F90" i="15"/>
  <c r="F145" i="15" s="1"/>
  <c r="F88" i="15"/>
  <c r="F129" i="15" s="1"/>
  <c r="F86" i="15"/>
  <c r="F127" i="15" s="1"/>
  <c r="F84" i="15"/>
  <c r="F125" i="15" s="1"/>
  <c r="F75" i="15"/>
  <c r="F142" i="15" s="1"/>
  <c r="F73" i="15"/>
  <c r="F123" i="15" s="1"/>
  <c r="F71" i="15"/>
  <c r="F56" i="15"/>
  <c r="E130" i="15"/>
  <c r="E136" i="15" s="1"/>
  <c r="D295" i="15"/>
  <c r="E300" i="15"/>
  <c r="F294" i="15"/>
  <c r="F311" i="15"/>
  <c r="D312" i="15"/>
  <c r="E317" i="15"/>
  <c r="G291" i="15"/>
  <c r="E50" i="15"/>
  <c r="O52" i="15" s="1"/>
  <c r="F53" i="15"/>
  <c r="F51" i="15"/>
  <c r="G48" i="15"/>
  <c r="Q50" i="15" s="1"/>
  <c r="F52" i="15"/>
  <c r="F49" i="15"/>
  <c r="F102" i="15" l="1"/>
  <c r="E117" i="15"/>
  <c r="C121" i="15"/>
  <c r="C20" i="16"/>
  <c r="F112" i="15"/>
  <c r="P51" i="15"/>
  <c r="P58" i="15"/>
  <c r="F139" i="15"/>
  <c r="D118" i="15"/>
  <c r="D119" i="15" s="1"/>
  <c r="D121" i="15" s="1"/>
  <c r="D131" i="15" s="1"/>
  <c r="N56" i="15"/>
  <c r="F115" i="15"/>
  <c r="P54" i="15"/>
  <c r="F116" i="15"/>
  <c r="P55" i="15"/>
  <c r="P57" i="15"/>
  <c r="F138" i="15"/>
  <c r="F114" i="15"/>
  <c r="P53" i="15"/>
  <c r="F150" i="15"/>
  <c r="F122" i="15"/>
  <c r="F130" i="15" s="1"/>
  <c r="F136" i="15" s="1"/>
  <c r="G111" i="15"/>
  <c r="G89" i="15"/>
  <c r="G144" i="15" s="1"/>
  <c r="G74" i="15"/>
  <c r="G124" i="15" s="1"/>
  <c r="G90" i="15"/>
  <c r="G145" i="15" s="1"/>
  <c r="G88" i="15"/>
  <c r="G129" i="15" s="1"/>
  <c r="G86" i="15"/>
  <c r="G127" i="15" s="1"/>
  <c r="G84" i="15"/>
  <c r="G125" i="15" s="1"/>
  <c r="G75" i="15"/>
  <c r="G142" i="15" s="1"/>
  <c r="G73" i="15"/>
  <c r="G123" i="15" s="1"/>
  <c r="G71" i="15"/>
  <c r="G56" i="15"/>
  <c r="G87" i="15"/>
  <c r="G128" i="15" s="1"/>
  <c r="G76" i="15"/>
  <c r="G143" i="15" s="1"/>
  <c r="G55" i="15"/>
  <c r="G85" i="15"/>
  <c r="G126" i="15" s="1"/>
  <c r="G72" i="15"/>
  <c r="G122" i="15" s="1"/>
  <c r="F113" i="15"/>
  <c r="G294" i="15"/>
  <c r="C293" i="15"/>
  <c r="C297" i="15" s="1"/>
  <c r="C299" i="15" s="1"/>
  <c r="C301" i="15" s="1"/>
  <c r="C303" i="15" s="1"/>
  <c r="G311" i="15"/>
  <c r="E312" i="15"/>
  <c r="F317" i="15"/>
  <c r="E295" i="15"/>
  <c r="F300" i="15"/>
  <c r="E54" i="15"/>
  <c r="G52" i="15"/>
  <c r="G49" i="15"/>
  <c r="G51" i="15"/>
  <c r="G53" i="15"/>
  <c r="F50" i="15"/>
  <c r="P52" i="15" s="1"/>
  <c r="G114" i="15" l="1"/>
  <c r="Q53" i="15"/>
  <c r="G112" i="15"/>
  <c r="G113" i="15" s="1"/>
  <c r="Q51" i="15"/>
  <c r="G102" i="15"/>
  <c r="G150" i="15"/>
  <c r="D137" i="15"/>
  <c r="G115" i="15"/>
  <c r="Q54" i="15"/>
  <c r="E118" i="15"/>
  <c r="E119" i="15" s="1"/>
  <c r="E121" i="15" s="1"/>
  <c r="E137" i="15" s="1"/>
  <c r="O56" i="15"/>
  <c r="Q58" i="15"/>
  <c r="G139" i="15"/>
  <c r="F117" i="15"/>
  <c r="G138" i="15"/>
  <c r="Q57" i="15"/>
  <c r="G116" i="15"/>
  <c r="Q55" i="15"/>
  <c r="C137" i="15"/>
  <c r="C180" i="15" s="1"/>
  <c r="C131" i="15"/>
  <c r="G130" i="15"/>
  <c r="G136" i="15" s="1"/>
  <c r="H294" i="15"/>
  <c r="G295" i="15" s="1"/>
  <c r="H311" i="15"/>
  <c r="G312" i="15" s="1"/>
  <c r="F295" i="15"/>
  <c r="G300" i="15"/>
  <c r="F312" i="15"/>
  <c r="G317" i="15"/>
  <c r="D293" i="15"/>
  <c r="D297" i="15" s="1"/>
  <c r="D299" i="15" s="1"/>
  <c r="D301" i="15" s="1"/>
  <c r="D303" i="15" s="1"/>
  <c r="G50" i="15"/>
  <c r="Q52" i="15" s="1"/>
  <c r="F54" i="15"/>
  <c r="E131" i="15" l="1"/>
  <c r="G117" i="15"/>
  <c r="F118" i="15"/>
  <c r="F119" i="15" s="1"/>
  <c r="F121" i="15" s="1"/>
  <c r="F137" i="15" s="1"/>
  <c r="P56" i="15"/>
  <c r="E293" i="15"/>
  <c r="E297" i="15" s="1"/>
  <c r="E299" i="15" s="1"/>
  <c r="E301" i="15" s="1"/>
  <c r="E303" i="15" s="1"/>
  <c r="G54" i="15"/>
  <c r="F131" i="15" l="1"/>
  <c r="G118" i="15"/>
  <c r="G119" i="15" s="1"/>
  <c r="G121" i="15" s="1"/>
  <c r="G131" i="15" s="1"/>
  <c r="Q56" i="15"/>
  <c r="F293" i="15"/>
  <c r="F297" i="15" s="1"/>
  <c r="F299" i="15" s="1"/>
  <c r="F301" i="15" s="1"/>
  <c r="F303" i="15" s="1"/>
  <c r="G137" i="15" l="1"/>
  <c r="G293" i="15"/>
  <c r="G297" i="15" s="1"/>
  <c r="G299" i="15" s="1"/>
  <c r="G301" i="15" s="1"/>
  <c r="D180" i="15"/>
  <c r="D182" i="15" l="1"/>
  <c r="E180" i="15"/>
  <c r="E182" i="15" l="1"/>
  <c r="F180" i="15"/>
  <c r="F182" i="15" l="1"/>
  <c r="G180" i="15"/>
  <c r="H180" i="15" l="1"/>
  <c r="H301" i="15" s="1"/>
  <c r="C7" i="16"/>
  <c r="B208" i="15" l="1"/>
  <c r="C208" i="15"/>
  <c r="G208" i="15"/>
  <c r="G302" i="15"/>
  <c r="G303" i="15" s="1"/>
  <c r="B305" i="15" s="1"/>
  <c r="B307" i="15" s="1"/>
  <c r="F208" i="15"/>
  <c r="D208" i="15"/>
  <c r="H208" i="15"/>
  <c r="G181" i="15"/>
  <c r="G182" i="15" s="1"/>
  <c r="E208" i="15"/>
  <c r="C182" i="15" l="1"/>
  <c r="B188" i="15" s="1"/>
  <c r="B308" i="15" s="1"/>
  <c r="E155" i="15" l="1"/>
  <c r="F155" i="15"/>
  <c r="G155" i="15"/>
  <c r="C59" i="15"/>
  <c r="M61" i="15" s="1"/>
  <c r="D59" i="15"/>
  <c r="E59" i="15"/>
  <c r="F59" i="15"/>
  <c r="G59" i="15"/>
  <c r="C140" i="15"/>
  <c r="D140" i="15"/>
  <c r="E140" i="15"/>
  <c r="F140" i="15"/>
  <c r="F141" i="15" s="1"/>
  <c r="F310" i="15" s="1"/>
  <c r="F314" i="15" s="1"/>
  <c r="F316" i="15" s="1"/>
  <c r="F318" i="15" s="1"/>
  <c r="F320" i="15" s="1"/>
  <c r="G140" i="15"/>
  <c r="G141" i="15" s="1"/>
  <c r="C141" i="15"/>
  <c r="C151" i="15" s="1"/>
  <c r="C184" i="15" s="1"/>
  <c r="D141" i="15"/>
  <c r="D310" i="15" s="1"/>
  <c r="D314" i="15" s="1"/>
  <c r="D316" i="15" s="1"/>
  <c r="D318" i="15" s="1"/>
  <c r="D320" i="15" s="1"/>
  <c r="E141" i="15"/>
  <c r="C153" i="15"/>
  <c r="C157" i="15" s="1"/>
  <c r="D153" i="15"/>
  <c r="D157" i="15" s="1"/>
  <c r="E153" i="15"/>
  <c r="E157" i="15" s="1"/>
  <c r="F153" i="15"/>
  <c r="F157" i="15" s="1"/>
  <c r="G153" i="15"/>
  <c r="G157" i="15" s="1"/>
  <c r="N61" i="15" l="1"/>
  <c r="P61" i="15"/>
  <c r="F151" i="15"/>
  <c r="F152" i="15" s="1"/>
  <c r="F158" i="15" s="1"/>
  <c r="G60" i="15"/>
  <c r="Q61" i="15"/>
  <c r="E60" i="15"/>
  <c r="O61" i="15"/>
  <c r="F60" i="15"/>
  <c r="C21" i="16"/>
  <c r="C22" i="16" s="1"/>
  <c r="C23" i="16" s="1"/>
  <c r="C310" i="15"/>
  <c r="C314" i="15" s="1"/>
  <c r="C316" i="15" s="1"/>
  <c r="C318" i="15" s="1"/>
  <c r="C320" i="15" s="1"/>
  <c r="D60" i="15"/>
  <c r="C152" i="15"/>
  <c r="C186" i="15"/>
  <c r="G151" i="15"/>
  <c r="G310" i="15"/>
  <c r="G314" i="15" s="1"/>
  <c r="G316" i="15" s="1"/>
  <c r="G318" i="15" s="1"/>
  <c r="E310" i="15"/>
  <c r="E314" i="15" s="1"/>
  <c r="E316" i="15" s="1"/>
  <c r="E318" i="15" s="1"/>
  <c r="E320" i="15" s="1"/>
  <c r="E151" i="15"/>
  <c r="D151" i="15"/>
  <c r="C60" i="15"/>
  <c r="C6" i="16"/>
  <c r="F184" i="15" l="1"/>
  <c r="F186" i="15" s="1"/>
  <c r="D22" i="16"/>
  <c r="E61" i="15"/>
  <c r="O62" i="15"/>
  <c r="G61" i="15"/>
  <c r="Q62" i="15"/>
  <c r="F61" i="15"/>
  <c r="P62" i="15"/>
  <c r="C61" i="15"/>
  <c r="M62" i="15"/>
  <c r="D61" i="15"/>
  <c r="N62" i="15"/>
  <c r="C158" i="15"/>
  <c r="G152" i="15"/>
  <c r="G184" i="15"/>
  <c r="E152" i="15"/>
  <c r="E184" i="15"/>
  <c r="D152" i="15"/>
  <c r="D184" i="15"/>
  <c r="D186" i="15" s="1"/>
  <c r="D23" i="16"/>
  <c r="C29" i="16" s="1"/>
  <c r="C28" i="16"/>
  <c r="E158" i="15" l="1"/>
  <c r="C25" i="16"/>
  <c r="D29" i="16" s="1"/>
  <c r="G158" i="15"/>
  <c r="D158" i="15"/>
  <c r="E186" i="15"/>
  <c r="H184" i="15"/>
  <c r="E209" i="15" s="1"/>
  <c r="E210" i="15" s="1"/>
  <c r="D209" i="15" l="1"/>
  <c r="D210" i="15" s="1"/>
  <c r="C209" i="15"/>
  <c r="C210" i="15" s="1"/>
  <c r="F209" i="15"/>
  <c r="F210" i="15" s="1"/>
  <c r="B209" i="15"/>
  <c r="B210" i="15" s="1"/>
  <c r="G209" i="15"/>
  <c r="G210" i="15" s="1"/>
  <c r="D28" i="16"/>
  <c r="G185" i="15"/>
  <c r="G186" i="15" s="1"/>
  <c r="B189" i="15" s="1"/>
  <c r="H209" i="15"/>
  <c r="H210" i="15" s="1"/>
  <c r="H318" i="15"/>
  <c r="G319" i="15" s="1"/>
  <c r="G320" i="15" s="1"/>
  <c r="B322" i="15" s="1"/>
  <c r="B324" i="15" s="1"/>
  <c r="B327" i="15" s="1"/>
  <c r="B190" i="15" l="1"/>
  <c r="B325" i="15"/>
  <c r="C188" i="15" l="1"/>
  <c r="E265" i="15"/>
  <c r="F265" i="15" s="1"/>
  <c r="B193" i="15"/>
  <c r="C193" i="15" s="1"/>
  <c r="C265" i="15"/>
  <c r="D265" i="15" s="1"/>
  <c r="B198" i="15"/>
  <c r="B328" i="15"/>
  <c r="C189" i="15"/>
  <c r="C190" i="15" l="1"/>
  <c r="D62" i="15" l="1"/>
  <c r="D160" i="15" s="1"/>
  <c r="D161" i="15" s="1"/>
  <c r="G62" i="15"/>
  <c r="G160" i="15" s="1"/>
  <c r="G161" i="15" s="1"/>
  <c r="F62" i="15"/>
  <c r="F63" i="15" s="1"/>
  <c r="E62" i="15"/>
  <c r="E160" i="15" s="1"/>
  <c r="E161" i="15" s="1"/>
  <c r="C62" i="15"/>
  <c r="C160" i="15" s="1"/>
  <c r="C161" i="15" s="1"/>
  <c r="C163" i="15" s="1"/>
  <c r="C165" i="15" s="1"/>
  <c r="C63" i="15"/>
  <c r="E163" i="15" l="1"/>
  <c r="E165" i="15" s="1"/>
  <c r="D63" i="15"/>
  <c r="C95" i="15"/>
  <c r="C103" i="15" s="1"/>
  <c r="C104" i="15" s="1"/>
  <c r="C70" i="15" s="1"/>
  <c r="E63" i="15"/>
  <c r="F160" i="15"/>
  <c r="F161" i="15" s="1"/>
  <c r="F163" i="15" s="1"/>
  <c r="F165" i="15" s="1"/>
  <c r="G63" i="15"/>
  <c r="G163" i="15"/>
  <c r="G165" i="15" s="1"/>
  <c r="D163" i="15"/>
  <c r="D165" i="15" s="1"/>
  <c r="C32" i="16" l="1"/>
  <c r="C36" i="16" s="1"/>
  <c r="D95" i="15"/>
  <c r="E95" i="15" s="1"/>
  <c r="C166" i="15"/>
  <c r="C81" i="15"/>
  <c r="D103" i="15"/>
  <c r="D104" i="15" s="1"/>
  <c r="D70" i="15" s="1"/>
  <c r="C33" i="16" l="1"/>
  <c r="C35" i="16" s="1"/>
  <c r="C96" i="15"/>
  <c r="C40" i="16"/>
  <c r="F95" i="15"/>
  <c r="E103" i="15"/>
  <c r="E104" i="15" s="1"/>
  <c r="E70" i="15" s="1"/>
  <c r="D166" i="15"/>
  <c r="D81" i="15"/>
  <c r="D96" i="15" s="1"/>
  <c r="E81" i="15" l="1"/>
  <c r="E96" i="15" s="1"/>
  <c r="E166" i="15"/>
  <c r="F103" i="15"/>
  <c r="F104" i="15" s="1"/>
  <c r="F70" i="15" s="1"/>
  <c r="G95" i="15"/>
  <c r="G103" i="15" s="1"/>
  <c r="G104" i="15" s="1"/>
  <c r="G70" i="15" s="1"/>
  <c r="C9" i="16"/>
  <c r="C10" i="16"/>
  <c r="C17" i="16" s="1"/>
  <c r="G166" i="15" l="1"/>
  <c r="G81" i="15"/>
  <c r="G96" i="15" s="1"/>
  <c r="F166" i="15"/>
  <c r="F81" i="15"/>
  <c r="F96" i="15" s="1"/>
</calcChain>
</file>

<file path=xl/sharedStrings.xml><?xml version="1.0" encoding="utf-8"?>
<sst xmlns="http://schemas.openxmlformats.org/spreadsheetml/2006/main" count="319" uniqueCount="251">
  <si>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</si>
  <si>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</si>
  <si>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</si>
  <si>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</si>
  <si>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</si>
  <si>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</si>
  <si>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</si>
  <si>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</si>
  <si>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</si>
  <si>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</si>
  <si>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</si>
  <si>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</si>
  <si>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</si>
  <si>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</si>
  <si>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</si>
  <si>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</si>
  <si>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</si>
  <si>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</si>
  <si>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</si>
  <si>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</si>
  <si>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</si>
  <si>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</si>
  <si>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</si>
  <si>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</si>
  <si>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</si>
  <si>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</si>
  <si>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</si>
  <si>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</si>
  <si>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</si>
  <si>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</si>
  <si>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</si>
  <si>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</si>
  <si>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</si>
  <si>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</si>
  <si>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</si>
  <si>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</si>
  <si>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</si>
  <si>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</si>
  <si>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</si>
  <si>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ACT.TOT. SIN EXCESO DE EFECTIVO</t>
  </si>
  <si>
    <t>PAS+PAT SIN PAS.FIN.REQ.</t>
  </si>
  <si>
    <t>FER (FEN, PLUG, Variable Ajuste)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</si>
  <si>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</si>
  <si>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</si>
  <si>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</si>
  <si>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</si>
  <si>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</si>
  <si>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</si>
  <si>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</si>
  <si>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</si>
  <si>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</si>
  <si>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</si>
  <si>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</si>
  <si>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</si>
  <si>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</si>
  <si>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</si>
  <si>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</si>
  <si>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</si>
  <si>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</si>
  <si>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</si>
  <si>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EXCESO DE CAJA</t>
  </si>
  <si>
    <t>IRO</t>
  </si>
  <si>
    <t>UODI</t>
  </si>
  <si>
    <t>FCB</t>
  </si>
  <si>
    <t>KTNO</t>
  </si>
  <si>
    <t>DILPL</t>
  </si>
  <si>
    <t>ILPL</t>
  </si>
  <si>
    <t>COE</t>
  </si>
  <si>
    <t>FCLO</t>
  </si>
  <si>
    <t>FCD</t>
  </si>
  <si>
    <t>FCDA</t>
  </si>
  <si>
    <t>FCL-NOP</t>
  </si>
  <si>
    <t>FCFF</t>
  </si>
  <si>
    <t>FCA</t>
  </si>
  <si>
    <t>chk</t>
  </si>
  <si>
    <t>INOPdi</t>
  </si>
  <si>
    <t>CNOE</t>
  </si>
  <si>
    <t>VARIACIÓN DE CAJA</t>
  </si>
  <si>
    <t>INFLACION DE LARGO PLAZO - f -</t>
  </si>
  <si>
    <t>ESTADO DE RESULTADOS PROYECTADO</t>
  </si>
  <si>
    <t>ESTADO DE SITUACIÓN FINANCIERA PROYECTADO</t>
  </si>
  <si>
    <t xml:space="preserve">FLUJO DE CAJA LIBRE (FCL) PROYECTADO </t>
  </si>
  <si>
    <t>SUPUESTOS</t>
  </si>
  <si>
    <t>VALORACIÓN</t>
  </si>
  <si>
    <t>Tasa de crecimiento a perpetuidad (g)</t>
  </si>
  <si>
    <t>Costo de capital promedio ponderado (wacc)</t>
  </si>
  <si>
    <t>PERPETUIDAD</t>
  </si>
  <si>
    <t xml:space="preserve"> + VALOR OPERACIONAL</t>
  </si>
  <si>
    <t xml:space="preserve"> + VALOR NO OPERACIONAL</t>
  </si>
  <si>
    <t xml:space="preserve"> = VALOR DE LA EMPRESA</t>
  </si>
  <si>
    <t xml:space="preserve"> + CAJA</t>
  </si>
  <si>
    <t xml:space="preserve"> - PASIVOS FINANCIEROS</t>
  </si>
  <si>
    <t xml:space="preserve"> = VALOR PATRIMONIAL</t>
  </si>
  <si>
    <t>MÉTODO DEL FLUJO DE CAJA DESCONTADO</t>
  </si>
  <si>
    <t>g</t>
  </si>
  <si>
    <t>WACC</t>
  </si>
  <si>
    <t>ROLLING NPV</t>
  </si>
  <si>
    <t>ROLLING NON OPERATING NPV</t>
  </si>
  <si>
    <t>MÉTODO DE LOS MÚLTIPLOS</t>
  </si>
  <si>
    <t>EV/EBITDA</t>
  </si>
  <si>
    <t>EV/EBIT</t>
  </si>
  <si>
    <t>EV/IC</t>
  </si>
  <si>
    <t>USA</t>
  </si>
  <si>
    <t>PROMEDIO</t>
  </si>
  <si>
    <t>NOPLAT</t>
  </si>
  <si>
    <t>EV/NOPLAT</t>
  </si>
  <si>
    <t>EV/SALES</t>
  </si>
  <si>
    <t>SALES</t>
  </si>
  <si>
    <t>Costos No Recurrentes</t>
  </si>
  <si>
    <t>EBITDA ajustado</t>
  </si>
  <si>
    <t>EBIT ajustado</t>
  </si>
  <si>
    <t>PROMEDIO MUESTRA</t>
  </si>
  <si>
    <t>MÉTODO DEL EVA</t>
  </si>
  <si>
    <t>COEi</t>
  </si>
  <si>
    <t>COEf</t>
  </si>
  <si>
    <t>Rentabilidad del COEi</t>
  </si>
  <si>
    <t>Costo de Capital</t>
  </si>
  <si>
    <t>Diferencia</t>
  </si>
  <si>
    <t>CNOEi</t>
  </si>
  <si>
    <t>CNOEf</t>
  </si>
  <si>
    <t>Rentabilidad del CNOEi</t>
  </si>
  <si>
    <t>VALOR NO OPERACIONAL</t>
  </si>
  <si>
    <t>VALOR DE LA EMPRESA</t>
  </si>
  <si>
    <t xml:space="preserve"> + COEi</t>
  </si>
  <si>
    <t xml:space="preserve"> = VALOR OPERACIONAL</t>
  </si>
  <si>
    <t xml:space="preserve"> + CNOEi</t>
  </si>
  <si>
    <t xml:space="preserve"> + Valor Presente del EVA Operativo</t>
  </si>
  <si>
    <t>FCLO horizonte explícito</t>
  </si>
  <si>
    <t xml:space="preserve">FCLO </t>
  </si>
  <si>
    <t>FCL-NOP horizonte explícito</t>
  </si>
  <si>
    <t>FCLO perpetuidad</t>
  </si>
  <si>
    <t>FCL-NOP perpetuidad</t>
  </si>
  <si>
    <t xml:space="preserve">FCL-NOP </t>
  </si>
  <si>
    <t>EVA Operativo horizonte eplícito</t>
  </si>
  <si>
    <t>EVA Operativo perpetuidad</t>
  </si>
  <si>
    <t>EVA Operativo</t>
  </si>
  <si>
    <t>EVA No Operativo horizonte eplícito</t>
  </si>
  <si>
    <t>EVA No Operativo perpetuidad</t>
  </si>
  <si>
    <t>EVA No Operativo</t>
  </si>
  <si>
    <t xml:space="preserve"> + Valor Presente del EVA No Operativo</t>
  </si>
  <si>
    <t xml:space="preserve">ROLLING OPERATING NPV  </t>
  </si>
  <si>
    <t>ANÁLISIS DE SENSIBILIDAD:</t>
  </si>
  <si>
    <t>VALOR CON FUNCIÓN XNPV DE EXCEL:</t>
  </si>
  <si>
    <t>SUPUESTOS Y VALORACIÓN:</t>
  </si>
  <si>
    <t>lo (bar)</t>
  </si>
  <si>
    <t>lo  (label)</t>
  </si>
  <si>
    <t>hi (bar)</t>
  </si>
  <si>
    <t>hi (label)</t>
  </si>
  <si>
    <t>EV Industria</t>
  </si>
  <si>
    <t>EV Muestra</t>
  </si>
  <si>
    <t>FCL Sensibilidad</t>
  </si>
  <si>
    <t>FCL Caso Base</t>
  </si>
  <si>
    <t>RESUMEN DE LA VALORACIÓN</t>
  </si>
  <si>
    <t xml:space="preserve">Sensibilidad g - wacc </t>
  </si>
  <si>
    <t>OTROS INGRESOS/VENTAS</t>
  </si>
  <si>
    <t>OTROS EGRESOS/VENTAS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</si>
  <si>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</si>
  <si>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</si>
  <si>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</si>
  <si>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</si>
  <si>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</si>
  <si>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</si>
  <si>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</si>
  <si>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</si>
  <si>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t>OTROS INGRESOS</t>
  </si>
  <si>
    <t>OTROS EGRESOS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</si>
  <si>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</si>
  <si>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</si>
  <si>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</si>
  <si>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</si>
  <si>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</si>
  <si>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</si>
  <si>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t>Depreciación 2022</t>
  </si>
  <si>
    <t xml:space="preserve">IC </t>
  </si>
  <si>
    <t>ACTIVO CORRIENTE OPERATIVO</t>
  </si>
  <si>
    <t xml:space="preserve">PASIVO CORRIENTE OPERATIVO </t>
  </si>
  <si>
    <t xml:space="preserve">ACTIVO DE LPL OPERATIVO </t>
  </si>
  <si>
    <t xml:space="preserve">PASIVO DE LPL OPERATIVO </t>
  </si>
  <si>
    <t>GASTO INTERES (INGR) S/PAS.FIN.REQ.di</t>
  </si>
  <si>
    <t xml:space="preserve">ACTIVO CORRIENTE NO OPERATIVO </t>
  </si>
  <si>
    <t>PASIVO CORRIENTE NO OPERATIVO</t>
  </si>
  <si>
    <t>ACTIVO DE LPL NO OPERATIVO</t>
  </si>
  <si>
    <t xml:space="preserve">PASIVO DE LPL NO OPERATIVO </t>
  </si>
  <si>
    <t>GASTO INTERES (INGR) S/PAS.FIN.INI.di</t>
  </si>
  <si>
    <t>Fuente: Damodaran on line (datos 2022)</t>
  </si>
  <si>
    <t>DATOS</t>
  </si>
  <si>
    <t>NOMBRE DEL ESCENARIO</t>
  </si>
  <si>
    <t>N°</t>
  </si>
  <si>
    <t>CASO BASE</t>
  </si>
  <si>
    <t>GUERRA DE ARANCELES USA-CHINA</t>
  </si>
  <si>
    <t>ESCENARIO ACTIVO</t>
  </si>
  <si>
    <t>NÚMERO</t>
  </si>
  <si>
    <t>EV</t>
  </si>
  <si>
    <t>Razón de Intensidad del Capital</t>
  </si>
  <si>
    <t>Utilización de los activos fijos</t>
  </si>
  <si>
    <t>Tasa de Crecimiento Sostenible</t>
  </si>
  <si>
    <t>Tasa de Crecimiento Interno</t>
  </si>
  <si>
    <t>b</t>
  </si>
  <si>
    <t>ROA</t>
  </si>
  <si>
    <t>ROE</t>
  </si>
  <si>
    <t>Ganancia en Productividad</t>
  </si>
  <si>
    <t>Crecimiento Rentable</t>
  </si>
  <si>
    <t>Participación</t>
  </si>
  <si>
    <t>EVA Momentum</t>
  </si>
  <si>
    <t>Crecimiento en Ventas</t>
  </si>
  <si>
    <t>Margen EVA</t>
  </si>
  <si>
    <t>Múltiplos de salida (EV/EBITDA....)</t>
  </si>
  <si>
    <t>EVA TOTAL</t>
  </si>
  <si>
    <t>Ke y Kd</t>
  </si>
  <si>
    <t>EVA NO Operativo</t>
  </si>
  <si>
    <t>Poner explícita la estructura de Capital</t>
  </si>
  <si>
    <t>PE-EBITDA=CF-D&amp;A/indice de contribución</t>
  </si>
  <si>
    <t>Ventas</t>
  </si>
  <si>
    <t>Margenes de seguridad operativo y económico</t>
  </si>
  <si>
    <t>Puntos de equilibrio operativo y económico</t>
  </si>
  <si>
    <t>Kd</t>
  </si>
  <si>
    <t>Utilidad mínima requerida</t>
  </si>
  <si>
    <t>Ke</t>
  </si>
  <si>
    <t>Capital empleado fijo y Variable</t>
  </si>
  <si>
    <t>Riesgo País</t>
  </si>
  <si>
    <t>Ventas de equilibrio (podríamos sacarle una gráfica como en clase)</t>
  </si>
  <si>
    <t>Beta</t>
  </si>
  <si>
    <t>UODI / INOPdi</t>
  </si>
  <si>
    <t>Prima de Riesgo</t>
  </si>
  <si>
    <t>Libre Riesgo</t>
  </si>
  <si>
    <t>ROIC</t>
  </si>
  <si>
    <t>EVA momentum (discriminado en ganancia en productividad y crecimiento rentable)</t>
  </si>
  <si>
    <t>E/(E+D)</t>
  </si>
  <si>
    <t>EVA operativo, no operativo y total</t>
  </si>
  <si>
    <t>Estructura de Capital</t>
  </si>
  <si>
    <t>D/(E+D)</t>
  </si>
  <si>
    <t>Tasa de crecimiento sostenible de la EMPRESA</t>
  </si>
  <si>
    <t>Rentabilidad sobre el PATRIMONIO</t>
  </si>
  <si>
    <t>UODI/INOPdi</t>
  </si>
  <si>
    <t>EBITDAC</t>
  </si>
  <si>
    <t>RSP</t>
  </si>
  <si>
    <t>Margen EBITDA</t>
  </si>
  <si>
    <t>Variable de ajuste del modelo de planeación financiera???? (Plug)</t>
  </si>
  <si>
    <t>Var</t>
  </si>
  <si>
    <t>2023P</t>
  </si>
  <si>
    <t>ESCENARIO1: CASO BASE - SIN AUMENTO DE CAPACIDAD INSTALADA</t>
  </si>
  <si>
    <t>ESCENARIO 2: AUMENTO DE CAPACIDAD INSTALADA EN 2025</t>
  </si>
  <si>
    <t>DATOS ($MM COP)</t>
  </si>
  <si>
    <t>Industria: Building Materials</t>
  </si>
  <si>
    <t>Enterprise Value (EV) Múltiplos</t>
  </si>
  <si>
    <t>EMERGING MARKETS</t>
  </si>
  <si>
    <t>Tecnoglass Inc</t>
  </si>
  <si>
    <t>Alcoa Corporation</t>
  </si>
  <si>
    <t>Tredegar Corporation</t>
  </si>
  <si>
    <t>Constellium SE</t>
  </si>
  <si>
    <t>Fuente: Yahoo Finance, FinViz, Valueinvesting.io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</si>
</sst>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&quot;$&quot;\ * #,##0.00_);_(&quot;$&quot;\ * \(#,##0.00\);_(&quot;$&quot;\ * &quot;-&quot;??_);_(@_)"/>
    <numFmt numFmtId="168" formatCode="_(* #,##0.0000_);_(* \(#,##0.0000\);_(* &quot;-&quot;??_);_(@_)"/>
    <numFmt numFmtId="169" formatCode="0\P"/>
    <numFmt numFmtId="170" formatCode="0.0%"/>
    <numFmt numFmtId="171" formatCode="dd/mm/yyyy;@"/>
    <numFmt numFmtId="172" formatCode="_-* #,##0_-;\-* #,##0_-;_-* &quot;-&quot;??_-;_-@_-"/>
    <numFmt numFmtId="173" formatCode="_-* #,##0_-;\-* #,##0_-;_-* &quot;-&quot;?_-;_-@_-"/>
    <numFmt numFmtId="174" formatCode="0.0\x"/>
    <numFmt numFmtId="175" formatCode="_-&quot;$&quot;\ * #,##0_-;\-&quot;$&quot;\ * #,##0_-;_-&quot;$&quot;\ * &quot;-&quot;??_-;_-@_-"/>
    <numFmt numFmtId="176" formatCode="_(* #,##0.0_);_(* \(#,##0.0\);_(* &quot;-&quot;??_);_(@_)"/>
    <numFmt numFmtId="177" formatCode="_(* #,##0.000_);_(* \(#,##0.000\);_(* &quot;-&quot;??_);_(@_)"/>
  </numFmts>
  <fonts count="28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12"/>
      <color rgb="FF0000FF"/>
      <name val="Verdana"/>
      <family val="2"/>
    </font>
    <font>
      <b/>
      <sz val="12"/>
      <color rgb="FFFF0000"/>
      <name val="Verdana"/>
      <family val="2"/>
    </font>
    <font>
      <b/>
      <u/>
      <sz val="12"/>
      <color rgb="FF0000FF"/>
      <name val="Verdana"/>
      <family val="2"/>
    </font>
    <font>
      <b/>
      <u/>
      <sz val="12"/>
      <name val="Verdana"/>
      <family val="2"/>
    </font>
    <font>
      <i/>
      <sz val="12"/>
      <color theme="1"/>
      <name val="Verdana"/>
      <family val="2"/>
    </font>
    <font>
      <i/>
      <sz val="12"/>
      <name val="Verdana"/>
      <family val="2"/>
    </font>
    <font>
      <b/>
      <sz val="12"/>
      <color theme="0"/>
      <name val="Verdana"/>
      <family val="2"/>
    </font>
    <font>
      <u/>
      <sz val="12"/>
      <color theme="1"/>
      <name val="Verdana"/>
      <family val="2"/>
    </font>
    <font>
      <b/>
      <sz val="12"/>
      <color rgb="FF0000FF"/>
      <name val="Verdana"/>
      <family val="2"/>
    </font>
    <font>
      <sz val="12"/>
      <color theme="0"/>
      <name val="Verdana"/>
      <family val="2"/>
    </font>
    <font>
      <b/>
      <i/>
      <sz val="12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B050"/>
      <name val="Arial Narrow"/>
      <family val="2"/>
    </font>
    <font>
      <b/>
      <i/>
      <sz val="12"/>
      <name val="Verdana"/>
      <family val="2"/>
    </font>
    <font>
      <sz val="12"/>
      <color rgb="FF00B050"/>
      <name val="Verdana"/>
      <family val="2"/>
    </font>
    <font>
      <sz val="12"/>
      <color rgb="FFFF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ashed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" fillId="0" borderId="0" applyFont="0" applyFill="0" applyBorder="0" applyAlignment="0" applyProtection="0"/>
  </cellStyleXfs>
  <cellXfs count="179">
    <xf numFmtId="0" fontId="0" fillId="0" borderId="0" xfId="0"/>
    <xf numFmtId="166" fontId="0" fillId="0" borderId="0" xfId="1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 applyProtection="1">
      <protection locked="0"/>
    </xf>
    <xf numFmtId="0" fontId="10" fillId="0" borderId="1" xfId="0" applyFont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5" fillId="0" borderId="0" xfId="0" applyFont="1"/>
    <xf numFmtId="0" fontId="0" fillId="0" borderId="2" xfId="0" applyBorder="1"/>
    <xf numFmtId="166" fontId="6" fillId="0" borderId="1" xfId="1" applyNumberFormat="1" applyFont="1" applyBorder="1"/>
    <xf numFmtId="166" fontId="0" fillId="0" borderId="1" xfId="1" applyNumberFormat="1" applyFont="1" applyBorder="1"/>
    <xf numFmtId="166" fontId="6" fillId="0" borderId="2" xfId="1" applyNumberFormat="1" applyFont="1" applyBorder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41" fontId="9" fillId="0" borderId="0" xfId="2" applyFont="1"/>
    <xf numFmtId="9" fontId="11" fillId="0" borderId="0" xfId="0" applyNumberFormat="1" applyFont="1"/>
    <xf numFmtId="41" fontId="11" fillId="0" borderId="0" xfId="2" applyFont="1"/>
    <xf numFmtId="0" fontId="6" fillId="0" borderId="1" xfId="0" applyFont="1" applyBorder="1"/>
    <xf numFmtId="166" fontId="6" fillId="0" borderId="1" xfId="0" applyNumberFormat="1" applyFont="1" applyBorder="1"/>
    <xf numFmtId="166" fontId="5" fillId="0" borderId="0" xfId="1" applyNumberFormat="1"/>
    <xf numFmtId="166" fontId="0" fillId="0" borderId="3" xfId="0" applyNumberFormat="1" applyBorder="1"/>
    <xf numFmtId="0" fontId="0" fillId="0" borderId="3" xfId="0" applyBorder="1"/>
    <xf numFmtId="166" fontId="11" fillId="0" borderId="0" xfId="1" applyNumberFormat="1" applyFont="1"/>
    <xf numFmtId="166" fontId="11" fillId="0" borderId="1" xfId="1" applyNumberFormat="1" applyFont="1" applyBorder="1"/>
    <xf numFmtId="166" fontId="11" fillId="0" borderId="0" xfId="0" applyNumberFormat="1" applyFont="1"/>
    <xf numFmtId="0" fontId="14" fillId="0" borderId="0" xfId="0" applyFont="1" applyAlignment="1">
      <alignment horizontal="center"/>
    </xf>
    <xf numFmtId="9" fontId="0" fillId="0" borderId="0" xfId="8" applyFont="1"/>
    <xf numFmtId="166" fontId="0" fillId="4" borderId="0" xfId="0" applyNumberFormat="1" applyFill="1"/>
    <xf numFmtId="166" fontId="6" fillId="4" borderId="1" xfId="0" applyNumberFormat="1" applyFont="1" applyFill="1" applyBorder="1"/>
    <xf numFmtId="166" fontId="0" fillId="5" borderId="0" xfId="0" applyNumberFormat="1" applyFill="1"/>
    <xf numFmtId="0" fontId="15" fillId="0" borderId="0" xfId="0" applyFont="1"/>
    <xf numFmtId="168" fontId="15" fillId="0" borderId="0" xfId="0" applyNumberFormat="1" applyFont="1"/>
    <xf numFmtId="0" fontId="12" fillId="0" borderId="0" xfId="0" applyFont="1"/>
    <xf numFmtId="0" fontId="6" fillId="0" borderId="0" xfId="0" applyFont="1"/>
    <xf numFmtId="0" fontId="17" fillId="6" borderId="0" xfId="0" applyFont="1" applyFill="1"/>
    <xf numFmtId="169" fontId="13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center" vertical="center" wrapText="1"/>
    </xf>
    <xf numFmtId="166" fontId="0" fillId="2" borderId="0" xfId="0" applyNumberFormat="1" applyFill="1"/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7" applyFont="1" applyProtection="1">
      <protection hidden="1"/>
    </xf>
    <xf numFmtId="0" fontId="5" fillId="0" borderId="0" xfId="4"/>
    <xf numFmtId="165" fontId="9" fillId="0" borderId="4" xfId="7" applyFont="1" applyBorder="1" applyProtection="1">
      <protection hidden="1"/>
    </xf>
    <xf numFmtId="166" fontId="9" fillId="0" borderId="0" xfId="7" applyNumberFormat="1" applyFont="1" applyProtection="1">
      <protection hidden="1"/>
    </xf>
    <xf numFmtId="173" fontId="0" fillId="0" borderId="0" xfId="0" applyNumberFormat="1"/>
    <xf numFmtId="0" fontId="0" fillId="0" borderId="4" xfId="0" applyBorder="1"/>
    <xf numFmtId="0" fontId="0" fillId="0" borderId="6" xfId="0" applyBorder="1"/>
    <xf numFmtId="173" fontId="11" fillId="0" borderId="6" xfId="0" applyNumberFormat="1" applyFont="1" applyBorder="1"/>
    <xf numFmtId="166" fontId="19" fillId="0" borderId="1" xfId="0" applyNumberFormat="1" applyFont="1" applyBorder="1"/>
    <xf numFmtId="165" fontId="10" fillId="0" borderId="0" xfId="7" applyFont="1" applyProtection="1">
      <protection hidden="1"/>
    </xf>
    <xf numFmtId="173" fontId="11" fillId="0" borderId="0" xfId="0" applyNumberFormat="1" applyFont="1"/>
    <xf numFmtId="166" fontId="9" fillId="0" borderId="4" xfId="7" applyNumberFormat="1" applyFont="1" applyBorder="1" applyProtection="1">
      <protection hidden="1"/>
    </xf>
    <xf numFmtId="173" fontId="11" fillId="0" borderId="4" xfId="0" applyNumberFormat="1" applyFont="1" applyBorder="1"/>
    <xf numFmtId="173" fontId="0" fillId="0" borderId="4" xfId="0" applyNumberFormat="1" applyBorder="1"/>
    <xf numFmtId="43" fontId="0" fillId="0" borderId="0" xfId="0" applyNumberFormat="1"/>
    <xf numFmtId="0" fontId="14" fillId="0" borderId="0" xfId="0" applyFont="1"/>
    <xf numFmtId="170" fontId="11" fillId="0" borderId="0" xfId="0" applyNumberFormat="1" applyFont="1"/>
    <xf numFmtId="165" fontId="16" fillId="0" borderId="0" xfId="7" applyFont="1" applyProtection="1">
      <protection hidden="1"/>
    </xf>
    <xf numFmtId="0" fontId="17" fillId="7" borderId="0" xfId="0" applyFont="1" applyFill="1"/>
    <xf numFmtId="0" fontId="20" fillId="7" borderId="0" xfId="0" applyFont="1" applyFill="1"/>
    <xf numFmtId="0" fontId="6" fillId="3" borderId="1" xfId="0" applyFont="1" applyFill="1" applyBorder="1"/>
    <xf numFmtId="166" fontId="6" fillId="3" borderId="1" xfId="0" applyNumberFormat="1" applyFont="1" applyFill="1" applyBorder="1"/>
    <xf numFmtId="172" fontId="6" fillId="3" borderId="1" xfId="0" applyNumberFormat="1" applyFont="1" applyFill="1" applyBorder="1"/>
    <xf numFmtId="165" fontId="10" fillId="3" borderId="1" xfId="7" applyFont="1" applyFill="1" applyBorder="1" applyProtection="1">
      <protection hidden="1"/>
    </xf>
    <xf numFmtId="14" fontId="9" fillId="0" borderId="0" xfId="0" applyNumberFormat="1" applyFont="1" applyAlignment="1">
      <alignment horizontal="center"/>
    </xf>
    <xf numFmtId="0" fontId="8" fillId="3" borderId="0" xfId="0" applyFont="1" applyFill="1"/>
    <xf numFmtId="0" fontId="0" fillId="3" borderId="0" xfId="0" applyFill="1"/>
    <xf numFmtId="166" fontId="0" fillId="3" borderId="0" xfId="0" applyNumberFormat="1" applyFill="1"/>
    <xf numFmtId="170" fontId="0" fillId="3" borderId="0" xfId="0" applyNumberFormat="1" applyFill="1"/>
    <xf numFmtId="9" fontId="0" fillId="0" borderId="0" xfId="0" applyNumberFormat="1"/>
    <xf numFmtId="9" fontId="9" fillId="4" borderId="0" xfId="0" applyNumberFormat="1" applyFont="1" applyFill="1"/>
    <xf numFmtId="166" fontId="0" fillId="5" borderId="1" xfId="0" applyNumberFormat="1" applyFill="1" applyBorder="1"/>
    <xf numFmtId="170" fontId="0" fillId="5" borderId="0" xfId="8" applyNumberFormat="1" applyFont="1" applyFill="1"/>
    <xf numFmtId="170" fontId="6" fillId="5" borderId="1" xfId="8" applyNumberFormat="1" applyFont="1" applyFill="1" applyBorder="1"/>
    <xf numFmtId="170" fontId="11" fillId="5" borderId="1" xfId="0" applyNumberFormat="1" applyFont="1" applyFill="1" applyBorder="1"/>
    <xf numFmtId="170" fontId="0" fillId="4" borderId="1" xfId="0" applyNumberFormat="1" applyFill="1" applyBorder="1"/>
    <xf numFmtId="170" fontId="11" fillId="5" borderId="5" xfId="0" applyNumberFormat="1" applyFont="1" applyFill="1" applyBorder="1"/>
    <xf numFmtId="170" fontId="0" fillId="4" borderId="5" xfId="0" applyNumberFormat="1" applyFill="1" applyBorder="1"/>
    <xf numFmtId="172" fontId="0" fillId="5" borderId="0" xfId="0" applyNumberFormat="1" applyFill="1"/>
    <xf numFmtId="172" fontId="0" fillId="4" borderId="0" xfId="0" applyNumberFormat="1" applyFill="1"/>
    <xf numFmtId="10" fontId="0" fillId="4" borderId="0" xfId="8" applyNumberFormat="1" applyFont="1" applyFill="1"/>
    <xf numFmtId="10" fontId="0" fillId="5" borderId="4" xfId="0" applyNumberFormat="1" applyFill="1" applyBorder="1"/>
    <xf numFmtId="10" fontId="0" fillId="4" borderId="0" xfId="0" applyNumberFormat="1" applyFill="1"/>
    <xf numFmtId="173" fontId="0" fillId="4" borderId="6" xfId="0" applyNumberFormat="1" applyFill="1" applyBorder="1"/>
    <xf numFmtId="173" fontId="0" fillId="5" borderId="4" xfId="0" applyNumberFormat="1" applyFill="1" applyBorder="1"/>
    <xf numFmtId="173" fontId="0" fillId="4" borderId="0" xfId="0" applyNumberFormat="1" applyFill="1"/>
    <xf numFmtId="166" fontId="0" fillId="8" borderId="0" xfId="0" applyNumberFormat="1" applyFill="1"/>
    <xf numFmtId="0" fontId="22" fillId="0" borderId="0" xfId="9" applyFont="1"/>
    <xf numFmtId="0" fontId="23" fillId="0" borderId="0" xfId="9" applyFont="1"/>
    <xf numFmtId="174" fontId="24" fillId="0" borderId="0" xfId="9" applyNumberFormat="1" applyFont="1" applyAlignment="1">
      <alignment horizontal="right"/>
    </xf>
    <xf numFmtId="172" fontId="23" fillId="0" borderId="0" xfId="9" applyNumberFormat="1" applyFont="1"/>
    <xf numFmtId="174" fontId="23" fillId="0" borderId="0" xfId="9" applyNumberFormat="1" applyFont="1"/>
    <xf numFmtId="174" fontId="24" fillId="0" borderId="0" xfId="9" applyNumberFormat="1" applyFont="1"/>
    <xf numFmtId="172" fontId="6" fillId="0" borderId="0" xfId="0" applyNumberFormat="1" applyFont="1"/>
    <xf numFmtId="2" fontId="0" fillId="4" borderId="1" xfId="0" applyNumberFormat="1" applyFill="1" applyBorder="1"/>
    <xf numFmtId="41" fontId="9" fillId="9" borderId="0" xfId="2" applyFont="1" applyFill="1"/>
    <xf numFmtId="9" fontId="11" fillId="9" borderId="0" xfId="2" applyNumberFormat="1" applyFont="1" applyFill="1"/>
    <xf numFmtId="9" fontId="0" fillId="9" borderId="0" xfId="8" applyFont="1" applyFill="1"/>
    <xf numFmtId="41" fontId="11" fillId="9" borderId="0" xfId="2" applyFont="1" applyFill="1"/>
    <xf numFmtId="2" fontId="11" fillId="0" borderId="0" xfId="0" applyNumberFormat="1" applyFont="1"/>
    <xf numFmtId="165" fontId="0" fillId="0" borderId="0" xfId="1" applyFont="1"/>
    <xf numFmtId="166" fontId="9" fillId="0" borderId="0" xfId="1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vertical="center" textRotation="90"/>
    </xf>
    <xf numFmtId="166" fontId="6" fillId="0" borderId="0" xfId="0" applyNumberFormat="1" applyFont="1"/>
    <xf numFmtId="10" fontId="0" fillId="0" borderId="0" xfId="8" applyNumberFormat="1" applyFont="1"/>
    <xf numFmtId="170" fontId="9" fillId="5" borderId="0" xfId="0" applyNumberFormat="1" applyFont="1" applyFill="1"/>
    <xf numFmtId="166" fontId="11" fillId="0" borderId="0" xfId="1" applyNumberFormat="1" applyFont="1" applyFill="1"/>
    <xf numFmtId="166" fontId="0" fillId="0" borderId="0" xfId="1" applyNumberFormat="1" applyFont="1" applyFill="1"/>
    <xf numFmtId="166" fontId="11" fillId="4" borderId="0" xfId="0" applyNumberFormat="1" applyFont="1" applyFill="1"/>
    <xf numFmtId="0" fontId="8" fillId="0" borderId="0" xfId="11" applyFont="1" applyAlignment="1">
      <alignment horizontal="left"/>
    </xf>
    <xf numFmtId="169" fontId="8" fillId="0" borderId="0" xfId="11" applyNumberFormat="1" applyFont="1" applyAlignment="1">
      <alignment horizontal="center"/>
    </xf>
    <xf numFmtId="0" fontId="5" fillId="0" borderId="0" xfId="11" applyFont="1" applyAlignment="1">
      <alignment horizontal="left"/>
    </xf>
    <xf numFmtId="9" fontId="11" fillId="0" borderId="0" xfId="4" applyNumberFormat="1" applyFont="1"/>
    <xf numFmtId="164" fontId="11" fillId="0" borderId="0" xfId="13" applyFont="1"/>
    <xf numFmtId="9" fontId="11" fillId="0" borderId="0" xfId="11" applyNumberFormat="1" applyFont="1"/>
    <xf numFmtId="0" fontId="5" fillId="0" borderId="0" xfId="11" applyFont="1"/>
    <xf numFmtId="0" fontId="3" fillId="0" borderId="0" xfId="11"/>
    <xf numFmtId="9" fontId="11" fillId="0" borderId="0" xfId="12" applyFont="1" applyFill="1"/>
    <xf numFmtId="164" fontId="11" fillId="0" borderId="0" xfId="13" applyFont="1" applyFill="1"/>
    <xf numFmtId="170" fontId="0" fillId="0" borderId="0" xfId="12" applyNumberFormat="1" applyFont="1"/>
    <xf numFmtId="0" fontId="18" fillId="0" borderId="0" xfId="11" applyFont="1" applyAlignment="1">
      <alignment horizontal="left"/>
    </xf>
    <xf numFmtId="0" fontId="5" fillId="0" borderId="0" xfId="11" applyFont="1" applyAlignment="1">
      <alignment horizontal="center"/>
    </xf>
    <xf numFmtId="10" fontId="5" fillId="0" borderId="0" xfId="11" applyNumberFormat="1" applyFont="1"/>
    <xf numFmtId="9" fontId="5" fillId="0" borderId="0" xfId="11" applyNumberFormat="1" applyFont="1"/>
    <xf numFmtId="0" fontId="5" fillId="0" borderId="7" xfId="11" applyFont="1" applyBorder="1" applyAlignment="1">
      <alignment horizontal="center"/>
    </xf>
    <xf numFmtId="0" fontId="0" fillId="10" borderId="0" xfId="0" applyFill="1"/>
    <xf numFmtId="9" fontId="26" fillId="0" borderId="0" xfId="0" applyNumberFormat="1" applyFont="1"/>
    <xf numFmtId="41" fontId="26" fillId="0" borderId="0" xfId="2" applyFont="1"/>
    <xf numFmtId="170" fontId="9" fillId="0" borderId="0" xfId="0" applyNumberFormat="1" applyFont="1"/>
    <xf numFmtId="0" fontId="9" fillId="0" borderId="0" xfId="0" applyFont="1"/>
    <xf numFmtId="9" fontId="9" fillId="0" borderId="0" xfId="8" applyFont="1"/>
    <xf numFmtId="9" fontId="9" fillId="9" borderId="0" xfId="8" applyFont="1" applyFill="1"/>
    <xf numFmtId="170" fontId="0" fillId="0" borderId="0" xfId="8" applyNumberFormat="1" applyFont="1"/>
    <xf numFmtId="170" fontId="9" fillId="0" borderId="0" xfId="8" applyNumberFormat="1" applyFont="1"/>
    <xf numFmtId="170" fontId="9" fillId="9" borderId="0" xfId="8" applyNumberFormat="1" applyFont="1" applyFill="1"/>
    <xf numFmtId="10" fontId="0" fillId="0" borderId="0" xfId="0" applyNumberFormat="1"/>
    <xf numFmtId="9" fontId="0" fillId="12" borderId="0" xfId="0" applyNumberFormat="1" applyFill="1"/>
    <xf numFmtId="10" fontId="0" fillId="12" borderId="0" xfId="8" applyNumberFormat="1" applyFont="1" applyFill="1"/>
    <xf numFmtId="175" fontId="0" fillId="0" borderId="2" xfId="0" applyNumberFormat="1" applyBorder="1"/>
    <xf numFmtId="0" fontId="0" fillId="12" borderId="0" xfId="0" applyFill="1"/>
    <xf numFmtId="175" fontId="0" fillId="0" borderId="0" xfId="21" applyNumberFormat="1" applyFont="1"/>
    <xf numFmtId="0" fontId="0" fillId="0" borderId="0" xfId="0" applyAlignment="1">
      <alignment horizontal="center" wrapText="1"/>
    </xf>
    <xf numFmtId="49" fontId="0" fillId="0" borderId="0" xfId="0" applyNumberFormat="1"/>
    <xf numFmtId="170" fontId="11" fillId="9" borderId="0" xfId="2" applyNumberFormat="1" applyFont="1" applyFill="1"/>
    <xf numFmtId="9" fontId="9" fillId="0" borderId="0" xfId="8" applyFont="1" applyFill="1"/>
    <xf numFmtId="170" fontId="9" fillId="0" borderId="0" xfId="8" applyNumberFormat="1" applyFont="1" applyFill="1"/>
    <xf numFmtId="41" fontId="9" fillId="0" borderId="0" xfId="2" applyFont="1" applyFill="1"/>
    <xf numFmtId="9" fontId="0" fillId="0" borderId="0" xfId="8" applyFont="1" applyFill="1"/>
    <xf numFmtId="41" fontId="11" fillId="0" borderId="0" xfId="2" applyFont="1" applyFill="1"/>
    <xf numFmtId="166" fontId="0" fillId="11" borderId="0" xfId="1" applyNumberFormat="1" applyFont="1" applyFill="1"/>
    <xf numFmtId="166" fontId="11" fillId="11" borderId="0" xfId="1" applyNumberFormat="1" applyFont="1" applyFill="1"/>
    <xf numFmtId="165" fontId="15" fillId="0" borderId="0" xfId="1" applyFont="1"/>
    <xf numFmtId="176" fontId="0" fillId="0" borderId="0" xfId="0" applyNumberFormat="1"/>
    <xf numFmtId="177" fontId="0" fillId="0" borderId="0" xfId="1" applyNumberFormat="1" applyFont="1"/>
    <xf numFmtId="176" fontId="20" fillId="0" borderId="0" xfId="1" applyNumberFormat="1" applyFont="1" applyFill="1"/>
    <xf numFmtId="166" fontId="20" fillId="0" borderId="0" xfId="0" applyNumberFormat="1" applyFont="1"/>
    <xf numFmtId="166" fontId="5" fillId="0" borderId="0" xfId="1" applyNumberFormat="1" applyFill="1"/>
    <xf numFmtId="1" fontId="0" fillId="11" borderId="0" xfId="1" applyNumberFormat="1" applyFont="1" applyFill="1"/>
    <xf numFmtId="0" fontId="0" fillId="11" borderId="0" xfId="0" applyFill="1"/>
    <xf numFmtId="164" fontId="11" fillId="0" borderId="0" xfId="12" applyNumberFormat="1" applyFont="1" applyFill="1"/>
    <xf numFmtId="41" fontId="27" fillId="0" borderId="0" xfId="2" applyFont="1" applyFill="1"/>
    <xf numFmtId="164" fontId="11" fillId="13" borderId="0" xfId="13" applyFont="1" applyFill="1"/>
    <xf numFmtId="0" fontId="6" fillId="0" borderId="0" xfId="0" applyFont="1" applyAlignment="1">
      <alignment horizontal="right" vertical="center" textRotation="90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2" fillId="0" borderId="0" xfId="11" applyFont="1" applyAlignment="1">
      <alignment horizontal="center"/>
    </xf>
    <xf numFmtId="0" fontId="12" fillId="0" borderId="0" xfId="11" applyFont="1" applyAlignment="1">
      <alignment horizontal="center" wrapText="1"/>
    </xf>
    <xf numFmtId="0" fontId="0" fillId="0" borderId="0" xfId="0" applyAlignment="1">
      <alignment horizontal="center" wrapText="1"/>
    </xf>
    <xf numFmtId="166" fontId="11" fillId="11" borderId="0" xfId="0" applyNumberFormat="1" applyFont="1" applyFill="1"/>
    <xf numFmtId="0" fontId="0" fillId="0" borderId="0" xfId="0" applyFill="1"/>
  </cellXfs>
  <cellStyles count="22">
    <cellStyle name="Comma" xfId="1" builtinId="3"/>
    <cellStyle name="Comma [0]" xfId="2" builtinId="6"/>
    <cellStyle name="Comma [0] 2" xfId="13" xr:uid="{CC363B22-EE3C-4062-AB65-F428CFAE3412}"/>
    <cellStyle name="Comma [0] 2 2" xfId="18" xr:uid="{CDABCF41-4F22-404C-8877-13FF3B5966BC}"/>
    <cellStyle name="Comma 2" xfId="10" xr:uid="{B9EC1A25-925A-45A7-83CB-4F3E214EC30D}"/>
    <cellStyle name="Currency" xfId="21" builtinId="4"/>
    <cellStyle name="Millares [0] 2" xfId="5" xr:uid="{00000000-0005-0000-0000-000002000000}"/>
    <cellStyle name="Millares 2" xfId="7" xr:uid="{00000000-0005-0000-0000-000003000000}"/>
    <cellStyle name="Moneda 2" xfId="3" xr:uid="{00000000-0005-0000-0000-000004000000}"/>
    <cellStyle name="Normal" xfId="0" builtinId="0"/>
    <cellStyle name="Normal 2" xfId="4" xr:uid="{00000000-0005-0000-0000-000006000000}"/>
    <cellStyle name="Normal 2 2" xfId="9" xr:uid="{765D345C-C4A1-4463-AE37-CD6EFFFD4EDB}"/>
    <cellStyle name="Normal 2 3" xfId="14" xr:uid="{FFF7DC30-A789-4C67-A017-C468729BB8E4}"/>
    <cellStyle name="Normal 2 4" xfId="15" xr:uid="{8706E6BA-FA08-4F9E-A07A-0DA9FC2B2F93}"/>
    <cellStyle name="Normal 2 5" xfId="20" xr:uid="{F1D0551D-77AF-47EA-AE9B-15256B1A4D3C}"/>
    <cellStyle name="Normal 3" xfId="11" xr:uid="{0BB041AC-9B66-477F-90CF-F89EDF071123}"/>
    <cellStyle name="Normal 3 2" xfId="16" xr:uid="{DF9DF46E-1892-461D-ABDA-9A8783BB7A54}"/>
    <cellStyle name="Percent" xfId="8" builtinId="5"/>
    <cellStyle name="Percent 2" xfId="12" xr:uid="{07E117DB-9DF7-4D82-B74D-B21CABEC3750}"/>
    <cellStyle name="Percent 2 2" xfId="17" xr:uid="{0D55B727-9DE5-4A8A-A200-378D49B0DCA1}"/>
    <cellStyle name="Porcentaje 2" xfId="6" xr:uid="{00000000-0005-0000-0000-000007000000}"/>
    <cellStyle name="Porcentaje 3" xfId="19" xr:uid="{1423DB5E-7E85-4C3F-A347-63F1496D9BD9}"/>
  </cellStyles>
  <dxfs count="0"/>
  <tableStyles count="0" defaultTableStyle="TableStyleMedium2" defaultPivotStyle="PivotStyleLight16"/>
  <colors>
    <mruColors>
      <color rgb="FF0000FF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Valor anual de la empresa </a:t>
            </a:r>
            <a:r>
              <a:rPr lang="en-US" sz="1600" b="0"/>
              <a:t>(Final del período)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775835774346851E-2"/>
          <c:y val="0.17372915308964926"/>
          <c:w val="0.95644832845130634"/>
          <c:h val="0.734308776336366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'MODELO VALORACIÓN SIMPLIFICADO'!$B$210:$G$210</c:f>
              <c:numCache>
                <c:formatCode>_(* #,##0_);_(* \(#,##0\);_(* "-"??_);_(@_)</c:formatCode>
                <c:ptCount val="6"/>
                <c:pt idx="0">
                  <c:v>39338.403055546412</c:v>
                </c:pt>
                <c:pt idx="1">
                  <c:v>46478.323210128096</c:v>
                </c:pt>
                <c:pt idx="2">
                  <c:v>44591.272112388797</c:v>
                </c:pt>
                <c:pt idx="3">
                  <c:v>44335.363881967314</c:v>
                </c:pt>
                <c:pt idx="4">
                  <c:v>49790.810955314701</c:v>
                </c:pt>
                <c:pt idx="5">
                  <c:v>49940.328217864524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'MODELO VALORACIÓN SIMPLIFICADO'!$B$177:$G$177</c15:sqref>
                        </c15:formulaRef>
                      </c:ext>
                    </c:extLst>
                    <c:numCache>
                      <c:formatCode>0\P</c:formatCode>
                      <c:ptCount val="6"/>
                      <c:pt idx="0" formatCode="General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0D-4EC8-9C0A-5A6E470B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35"/>
        <c:axId val="1990038207"/>
        <c:axId val="666639"/>
      </c:barChart>
      <c:catAx>
        <c:axId val="19900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9"/>
        <c:crosses val="autoZero"/>
        <c:auto val="1"/>
        <c:lblAlgn val="ctr"/>
        <c:lblOffset val="100"/>
        <c:noMultiLvlLbl val="0"/>
      </c:catAx>
      <c:valAx>
        <c:axId val="6666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9900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Resumen de la Valoración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'MODELO VALORACIÓN SIMPLIFICADO'!$C$261</c:f>
              <c:strCache>
                <c:ptCount val="1"/>
                <c:pt idx="0">
                  <c:v>lo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SIMPLIFICADO'!$A$262:$B$265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SIMPLIFICADO'!$C$262:$C$265</c:f>
              <c:numCache>
                <c:formatCode>_(* #,##0_);_(* \(#,##0\);_(* "-"??_);_(@_)</c:formatCode>
                <c:ptCount val="4"/>
                <c:pt idx="0">
                  <c:v>77974.534979847769</c:v>
                </c:pt>
                <c:pt idx="1">
                  <c:v>126314.894312082</c:v>
                </c:pt>
                <c:pt idx="2">
                  <c:v>37357.693070496745</c:v>
                </c:pt>
                <c:pt idx="3">
                  <c:v>39352.996131394975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8-4AA6-856D-9A2C034D5F15}"/>
            </c:ext>
          </c:extLst>
        </c:ser>
        <c:ser>
          <c:idx val="1"/>
          <c:order val="1"/>
          <c:tx>
            <c:strRef>
              <c:f>'MODELO VALORACIÓN SIMPLIFICADO'!$D$261</c:f>
              <c:strCache>
                <c:ptCount val="1"/>
                <c:pt idx="0">
                  <c:v>lo 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SIMPLIFICADO'!$A$262:$B$265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SIMPLIFICADO'!$D$262:$D$265</c:f>
              <c:numCache>
                <c:formatCode>_(* #,##0_);_(* \(#,##0\);_(* "-"??_);_(@_)</c:formatCode>
                <c:ptCount val="4"/>
                <c:pt idx="0">
                  <c:v>77974.534979847769</c:v>
                </c:pt>
                <c:pt idx="1">
                  <c:v>126314.894312082</c:v>
                </c:pt>
                <c:pt idx="2">
                  <c:v>37357.693070496745</c:v>
                </c:pt>
                <c:pt idx="3">
                  <c:v>39352.996131394975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8-4AA6-856D-9A2C034D5F15}"/>
            </c:ext>
          </c:extLst>
        </c:ser>
        <c:ser>
          <c:idx val="2"/>
          <c:order val="2"/>
          <c:tx>
            <c:strRef>
              <c:f>'MODELO VALORACIÓN SIMPLIFICADO'!$E$261</c:f>
              <c:strCache>
                <c:ptCount val="1"/>
                <c:pt idx="0">
                  <c:v>hi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SIMPLIFICADO'!$A$262:$B$265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SIMPLIFICADO'!$E$262:$E$265</c:f>
              <c:numCache>
                <c:formatCode>_(* #,##0_);_(* \(#,##0\);_(* "-"??_);_(@_)</c:formatCode>
                <c:ptCount val="4"/>
                <c:pt idx="0">
                  <c:v>228643.65074556391</c:v>
                </c:pt>
                <c:pt idx="1">
                  <c:v>213463.98928527749</c:v>
                </c:pt>
                <c:pt idx="2">
                  <c:v>47830.635429541078</c:v>
                </c:pt>
                <c:pt idx="3">
                  <c:v>39352.996131394975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8-4AA6-856D-9A2C034D5F15}"/>
            </c:ext>
          </c:extLst>
        </c:ser>
        <c:ser>
          <c:idx val="3"/>
          <c:order val="3"/>
          <c:tx>
            <c:strRef>
              <c:f>'MODELO VALORACIÓN SIMPLIFICADO'!$F$261</c:f>
              <c:strCache>
                <c:ptCount val="1"/>
                <c:pt idx="0">
                  <c:v>hi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SIMPLIFICADO'!$A$262:$B$265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SIMPLIFICADO'!$F$262:$F$265</c:f>
              <c:numCache>
                <c:formatCode>_(* #,##0_);_(* \(#,##0\);_(* "-"??_);_(@_)</c:formatCode>
                <c:ptCount val="4"/>
                <c:pt idx="0">
                  <c:v>228643.65074556391</c:v>
                </c:pt>
                <c:pt idx="1">
                  <c:v>213463.98928527749</c:v>
                </c:pt>
                <c:pt idx="2">
                  <c:v>47830.635429541078</c:v>
                </c:pt>
                <c:pt idx="3">
                  <c:v>39352.996131394975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8-4AA6-856D-9A2C034D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00FF"/>
              </a:soli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downBars>
        </c:upDownBars>
        <c:axId val="-1388717600"/>
        <c:axId val="-1570092240"/>
      </c:stockChart>
      <c:catAx>
        <c:axId val="-13887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092240"/>
        <c:crosses val="autoZero"/>
        <c:auto val="1"/>
        <c:lblAlgn val="ctr"/>
        <c:lblOffset val="100"/>
        <c:noMultiLvlLbl val="0"/>
      </c:catAx>
      <c:valAx>
        <c:axId val="-157009224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717600"/>
        <c:crosses val="autoZero"/>
        <c:crossBetween val="between"/>
        <c:majorUnit val="250000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K$45" fmlaRange="$K$40:$K$42" noThreeD="1" sel="1" val="0"/>
</file>

<file path=xl/ctrlProps/ctrlProp2.xml><?xml version="1.0" encoding="utf-8"?>
<formControlPr xmlns="http://schemas.microsoft.com/office/spreadsheetml/2009/9/main" objectType="Drop" dropStyle="combo" dx="26" fmlaLink="$K$45" fmlaRange="$K$40:$K$42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211</xdr:row>
      <xdr:rowOff>42022</xdr:rowOff>
    </xdr:from>
    <xdr:to>
      <xdr:col>6</xdr:col>
      <xdr:colOff>1148603</xdr:colOff>
      <xdr:row>227</xdr:row>
      <xdr:rowOff>186576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13805</xdr:colOff>
      <xdr:row>266</xdr:row>
      <xdr:rowOff>13544</xdr:rowOff>
    </xdr:from>
    <xdr:to>
      <xdr:col>7</xdr:col>
      <xdr:colOff>14007</xdr:colOff>
      <xdr:row>285</xdr:row>
      <xdr:rowOff>181690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970718</xdr:colOff>
      <xdr:row>276</xdr:row>
      <xdr:rowOff>190691</xdr:rowOff>
    </xdr:from>
    <xdr:to>
      <xdr:col>7</xdr:col>
      <xdr:colOff>29049</xdr:colOff>
      <xdr:row>276</xdr:row>
      <xdr:rowOff>190691</xdr:rowOff>
    </xdr:to>
    <xdr:cxnSp macro="">
      <xdr:nvCxnSpPr>
        <xdr:cNvPr id="4" name="Straight Connector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 bwMode="auto">
        <a:xfrm>
          <a:off x="5565130" y="54987456"/>
          <a:ext cx="614605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noFill/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19050</xdr:rowOff>
        </xdr:from>
        <xdr:to>
          <xdr:col>12</xdr:col>
          <xdr:colOff>0</xdr:colOff>
          <xdr:row>44</xdr:row>
          <xdr:rowOff>180975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189</xdr:row>
          <xdr:rowOff>38100</xdr:rowOff>
        </xdr:from>
        <xdr:to>
          <xdr:col>4</xdr:col>
          <xdr:colOff>152400</xdr:colOff>
          <xdr:row>191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n&#243;s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ASTER%20IN%20FINANCE/Valoraci&#243;n%20de%20Empresas/E.F%20ALU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VALORACIÓN SIMPLIFICADO"/>
      <sheetName val="Hoja2"/>
      <sheetName val="Hoja1"/>
    </sheetNames>
    <sheetDataSet>
      <sheetData sheetId="0">
        <row r="25">
          <cell r="C25">
            <v>1270518.998016</v>
          </cell>
          <cell r="D25">
            <v>1284494.7069941759</v>
          </cell>
          <cell r="E25">
            <v>1323029.5482040013</v>
          </cell>
          <cell r="F25">
            <v>1362720.4346501213</v>
          </cell>
          <cell r="G25">
            <v>1403602.0476896248</v>
          </cell>
        </row>
        <row r="26">
          <cell r="C26">
            <v>1252382.72</v>
          </cell>
          <cell r="D26">
            <v>1266158.9299199998</v>
          </cell>
          <cell r="E26">
            <v>1304143.6978175999</v>
          </cell>
          <cell r="F26">
            <v>1343268.0087521279</v>
          </cell>
          <cell r="G26">
            <v>1383566.0490146917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2021-2020"/>
      <sheetName val="ER 2021-2020 "/>
      <sheetName val="EVA 2021-2022"/>
      <sheetName val="CF 2021-2022"/>
      <sheetName val="ESF 2022-2021"/>
      <sheetName val="ER 2022-2021 "/>
    </sheetNames>
    <sheetDataSet>
      <sheetData sheetId="0"/>
      <sheetData sheetId="1"/>
      <sheetData sheetId="2"/>
      <sheetData sheetId="3"/>
      <sheetData sheetId="4">
        <row r="11">
          <cell r="D11">
            <v>2376856670.0599999</v>
          </cell>
        </row>
        <row r="12">
          <cell r="D12">
            <v>2594834404.1300001</v>
          </cell>
        </row>
        <row r="14">
          <cell r="D14">
            <v>7901915097.3000002</v>
          </cell>
        </row>
        <row r="17">
          <cell r="D17">
            <v>10866193153.99</v>
          </cell>
        </row>
        <row r="18">
          <cell r="D18">
            <v>1569994000</v>
          </cell>
        </row>
        <row r="22">
          <cell r="D22">
            <v>9741985241.0799999</v>
          </cell>
        </row>
        <row r="23">
          <cell r="D23">
            <v>1223030000</v>
          </cell>
        </row>
        <row r="25">
          <cell r="D25">
            <v>1240741209.072855</v>
          </cell>
        </row>
        <row r="31">
          <cell r="D31">
            <v>2157079000</v>
          </cell>
        </row>
        <row r="32">
          <cell r="D32">
            <v>518309522.00999999</v>
          </cell>
        </row>
        <row r="33">
          <cell r="D33">
            <v>4480219088.4399996</v>
          </cell>
        </row>
        <row r="34">
          <cell r="D34">
            <v>275806899</v>
          </cell>
        </row>
        <row r="35">
          <cell r="D35">
            <v>5079950517.1600008</v>
          </cell>
        </row>
        <row r="39">
          <cell r="D39">
            <v>236690165</v>
          </cell>
        </row>
        <row r="40">
          <cell r="D40">
            <v>217884946.44</v>
          </cell>
        </row>
        <row r="41">
          <cell r="D41">
            <v>1790011691.4200001</v>
          </cell>
        </row>
        <row r="42">
          <cell r="D42">
            <v>35114588</v>
          </cell>
        </row>
        <row r="53">
          <cell r="D53">
            <v>22724483358.790001</v>
          </cell>
        </row>
      </sheetData>
      <sheetData sheetId="5">
        <row r="10">
          <cell r="D10">
            <v>90224924508.630005</v>
          </cell>
        </row>
        <row r="11">
          <cell r="D11">
            <v>70068461015.720001</v>
          </cell>
        </row>
        <row r="14">
          <cell r="D14">
            <v>411173278.94</v>
          </cell>
        </row>
        <row r="15">
          <cell r="D15">
            <v>2930296270.71</v>
          </cell>
        </row>
        <row r="16">
          <cell r="D16">
            <v>1976551926.4200001</v>
          </cell>
        </row>
        <row r="17">
          <cell r="D17">
            <v>701702582.53999996</v>
          </cell>
        </row>
        <row r="18">
          <cell r="D18">
            <v>629843016.67999995</v>
          </cell>
        </row>
        <row r="22">
          <cell r="D22">
            <v>5079950517.1600008</v>
          </cell>
        </row>
        <row r="27">
          <cell r="D27">
            <v>1481685529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016-86D8-43FC-BDB7-33C12B6ECB92}">
  <sheetPr>
    <tabColor rgb="FF00B050"/>
  </sheetPr>
  <dimension ref="A1:S339"/>
  <sheetViews>
    <sheetView tabSelected="1" topLeftCell="A230" zoomScale="60" zoomScaleNormal="60" workbookViewId="0">
      <pane xSplit="1" topLeftCell="B1" activePane="topRight" state="frozen"/>
      <selection pane="topRight" activeCell="F244" sqref="F244"/>
    </sheetView>
  </sheetViews>
  <sheetFormatPr defaultColWidth="11.19921875" defaultRowHeight="15" outlineLevelRow="2" x14ac:dyDescent="0.2"/>
  <cols>
    <col min="1" max="1" width="48.296875" customWidth="1"/>
    <col min="2" max="2" width="12.19921875" customWidth="1"/>
    <col min="3" max="8" width="15.69921875" customWidth="1"/>
    <col min="10" max="10" width="32.5" customWidth="1"/>
    <col min="14" max="14" width="8.796875" bestFit="1" customWidth="1"/>
  </cols>
  <sheetData>
    <row r="1" spans="1:16" x14ac:dyDescent="0.2">
      <c r="A1" s="37" t="s">
        <v>82</v>
      </c>
      <c r="B1" s="37"/>
      <c r="C1" s="37"/>
      <c r="D1" s="37"/>
      <c r="E1" s="37"/>
      <c r="F1" s="37"/>
      <c r="G1" s="37"/>
      <c r="H1" s="37"/>
    </row>
    <row r="2" spans="1:16" outlineLevel="1" x14ac:dyDescent="0.2"/>
    <row r="3" spans="1:16" outlineLevel="1" x14ac:dyDescent="0.2">
      <c r="A3" s="3" t="s">
        <v>242</v>
      </c>
      <c r="B3" s="28">
        <v>2022</v>
      </c>
      <c r="C3" s="38">
        <v>2023</v>
      </c>
      <c r="D3" s="39">
        <v>2024</v>
      </c>
      <c r="E3" s="39">
        <v>2025</v>
      </c>
      <c r="F3" s="39">
        <v>2026</v>
      </c>
      <c r="G3" s="39">
        <v>2027</v>
      </c>
      <c r="J3" s="174" t="s">
        <v>240</v>
      </c>
      <c r="K3" s="174"/>
      <c r="L3" s="174"/>
      <c r="M3" s="174"/>
      <c r="N3" s="174"/>
      <c r="O3" s="174"/>
    </row>
    <row r="4" spans="1:16" outlineLevel="1" x14ac:dyDescent="0.2">
      <c r="A4" s="2"/>
      <c r="B4" s="2"/>
      <c r="J4" s="118" t="s">
        <v>185</v>
      </c>
      <c r="K4" s="119">
        <v>2023</v>
      </c>
      <c r="L4" s="119">
        <v>2024</v>
      </c>
      <c r="M4" s="119">
        <v>2025</v>
      </c>
      <c r="N4" s="119">
        <v>2026</v>
      </c>
      <c r="O4" s="119">
        <v>2027</v>
      </c>
    </row>
    <row r="5" spans="1:16" outlineLevel="1" x14ac:dyDescent="0.2">
      <c r="A5" s="134" t="s">
        <v>18</v>
      </c>
      <c r="B5" s="137">
        <v>0.502</v>
      </c>
      <c r="C5" s="135">
        <f>CHOOSE($K$45,K5,K17,K29)</f>
        <v>-0.15</v>
      </c>
      <c r="D5" s="135">
        <f t="shared" ref="D5:E5" si="0">CHOOSE($K$45,L5,L17,L29)</f>
        <v>-0.05</v>
      </c>
      <c r="E5" s="135">
        <f t="shared" si="0"/>
        <v>0.01</v>
      </c>
      <c r="F5" s="135">
        <f>CHOOSE($K$45,N5,N17,N29)</f>
        <v>0.03</v>
      </c>
      <c r="G5" s="135">
        <f>CHOOSE($K$45,O5,O17,O29)</f>
        <v>0.04</v>
      </c>
      <c r="I5" s="77"/>
      <c r="J5" s="120" t="s">
        <v>18</v>
      </c>
      <c r="K5" s="121">
        <v>-0.15</v>
      </c>
      <c r="L5" s="121">
        <v>-0.05</v>
      </c>
      <c r="M5" s="121">
        <v>0.01</v>
      </c>
      <c r="N5" s="121">
        <v>0.03</v>
      </c>
      <c r="O5" s="121">
        <v>0.04</v>
      </c>
    </row>
    <row r="6" spans="1:16" outlineLevel="1" x14ac:dyDescent="0.2">
      <c r="A6" t="s">
        <v>19</v>
      </c>
      <c r="B6" s="138"/>
      <c r="C6" s="18">
        <v>0.03</v>
      </c>
      <c r="D6" s="18">
        <v>0.03</v>
      </c>
      <c r="E6" s="18">
        <v>0.03</v>
      </c>
      <c r="F6" s="18">
        <v>0.03</v>
      </c>
      <c r="G6" s="18">
        <v>0.03</v>
      </c>
      <c r="H6" s="18"/>
      <c r="I6" s="77"/>
      <c r="J6" s="120" t="s">
        <v>1</v>
      </c>
      <c r="K6" s="121">
        <v>0.78</v>
      </c>
      <c r="L6" s="121">
        <v>0.78</v>
      </c>
      <c r="M6" s="121">
        <v>0.78</v>
      </c>
      <c r="N6" s="121">
        <v>0.78</v>
      </c>
      <c r="O6" s="121">
        <v>0.78</v>
      </c>
    </row>
    <row r="7" spans="1:16" outlineLevel="1" x14ac:dyDescent="0.2">
      <c r="A7" s="134" t="s">
        <v>1</v>
      </c>
      <c r="B7" s="153">
        <f>+B49/B48</f>
        <v>0.77659761310210862</v>
      </c>
      <c r="C7" s="135">
        <f>CHOOSE($K$45,K6,K18,K30)</f>
        <v>0.78</v>
      </c>
      <c r="D7" s="135">
        <f>CHOOSE($K$45,L6,L18,L30)</f>
        <v>0.78</v>
      </c>
      <c r="E7" s="135">
        <f>CHOOSE($K$45,M6,M18,M30)</f>
        <v>0.78</v>
      </c>
      <c r="F7" s="135">
        <f>CHOOSE($K$45,N6,N18,N30)</f>
        <v>0.78</v>
      </c>
      <c r="G7" s="135">
        <f>CHOOSE($K$45,O6,O18,O30)</f>
        <v>0.78</v>
      </c>
      <c r="I7" s="108"/>
      <c r="J7" s="120" t="s">
        <v>3</v>
      </c>
      <c r="K7" s="122">
        <v>5694.7806951659049</v>
      </c>
      <c r="L7" s="122">
        <v>5410.0416604076072</v>
      </c>
      <c r="M7" s="122">
        <v>5464.1420770116838</v>
      </c>
      <c r="N7" s="122">
        <v>5628.0663393220339</v>
      </c>
      <c r="O7" s="122">
        <v>5853.1889928949158</v>
      </c>
      <c r="P7" s="122"/>
    </row>
    <row r="8" spans="1:16" outlineLevel="1" x14ac:dyDescent="0.2">
      <c r="A8" t="s">
        <v>20</v>
      </c>
      <c r="B8" s="142">
        <v>2.1906939098973066E-2</v>
      </c>
      <c r="C8" s="64">
        <v>2.1899999999999999E-2</v>
      </c>
      <c r="D8" s="64">
        <v>2.1899999999999999E-2</v>
      </c>
      <c r="E8" s="64">
        <v>2.1899999999999999E-2</v>
      </c>
      <c r="F8" s="64">
        <v>2.1899999999999999E-2</v>
      </c>
      <c r="G8" s="64">
        <v>2.1899999999999999E-2</v>
      </c>
      <c r="I8" s="77"/>
      <c r="J8" s="120" t="s">
        <v>25</v>
      </c>
      <c r="K8" s="123">
        <v>0.12</v>
      </c>
      <c r="L8" s="123">
        <v>0.12</v>
      </c>
      <c r="M8" s="123">
        <v>0.12</v>
      </c>
      <c r="N8" s="123">
        <v>0.12</v>
      </c>
      <c r="O8" s="123">
        <v>0.12</v>
      </c>
    </row>
    <row r="9" spans="1:16" outlineLevel="1" x14ac:dyDescent="0.2">
      <c r="A9" t="s">
        <v>21</v>
      </c>
      <c r="B9" s="154">
        <v>3.2477680493151508E-2</v>
      </c>
      <c r="C9" s="64">
        <v>3.2500000000000001E-2</v>
      </c>
      <c r="D9" s="64">
        <v>3.2500000000000001E-2</v>
      </c>
      <c r="E9" s="64">
        <v>3.2500000000000001E-2</v>
      </c>
      <c r="F9" s="64">
        <v>3.2500000000000001E-2</v>
      </c>
      <c r="G9" s="64">
        <v>3.2500000000000001E-2</v>
      </c>
      <c r="I9" s="77"/>
      <c r="J9" s="120" t="s">
        <v>26</v>
      </c>
      <c r="K9" s="123">
        <v>8.7999999999999995E-2</v>
      </c>
      <c r="L9" s="123">
        <v>8.7999999999999995E-2</v>
      </c>
      <c r="M9" s="123">
        <v>8.7999999999999995E-2</v>
      </c>
      <c r="N9" s="123">
        <v>8.7999999999999995E-2</v>
      </c>
      <c r="O9" s="123">
        <v>8.7999999999999995E-2</v>
      </c>
    </row>
    <row r="10" spans="1:16" outlineLevel="1" x14ac:dyDescent="0.2">
      <c r="A10" t="s">
        <v>22</v>
      </c>
      <c r="B10" s="154">
        <v>0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I10" s="77"/>
      <c r="J10" s="120" t="s">
        <v>27</v>
      </c>
      <c r="K10" s="123">
        <v>0.05</v>
      </c>
      <c r="L10" s="123">
        <v>0.05</v>
      </c>
      <c r="M10" s="123">
        <v>0.05</v>
      </c>
      <c r="N10" s="123">
        <v>0.05</v>
      </c>
      <c r="O10" s="123">
        <v>0.05</v>
      </c>
    </row>
    <row r="11" spans="1:16" outlineLevel="1" x14ac:dyDescent="0.2">
      <c r="A11" t="s">
        <v>17</v>
      </c>
      <c r="B11" s="139">
        <v>0.17</v>
      </c>
      <c r="C11" s="18">
        <v>0.14000000000000001</v>
      </c>
      <c r="D11" s="18">
        <v>0.11</v>
      </c>
      <c r="E11" s="18">
        <v>0.09</v>
      </c>
      <c r="F11" s="18">
        <v>0.09</v>
      </c>
      <c r="G11" s="18">
        <v>0.09</v>
      </c>
      <c r="I11" s="108"/>
      <c r="J11" s="120" t="s">
        <v>28</v>
      </c>
      <c r="K11" s="122">
        <v>9975.7928867840001</v>
      </c>
      <c r="L11" s="122">
        <v>11085.526608538599</v>
      </c>
      <c r="M11" s="122">
        <v>16531.250278111671</v>
      </c>
      <c r="N11" s="122">
        <v>16696.562780892789</v>
      </c>
      <c r="O11" s="122">
        <v>18197.459664319573</v>
      </c>
      <c r="P11" s="122"/>
    </row>
    <row r="12" spans="1:16" outlineLevel="1" x14ac:dyDescent="0.2">
      <c r="A12" t="s">
        <v>23</v>
      </c>
      <c r="B12" s="139">
        <v>0.76</v>
      </c>
      <c r="C12" s="18">
        <v>0.76</v>
      </c>
      <c r="D12" s="18">
        <v>0.76</v>
      </c>
      <c r="E12" s="18">
        <v>0.76</v>
      </c>
      <c r="F12" s="18">
        <v>0.76</v>
      </c>
      <c r="G12" s="18">
        <v>0.76</v>
      </c>
      <c r="I12" s="108"/>
      <c r="J12" s="120" t="s">
        <v>29</v>
      </c>
      <c r="K12" s="122">
        <f>+('[1]MODELO VALORACIÓN SIMPLIFICADO'!C25+'[1]MODELO VALORACIÓN SIMPLIFICADO'!C26)/1000</f>
        <v>2522.9017180159999</v>
      </c>
      <c r="L12" s="122">
        <f>+('[1]MODELO VALORACIÓN SIMPLIFICADO'!D25+'[1]MODELO VALORACIÓN SIMPLIFICADO'!D26)/1000</f>
        <v>2550.6536369141759</v>
      </c>
      <c r="M12" s="122">
        <f>+('[1]MODELO VALORACIÓN SIMPLIFICADO'!E25+'[1]MODELO VALORACIÓN SIMPLIFICADO'!E26)/1000</f>
        <v>2627.1732460216012</v>
      </c>
      <c r="N12" s="122">
        <f>+('[1]MODELO VALORACIÓN SIMPLIFICADO'!F25+'[1]MODELO VALORACIÓN SIMPLIFICADO'!F26)/1000</f>
        <v>2705.9884434022492</v>
      </c>
      <c r="O12" s="122">
        <f>+('[1]MODELO VALORACIÓN SIMPLIFICADO'!G25+'[1]MODELO VALORACIÓN SIMPLIFICADO'!G26)/1000</f>
        <v>2787.1680967043162</v>
      </c>
    </row>
    <row r="13" spans="1:16" outlineLevel="1" x14ac:dyDescent="0.2">
      <c r="A13" t="s">
        <v>16</v>
      </c>
      <c r="B13" s="17">
        <f>179884.5254/1000</f>
        <v>179.8845254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I13" s="77"/>
      <c r="J13" s="120" t="s">
        <v>30</v>
      </c>
      <c r="K13" s="123">
        <v>4.4999999999999998E-2</v>
      </c>
      <c r="L13" s="123">
        <v>4.4999999999999998E-2</v>
      </c>
      <c r="M13" s="123">
        <v>4.4999999999999998E-2</v>
      </c>
      <c r="N13" s="123">
        <v>4.4999999999999998E-2</v>
      </c>
      <c r="O13" s="123">
        <v>4.4999999999999998E-2</v>
      </c>
    </row>
    <row r="14" spans="1:16" ht="15.75" outlineLevel="1" x14ac:dyDescent="0.25">
      <c r="A14" t="s">
        <v>2</v>
      </c>
      <c r="B14" s="139">
        <v>0.35</v>
      </c>
      <c r="C14" s="18">
        <v>0.35</v>
      </c>
      <c r="D14" s="18">
        <v>0.35</v>
      </c>
      <c r="E14" s="18">
        <v>0.35</v>
      </c>
      <c r="F14" s="18">
        <v>0.35</v>
      </c>
      <c r="G14" s="18">
        <v>0.35</v>
      </c>
      <c r="J14" s="120"/>
      <c r="K14" s="124"/>
      <c r="L14" s="124"/>
      <c r="M14" s="125"/>
      <c r="N14" s="125"/>
      <c r="O14" s="125"/>
    </row>
    <row r="15" spans="1:16" ht="15" customHeight="1" outlineLevel="1" x14ac:dyDescent="0.2">
      <c r="A15" s="134" t="s">
        <v>3</v>
      </c>
      <c r="B15" s="169">
        <v>7511.6845911379987</v>
      </c>
      <c r="C15" s="155">
        <v>5694.7806951659049</v>
      </c>
      <c r="D15" s="155">
        <v>5410.0416604076072</v>
      </c>
      <c r="E15" s="155">
        <v>5464.1420770116838</v>
      </c>
      <c r="F15" s="155">
        <v>5628.0663393220339</v>
      </c>
      <c r="G15" s="155">
        <v>5853.1889928949158</v>
      </c>
      <c r="J15" s="175" t="s">
        <v>241</v>
      </c>
      <c r="K15" s="175"/>
      <c r="L15" s="175"/>
      <c r="M15" s="175"/>
      <c r="N15" s="175"/>
      <c r="O15" s="175"/>
    </row>
    <row r="16" spans="1:16" outlineLevel="1" x14ac:dyDescent="0.2">
      <c r="A16" t="s">
        <v>154</v>
      </c>
      <c r="B16" s="143">
        <v>4.5999999999999999E-3</v>
      </c>
      <c r="C16" s="152">
        <v>4.5999999999999999E-3</v>
      </c>
      <c r="D16" s="152">
        <v>4.5999999999999999E-3</v>
      </c>
      <c r="E16" s="152">
        <v>4.5999999999999999E-3</v>
      </c>
      <c r="F16" s="152">
        <v>4.5999999999999999E-3</v>
      </c>
      <c r="G16" s="152">
        <v>4.5999999999999999E-3</v>
      </c>
      <c r="J16" s="118" t="s">
        <v>185</v>
      </c>
      <c r="K16" s="119">
        <v>2023</v>
      </c>
      <c r="L16" s="119">
        <v>2024</v>
      </c>
      <c r="M16" s="119">
        <v>2025</v>
      </c>
      <c r="N16" s="119">
        <v>2026</v>
      </c>
      <c r="O16" s="119">
        <v>2027</v>
      </c>
    </row>
    <row r="17" spans="1:15" outlineLevel="1" x14ac:dyDescent="0.2">
      <c r="A17" t="s">
        <v>155</v>
      </c>
      <c r="B17" s="143">
        <v>7.0000000000000001E-3</v>
      </c>
      <c r="C17" s="152">
        <v>7.0000000000000001E-3</v>
      </c>
      <c r="D17" s="152">
        <v>7.0000000000000001E-3</v>
      </c>
      <c r="E17" s="152">
        <v>7.0000000000000001E-3</v>
      </c>
      <c r="F17" s="152">
        <v>7.0000000000000001E-3</v>
      </c>
      <c r="G17" s="152">
        <v>7.0000000000000001E-3</v>
      </c>
      <c r="I17" s="77"/>
      <c r="J17" s="120" t="s">
        <v>18</v>
      </c>
      <c r="K17" s="126">
        <v>-0.15</v>
      </c>
      <c r="L17" s="126">
        <v>-0.05</v>
      </c>
      <c r="M17" s="126">
        <v>0.1</v>
      </c>
      <c r="N17" s="126">
        <v>0.15</v>
      </c>
      <c r="O17" s="126">
        <v>0.05</v>
      </c>
    </row>
    <row r="18" spans="1:15" outlineLevel="1" x14ac:dyDescent="0.2">
      <c r="A18" t="s">
        <v>24</v>
      </c>
      <c r="B18" s="142">
        <v>2.6343681449494078E-2</v>
      </c>
      <c r="C18" s="64">
        <v>2.6343681449494078E-2</v>
      </c>
      <c r="D18" s="64">
        <v>2.6343681449494078E-2</v>
      </c>
      <c r="E18" s="64">
        <v>2.6343681449494078E-2</v>
      </c>
      <c r="F18" s="64">
        <v>2.6343681449494078E-2</v>
      </c>
      <c r="G18" s="64">
        <v>2.6343681449494078E-2</v>
      </c>
      <c r="I18" s="77"/>
      <c r="J18" s="120" t="s">
        <v>1</v>
      </c>
      <c r="K18" s="126">
        <v>0.78</v>
      </c>
      <c r="L18" s="126">
        <v>0.78</v>
      </c>
      <c r="M18" s="126">
        <v>0.75</v>
      </c>
      <c r="N18" s="126">
        <v>0.75</v>
      </c>
      <c r="O18" s="126">
        <v>0.75</v>
      </c>
    </row>
    <row r="19" spans="1:15" outlineLevel="1" x14ac:dyDescent="0.2">
      <c r="A19" s="134" t="s">
        <v>25</v>
      </c>
      <c r="B19" s="139">
        <v>0.12043449427270675</v>
      </c>
      <c r="C19" s="135">
        <f t="shared" ref="C19:G20" si="1">CHOOSE($K$45,K8,K20,K32)</f>
        <v>0.12</v>
      </c>
      <c r="D19" s="135">
        <f t="shared" si="1"/>
        <v>0.12</v>
      </c>
      <c r="E19" s="135">
        <f t="shared" si="1"/>
        <v>0.12</v>
      </c>
      <c r="F19" s="135">
        <f t="shared" si="1"/>
        <v>0.12</v>
      </c>
      <c r="G19" s="135">
        <f t="shared" si="1"/>
        <v>0.12</v>
      </c>
      <c r="I19" s="108"/>
      <c r="J19" s="120" t="s">
        <v>3</v>
      </c>
      <c r="K19" s="170"/>
      <c r="L19" s="170"/>
      <c r="M19" s="170"/>
      <c r="N19" s="170"/>
      <c r="O19" s="170"/>
    </row>
    <row r="20" spans="1:15" outlineLevel="1" x14ac:dyDescent="0.2">
      <c r="A20" s="134" t="s">
        <v>26</v>
      </c>
      <c r="B20" s="139">
        <v>8.7580179649185325E-2</v>
      </c>
      <c r="C20" s="135">
        <f t="shared" si="1"/>
        <v>8.7999999999999995E-2</v>
      </c>
      <c r="D20" s="135">
        <f t="shared" si="1"/>
        <v>8.7999999999999995E-2</v>
      </c>
      <c r="E20" s="135">
        <f t="shared" si="1"/>
        <v>8.7999999999999995E-2</v>
      </c>
      <c r="F20" s="135">
        <f t="shared" si="1"/>
        <v>8.7999999999999995E-2</v>
      </c>
      <c r="G20" s="135">
        <f t="shared" si="1"/>
        <v>8.7999999999999995E-2</v>
      </c>
      <c r="I20" s="77"/>
      <c r="J20" s="120" t="s">
        <v>25</v>
      </c>
      <c r="K20" s="126">
        <v>0.12</v>
      </c>
      <c r="L20" s="126">
        <v>0.12</v>
      </c>
      <c r="M20" s="126">
        <v>0.12</v>
      </c>
      <c r="N20" s="126">
        <v>0.12</v>
      </c>
      <c r="O20" s="126">
        <v>0.12</v>
      </c>
    </row>
    <row r="21" spans="1:15" outlineLevel="1" x14ac:dyDescent="0.2">
      <c r="A21" s="4" t="s">
        <v>156</v>
      </c>
      <c r="B21" s="140"/>
      <c r="C21" s="104"/>
      <c r="D21" s="104"/>
      <c r="E21" s="104"/>
      <c r="F21" s="104"/>
      <c r="G21" s="104"/>
      <c r="I21" s="77"/>
      <c r="J21" s="120" t="s">
        <v>26</v>
      </c>
      <c r="K21" s="126">
        <v>8.7999999999999995E-2</v>
      </c>
      <c r="L21" s="126">
        <v>8.7999999999999995E-2</v>
      </c>
      <c r="M21" s="126">
        <v>8.7999999999999995E-2</v>
      </c>
      <c r="N21" s="126">
        <v>8.7999999999999995E-2</v>
      </c>
      <c r="O21" s="126">
        <v>8.7999999999999995E-2</v>
      </c>
    </row>
    <row r="22" spans="1:15" outlineLevel="1" x14ac:dyDescent="0.2">
      <c r="A22" s="134" t="s">
        <v>27</v>
      </c>
      <c r="B22" s="153">
        <v>4.6160508604599991E-2</v>
      </c>
      <c r="C22" s="135">
        <f>CHOOSE($K$45,K10,K22,K34)</f>
        <v>0.05</v>
      </c>
      <c r="D22" s="135">
        <f>CHOOSE($K$45,L10,L22,L34)</f>
        <v>0.05</v>
      </c>
      <c r="E22" s="135">
        <f>CHOOSE($K$45,M10,M22,M34)</f>
        <v>0.05</v>
      </c>
      <c r="F22" s="135">
        <f>CHOOSE($K$45,N10,N22,N34)</f>
        <v>0.05</v>
      </c>
      <c r="G22" s="135">
        <f>CHOOSE($K$45,O10,O22,O34)</f>
        <v>0.05</v>
      </c>
      <c r="I22" s="77"/>
      <c r="J22" s="120" t="s">
        <v>27</v>
      </c>
      <c r="K22" s="126">
        <v>0.05</v>
      </c>
      <c r="L22" s="126">
        <v>0.05</v>
      </c>
      <c r="M22" s="126">
        <v>0.05</v>
      </c>
      <c r="N22" s="126">
        <v>0.05</v>
      </c>
      <c r="O22" s="126">
        <v>0.05</v>
      </c>
    </row>
    <row r="23" spans="1:15" outlineLevel="1" x14ac:dyDescent="0.2">
      <c r="A23" s="4" t="s">
        <v>157</v>
      </c>
      <c r="B23" s="140"/>
      <c r="C23" s="104"/>
      <c r="D23" s="104"/>
      <c r="E23" s="104"/>
      <c r="F23" s="104"/>
      <c r="G23" s="104"/>
      <c r="I23" s="108"/>
      <c r="J23" s="120" t="s">
        <v>28</v>
      </c>
      <c r="K23" s="127">
        <v>9975.7928867840001</v>
      </c>
      <c r="L23" s="127">
        <v>20085.526608538599</v>
      </c>
      <c r="M23" s="127">
        <v>25531.250278111671</v>
      </c>
      <c r="N23" s="127">
        <v>25696.562780892789</v>
      </c>
      <c r="O23" s="127">
        <v>27197.459664319573</v>
      </c>
    </row>
    <row r="24" spans="1:15" outlineLevel="1" x14ac:dyDescent="0.2">
      <c r="A24" s="134" t="s">
        <v>28</v>
      </c>
      <c r="B24" s="155">
        <f>+B77</f>
        <v>9741.9852410799995</v>
      </c>
      <c r="C24" s="136">
        <f>+K11</f>
        <v>9975.7928867840001</v>
      </c>
      <c r="D24" s="136">
        <f t="shared" ref="D24:G24" si="2">+L11</f>
        <v>11085.526608538599</v>
      </c>
      <c r="E24" s="136">
        <f t="shared" si="2"/>
        <v>16531.250278111671</v>
      </c>
      <c r="F24" s="136">
        <f t="shared" si="2"/>
        <v>16696.562780892789</v>
      </c>
      <c r="G24" s="136">
        <f t="shared" si="2"/>
        <v>18197.459664319573</v>
      </c>
      <c r="I24" s="108"/>
      <c r="J24" s="120" t="s">
        <v>29</v>
      </c>
      <c r="K24" s="127">
        <v>2522.9017180159999</v>
      </c>
      <c r="L24" s="127">
        <v>2550.6536369141759</v>
      </c>
      <c r="M24" s="127">
        <v>2627.1732460216012</v>
      </c>
      <c r="N24" s="127">
        <v>2705.9884434022492</v>
      </c>
      <c r="O24" s="127">
        <v>2787.1680967043162</v>
      </c>
    </row>
    <row r="25" spans="1:15" outlineLevel="1" x14ac:dyDescent="0.2">
      <c r="A25" s="4" t="s">
        <v>158</v>
      </c>
      <c r="B25" s="103"/>
      <c r="C25" s="106"/>
      <c r="D25" s="106"/>
      <c r="E25" s="106"/>
      <c r="F25" s="106"/>
      <c r="G25" s="106"/>
      <c r="I25" s="77"/>
      <c r="J25" s="120" t="s">
        <v>30</v>
      </c>
      <c r="K25" s="126">
        <v>4.4999999999999998E-2</v>
      </c>
      <c r="L25" s="126">
        <v>4.4999999999999998E-2</v>
      </c>
      <c r="M25" s="126">
        <v>4.4999999999999998E-2</v>
      </c>
      <c r="N25" s="126">
        <v>4.4999999999999998E-2</v>
      </c>
      <c r="O25" s="126">
        <v>4.4999999999999998E-2</v>
      </c>
    </row>
    <row r="26" spans="1:15" outlineLevel="1" x14ac:dyDescent="0.2">
      <c r="A26" s="134" t="s">
        <v>29</v>
      </c>
      <c r="B26" s="155">
        <f>+B79</f>
        <v>2463.7712090728551</v>
      </c>
      <c r="C26" s="136">
        <f>CHOOSE($K$45,K12,K24,K36)</f>
        <v>2522.9017180159999</v>
      </c>
      <c r="D26" s="136">
        <f t="shared" ref="D26:G26" si="3">CHOOSE($K$45,L12,L24,L36)</f>
        <v>2550.6536369141759</v>
      </c>
      <c r="E26" s="136">
        <f t="shared" si="3"/>
        <v>2627.1732460216012</v>
      </c>
      <c r="F26" s="136">
        <f t="shared" si="3"/>
        <v>2705.9884434022492</v>
      </c>
      <c r="G26" s="136">
        <f t="shared" si="3"/>
        <v>2787.1680967043162</v>
      </c>
      <c r="J26" s="120"/>
      <c r="K26" s="124"/>
      <c r="L26" s="124"/>
      <c r="M26" s="128"/>
      <c r="N26" s="128"/>
      <c r="O26" s="128"/>
    </row>
    <row r="27" spans="1:15" outlineLevel="1" x14ac:dyDescent="0.2">
      <c r="A27" s="4" t="s">
        <v>159</v>
      </c>
      <c r="B27" s="103"/>
      <c r="C27" s="106"/>
      <c r="D27" s="106"/>
      <c r="E27" s="106"/>
      <c r="F27" s="106"/>
      <c r="G27" s="106"/>
      <c r="J27" s="174"/>
      <c r="K27" s="174"/>
      <c r="L27" s="174"/>
      <c r="M27" s="174"/>
      <c r="N27" s="174"/>
      <c r="O27" s="174"/>
    </row>
    <row r="28" spans="1:15" outlineLevel="1" x14ac:dyDescent="0.2">
      <c r="A28" s="134" t="s">
        <v>30</v>
      </c>
      <c r="B28" s="153">
        <v>4.9656113461324834E-2</v>
      </c>
      <c r="C28" s="135">
        <f>CHOOSE($K$45,K13,K25,K37)</f>
        <v>4.4999999999999998E-2</v>
      </c>
      <c r="D28" s="135">
        <f>CHOOSE($K$45,L13,L25,L37)</f>
        <v>4.4999999999999998E-2</v>
      </c>
      <c r="E28" s="135">
        <f>CHOOSE($K$45,M13,M25,M37)</f>
        <v>4.4999999999999998E-2</v>
      </c>
      <c r="F28" s="135">
        <f>CHOOSE($K$45,N13,N25,N37)</f>
        <v>4.4999999999999998E-2</v>
      </c>
      <c r="G28" s="135">
        <f>CHOOSE($K$45,O13,O25,O37)</f>
        <v>4.4999999999999998E-2</v>
      </c>
      <c r="J28" s="118"/>
      <c r="K28" s="119"/>
      <c r="L28" s="127"/>
      <c r="M28" s="127"/>
      <c r="N28" s="127"/>
      <c r="O28" s="127"/>
    </row>
    <row r="29" spans="1:15" outlineLevel="1" x14ac:dyDescent="0.2">
      <c r="A29" t="s">
        <v>31</v>
      </c>
      <c r="B29" s="156">
        <v>2.3907795010609023E-2</v>
      </c>
      <c r="C29" s="18">
        <v>2.5000000000000001E-2</v>
      </c>
      <c r="D29" s="18">
        <v>2.5000000000000001E-2</v>
      </c>
      <c r="E29" s="18">
        <v>2.5000000000000001E-2</v>
      </c>
      <c r="F29" s="18">
        <v>2.5000000000000001E-2</v>
      </c>
      <c r="G29" s="18">
        <v>2.5000000000000001E-2</v>
      </c>
      <c r="I29" s="77"/>
      <c r="J29" s="120"/>
      <c r="K29" s="126"/>
      <c r="L29" s="126"/>
      <c r="M29" s="168"/>
      <c r="N29" s="168"/>
      <c r="O29" s="126"/>
    </row>
    <row r="30" spans="1:15" outlineLevel="1" x14ac:dyDescent="0.2">
      <c r="A30" t="s">
        <v>32</v>
      </c>
      <c r="B30" s="29">
        <v>5.6303183902072472E-2</v>
      </c>
      <c r="C30" s="18">
        <v>5.6000000000000001E-2</v>
      </c>
      <c r="D30" s="18">
        <v>5.6000000000000001E-2</v>
      </c>
      <c r="E30" s="18">
        <v>5.6000000000000001E-2</v>
      </c>
      <c r="F30" s="18">
        <v>5.6000000000000001E-2</v>
      </c>
      <c r="G30" s="18">
        <v>5.6000000000000001E-2</v>
      </c>
      <c r="I30" s="77"/>
      <c r="J30" s="120"/>
      <c r="K30" s="126"/>
      <c r="L30" s="168"/>
      <c r="M30" s="168"/>
      <c r="N30" s="168"/>
      <c r="O30" s="168"/>
    </row>
    <row r="31" spans="1:15" outlineLevel="1" x14ac:dyDescent="0.2">
      <c r="A31" t="s">
        <v>33</v>
      </c>
      <c r="B31" s="29">
        <v>3.0568814604396712E-3</v>
      </c>
      <c r="C31" s="18">
        <v>3.0000000000000001E-3</v>
      </c>
      <c r="D31" s="18">
        <v>3.0000000000000001E-3</v>
      </c>
      <c r="E31" s="18">
        <v>3.0000000000000001E-3</v>
      </c>
      <c r="F31" s="18">
        <v>3.0000000000000001E-3</v>
      </c>
      <c r="G31" s="18">
        <v>3.0000000000000001E-3</v>
      </c>
      <c r="I31" s="108"/>
      <c r="J31" s="120"/>
      <c r="K31" s="127"/>
      <c r="L31" s="127"/>
      <c r="M31" s="127"/>
      <c r="N31" s="127"/>
      <c r="O31" s="127"/>
    </row>
    <row r="32" spans="1:15" outlineLevel="1" x14ac:dyDescent="0.2">
      <c r="A32" s="4" t="s">
        <v>160</v>
      </c>
      <c r="B32" s="105"/>
      <c r="C32" s="104"/>
      <c r="D32" s="104"/>
      <c r="E32" s="104"/>
      <c r="F32" s="104"/>
      <c r="G32" s="104"/>
      <c r="I32" s="77"/>
      <c r="J32" s="120"/>
      <c r="K32" s="126"/>
      <c r="L32" s="126"/>
      <c r="M32" s="126"/>
      <c r="N32" s="126"/>
      <c r="O32" s="126"/>
    </row>
    <row r="33" spans="1:15" outlineLevel="1" x14ac:dyDescent="0.2">
      <c r="A33" t="s">
        <v>34</v>
      </c>
      <c r="B33" s="156">
        <v>5.7446379127801183E-3</v>
      </c>
      <c r="C33" s="18">
        <v>5.0000000000000001E-3</v>
      </c>
      <c r="D33" s="18">
        <v>5.0000000000000001E-3</v>
      </c>
      <c r="E33" s="18">
        <v>5.0000000000000001E-3</v>
      </c>
      <c r="F33" s="18">
        <v>5.0000000000000001E-3</v>
      </c>
      <c r="G33" s="18">
        <v>5.0000000000000001E-3</v>
      </c>
      <c r="I33" s="77"/>
      <c r="J33" s="120"/>
      <c r="K33" s="126"/>
      <c r="L33" s="126"/>
      <c r="M33" s="126"/>
      <c r="N33" s="126"/>
      <c r="O33" s="126"/>
    </row>
    <row r="34" spans="1:15" outlineLevel="1" x14ac:dyDescent="0.2">
      <c r="A34" s="4" t="s">
        <v>161</v>
      </c>
      <c r="B34" s="105"/>
      <c r="C34" s="104"/>
      <c r="D34" s="104"/>
      <c r="E34" s="104"/>
      <c r="F34" s="104"/>
      <c r="G34" s="104"/>
      <c r="I34" s="77"/>
      <c r="J34" s="120"/>
      <c r="K34" s="126"/>
      <c r="L34" s="126"/>
      <c r="M34" s="126"/>
      <c r="N34" s="126"/>
      <c r="O34" s="126"/>
    </row>
    <row r="35" spans="1:15" outlineLevel="1" x14ac:dyDescent="0.2">
      <c r="A35" t="s">
        <v>35</v>
      </c>
      <c r="B35" s="157">
        <f>+B91</f>
        <v>2026.70185642</v>
      </c>
      <c r="C35" s="19">
        <v>2026.70185642</v>
      </c>
      <c r="D35" s="19">
        <v>2026.70185642</v>
      </c>
      <c r="E35" s="19">
        <v>2026.70185642</v>
      </c>
      <c r="F35" s="19">
        <v>2026.70185642</v>
      </c>
      <c r="G35" s="19">
        <v>2026.70185642</v>
      </c>
      <c r="I35" s="108"/>
      <c r="J35" s="120"/>
      <c r="K35" s="127"/>
      <c r="L35" s="127"/>
      <c r="M35" s="127"/>
      <c r="N35" s="127"/>
      <c r="O35" s="127"/>
    </row>
    <row r="36" spans="1:15" outlineLevel="1" x14ac:dyDescent="0.2">
      <c r="A36" t="s">
        <v>162</v>
      </c>
      <c r="B36" s="106"/>
      <c r="C36" s="106"/>
      <c r="D36" s="106"/>
      <c r="E36" s="106"/>
      <c r="F36" s="106"/>
      <c r="G36" s="106"/>
      <c r="I36" s="108"/>
      <c r="J36" s="120"/>
      <c r="K36" s="127"/>
      <c r="L36" s="127"/>
      <c r="M36" s="127"/>
      <c r="N36" s="127"/>
      <c r="O36" s="127"/>
    </row>
    <row r="37" spans="1:15" outlineLevel="1" x14ac:dyDescent="0.2">
      <c r="A37" t="s">
        <v>36</v>
      </c>
      <c r="B37" s="155">
        <f>+B93</f>
        <v>252.99953443999999</v>
      </c>
      <c r="C37" s="19">
        <v>252.99953443999999</v>
      </c>
      <c r="D37" s="19">
        <v>252.99953443999999</v>
      </c>
      <c r="E37" s="19">
        <v>252.99953443999999</v>
      </c>
      <c r="F37" s="19">
        <v>252.99953443999999</v>
      </c>
      <c r="G37" s="19">
        <v>252.99953443999999</v>
      </c>
      <c r="I37" s="77"/>
      <c r="J37" s="120"/>
      <c r="K37" s="126"/>
      <c r="L37" s="126"/>
      <c r="M37" s="126"/>
      <c r="N37" s="126"/>
      <c r="O37" s="126"/>
    </row>
    <row r="38" spans="1:15" ht="15.75" outlineLevel="1" x14ac:dyDescent="0.25">
      <c r="A38" t="s">
        <v>163</v>
      </c>
      <c r="B38" s="103"/>
      <c r="C38" s="106"/>
      <c r="D38" s="106"/>
      <c r="E38" s="106"/>
      <c r="F38" s="106"/>
      <c r="G38" s="106"/>
      <c r="J38" s="120"/>
      <c r="K38" s="124"/>
      <c r="L38" s="124"/>
      <c r="M38" s="125"/>
      <c r="N38" s="125"/>
      <c r="O38" s="125"/>
    </row>
    <row r="39" spans="1:15" outlineLevel="1" x14ac:dyDescent="0.2">
      <c r="A39" t="s">
        <v>37</v>
      </c>
      <c r="B39" s="156">
        <f>+B100/B98</f>
        <v>7.1130965814461183E-2</v>
      </c>
      <c r="C39" s="18">
        <v>7.1130965814461183E-2</v>
      </c>
      <c r="D39" s="18">
        <v>7.1130965814461183E-2</v>
      </c>
      <c r="E39" s="18">
        <v>7.1130965814461183E-2</v>
      </c>
      <c r="F39" s="18">
        <v>7.1130965814461183E-2</v>
      </c>
      <c r="G39" s="18">
        <v>7.1130965814461183E-2</v>
      </c>
      <c r="J39" s="129" t="s">
        <v>186</v>
      </c>
      <c r="K39" s="130" t="s">
        <v>187</v>
      </c>
      <c r="L39" s="131"/>
      <c r="M39" s="131"/>
      <c r="N39" s="131"/>
      <c r="O39" s="131"/>
    </row>
    <row r="40" spans="1:15" outlineLevel="1" x14ac:dyDescent="0.2">
      <c r="A40" t="s">
        <v>38</v>
      </c>
      <c r="B40" s="144">
        <v>0.18149999999999999</v>
      </c>
      <c r="C40" s="64">
        <v>0.18149999999999999</v>
      </c>
      <c r="D40" s="64">
        <v>0.18149999999999999</v>
      </c>
      <c r="E40" s="64">
        <v>0.18149999999999999</v>
      </c>
      <c r="F40" s="64">
        <v>0.18149999999999999</v>
      </c>
      <c r="G40" s="64">
        <v>0.18149999999999999</v>
      </c>
      <c r="J40" s="120" t="s">
        <v>188</v>
      </c>
      <c r="K40" s="130">
        <v>1</v>
      </c>
      <c r="L40" s="132"/>
      <c r="M40" s="132"/>
      <c r="N40" s="132"/>
      <c r="O40" s="132"/>
    </row>
    <row r="41" spans="1:15" outlineLevel="1" x14ac:dyDescent="0.2">
      <c r="A41" t="s">
        <v>78</v>
      </c>
      <c r="C41" s="18">
        <v>0.09</v>
      </c>
      <c r="D41" s="18">
        <v>0.05</v>
      </c>
      <c r="E41" s="18">
        <v>0.04</v>
      </c>
      <c r="F41" s="18">
        <v>0.03</v>
      </c>
      <c r="G41" s="18">
        <v>0.03</v>
      </c>
      <c r="J41" s="120" t="s">
        <v>189</v>
      </c>
      <c r="K41" s="130">
        <v>2</v>
      </c>
      <c r="L41" s="132"/>
      <c r="M41" s="132"/>
      <c r="N41" s="132"/>
      <c r="O41" s="132"/>
    </row>
    <row r="42" spans="1:15" ht="15.75" outlineLevel="1" x14ac:dyDescent="0.25">
      <c r="D42" s="18"/>
      <c r="E42" s="18"/>
      <c r="F42" s="18"/>
      <c r="G42" s="18"/>
      <c r="J42" s="120"/>
      <c r="K42" s="130"/>
      <c r="L42" s="124"/>
      <c r="M42" s="125"/>
      <c r="N42" s="125"/>
      <c r="O42" s="125"/>
    </row>
    <row r="43" spans="1:15" ht="15.75" x14ac:dyDescent="0.25">
      <c r="D43" s="18"/>
      <c r="E43" s="18"/>
      <c r="F43" s="18"/>
      <c r="G43" s="18"/>
      <c r="J43" s="120"/>
      <c r="K43" s="124"/>
      <c r="L43" s="124"/>
      <c r="M43" s="125"/>
      <c r="N43" s="125"/>
      <c r="O43" s="125"/>
    </row>
    <row r="44" spans="1:15" ht="15.75" x14ac:dyDescent="0.25">
      <c r="A44" s="37" t="s">
        <v>79</v>
      </c>
      <c r="B44" s="37"/>
      <c r="C44" s="37"/>
      <c r="D44" s="37"/>
      <c r="E44" s="37"/>
      <c r="F44" s="37"/>
      <c r="G44" s="37"/>
      <c r="H44" s="37"/>
      <c r="J44" s="129" t="s">
        <v>190</v>
      </c>
      <c r="K44" s="124"/>
      <c r="L44" s="124"/>
      <c r="M44" s="125"/>
      <c r="N44" s="125"/>
      <c r="O44" s="125"/>
    </row>
    <row r="45" spans="1:15" ht="15.75" outlineLevel="1" x14ac:dyDescent="0.25">
      <c r="J45" s="120" t="s">
        <v>191</v>
      </c>
      <c r="K45" s="133">
        <v>1</v>
      </c>
      <c r="L45" s="124"/>
      <c r="M45" s="125"/>
      <c r="N45" s="125"/>
      <c r="O45" s="125"/>
    </row>
    <row r="46" spans="1:15" outlineLevel="1" x14ac:dyDescent="0.2">
      <c r="A46" s="3" t="s">
        <v>4</v>
      </c>
      <c r="B46" s="28">
        <f t="shared" ref="B46:G46" si="4">+B$3</f>
        <v>2022</v>
      </c>
      <c r="C46" s="38">
        <f t="shared" si="4"/>
        <v>2023</v>
      </c>
      <c r="D46" s="39">
        <f t="shared" si="4"/>
        <v>2024</v>
      </c>
      <c r="E46" s="39">
        <f t="shared" si="4"/>
        <v>2025</v>
      </c>
      <c r="F46" s="39">
        <f t="shared" si="4"/>
        <v>2026</v>
      </c>
      <c r="G46" s="39">
        <f t="shared" si="4"/>
        <v>2027</v>
      </c>
    </row>
    <row r="47" spans="1:15" outlineLevel="1" x14ac:dyDescent="0.2">
      <c r="B47" s="29"/>
    </row>
    <row r="48" spans="1:15" outlineLevel="1" x14ac:dyDescent="0.2">
      <c r="A48" s="4" t="s">
        <v>0</v>
      </c>
      <c r="B48" s="25">
        <f>+'[2]ER 2022-2021 '!$D$10/1000000</f>
        <v>90224.924508630007</v>
      </c>
      <c r="C48" s="1">
        <f>B48*(1+C5)</f>
        <v>76691.185832335497</v>
      </c>
      <c r="D48" s="1">
        <f>C48*(1+D5)</f>
        <v>72856.626540718717</v>
      </c>
      <c r="E48" s="1">
        <f>D48*(1+E5)</f>
        <v>73585.19280612591</v>
      </c>
      <c r="F48" s="1">
        <f>E48*(1+F5)</f>
        <v>75792.748590309682</v>
      </c>
      <c r="G48" s="1">
        <f>F48*(1+G5)</f>
        <v>78824.458533922079</v>
      </c>
    </row>
    <row r="49" spans="1:17" outlineLevel="1" x14ac:dyDescent="0.2">
      <c r="A49" s="4" t="s">
        <v>5</v>
      </c>
      <c r="B49" s="25">
        <f>+'[2]ER 2022-2021 '!$D$11/1000000</f>
        <v>70068.461015720008</v>
      </c>
      <c r="C49" s="1">
        <f>C48*C7</f>
        <v>59819.124949221688</v>
      </c>
      <c r="D49" s="1">
        <f>D48*D7</f>
        <v>56828.168701760602</v>
      </c>
      <c r="E49" s="1">
        <f>E48*E7</f>
        <v>57396.450388778212</v>
      </c>
      <c r="F49" s="1">
        <f>F48*F7</f>
        <v>59118.343900441556</v>
      </c>
      <c r="G49" s="1">
        <f>G48*G7</f>
        <v>61483.077656459223</v>
      </c>
      <c r="L49" s="28">
        <v>2022</v>
      </c>
      <c r="M49" s="38">
        <v>2023</v>
      </c>
      <c r="N49" s="39">
        <v>2024</v>
      </c>
      <c r="O49" s="39">
        <v>2025</v>
      </c>
      <c r="P49" s="39">
        <v>2026</v>
      </c>
      <c r="Q49" s="39">
        <v>2027</v>
      </c>
    </row>
    <row r="50" spans="1:17" outlineLevel="1" x14ac:dyDescent="0.2">
      <c r="A50" s="5" t="s">
        <v>14</v>
      </c>
      <c r="B50" s="10">
        <f t="shared" ref="B50:G50" si="5">B48-B49</f>
        <v>20156.463492909999</v>
      </c>
      <c r="C50" s="10">
        <f t="shared" si="5"/>
        <v>16872.060883113809</v>
      </c>
      <c r="D50" s="10">
        <f t="shared" si="5"/>
        <v>16028.457838958115</v>
      </c>
      <c r="E50" s="10">
        <f t="shared" si="5"/>
        <v>16188.742417347697</v>
      </c>
      <c r="F50" s="10">
        <f t="shared" si="5"/>
        <v>16674.404689868126</v>
      </c>
      <c r="G50" s="10">
        <f t="shared" si="5"/>
        <v>17341.380877462856</v>
      </c>
      <c r="M50" s="113">
        <f>+C48/B48-1</f>
        <v>-0.15000000000000013</v>
      </c>
      <c r="N50" s="113">
        <f t="shared" ref="N50:Q52" si="6">+D48/C48-1</f>
        <v>-5.0000000000000044E-2</v>
      </c>
      <c r="O50" s="113">
        <f t="shared" si="6"/>
        <v>1.0000000000000009E-2</v>
      </c>
      <c r="P50" s="113">
        <f t="shared" si="6"/>
        <v>3.0000000000000027E-2</v>
      </c>
      <c r="Q50" s="113">
        <f t="shared" si="6"/>
        <v>4.0000000000000036E-2</v>
      </c>
    </row>
    <row r="51" spans="1:17" outlineLevel="1" x14ac:dyDescent="0.2">
      <c r="A51" s="4" t="s">
        <v>42</v>
      </c>
      <c r="B51" s="25">
        <f>+'[2]ER 2022-2021 '!$D$16/1000000</f>
        <v>1976.55192642</v>
      </c>
      <c r="C51" s="1">
        <f>C48*C8</f>
        <v>1679.5369697281474</v>
      </c>
      <c r="D51" s="1">
        <f>D48*D8</f>
        <v>1595.5601212417398</v>
      </c>
      <c r="E51" s="1">
        <f>E48*E8</f>
        <v>1611.5157224541574</v>
      </c>
      <c r="F51" s="1">
        <f>F48*F8</f>
        <v>1659.861194127782</v>
      </c>
      <c r="G51" s="1">
        <f>G48*G8</f>
        <v>1726.2556418928934</v>
      </c>
      <c r="H51" s="141"/>
      <c r="M51" s="113">
        <f t="shared" ref="M51:M52" si="7">+C49/B49-1</f>
        <v>-0.14627602658775196</v>
      </c>
      <c r="N51" s="113">
        <f t="shared" si="6"/>
        <v>-5.0000000000000044E-2</v>
      </c>
      <c r="O51" s="113">
        <f t="shared" si="6"/>
        <v>1.0000000000000009E-2</v>
      </c>
      <c r="P51" s="113">
        <f t="shared" si="6"/>
        <v>3.0000000000000027E-2</v>
      </c>
      <c r="Q51" s="113">
        <f t="shared" si="6"/>
        <v>4.0000000000000036E-2</v>
      </c>
    </row>
    <row r="52" spans="1:17" outlineLevel="1" x14ac:dyDescent="0.2">
      <c r="A52" s="4" t="s">
        <v>43</v>
      </c>
      <c r="B52" s="25">
        <f>+'[2]ER 2022-2021 '!$D$15/1000000</f>
        <v>2930.29627071</v>
      </c>
      <c r="C52" s="1">
        <f>C48*C9</f>
        <v>2492.4635395509035</v>
      </c>
      <c r="D52" s="1">
        <f>D48*D9</f>
        <v>2367.8403625733586</v>
      </c>
      <c r="E52" s="1">
        <f>E48*E9</f>
        <v>2391.5187661990922</v>
      </c>
      <c r="F52" s="1">
        <f>F48*F9</f>
        <v>2463.264329185065</v>
      </c>
      <c r="G52" s="1">
        <f>G48*G9</f>
        <v>2561.7949023524675</v>
      </c>
      <c r="H52" s="141"/>
      <c r="M52" s="113">
        <f t="shared" si="7"/>
        <v>-0.16294538032187411</v>
      </c>
      <c r="N52" s="113">
        <f t="shared" si="6"/>
        <v>-5.0000000000000266E-2</v>
      </c>
      <c r="O52" s="113">
        <f t="shared" si="6"/>
        <v>1.0000000000000009E-2</v>
      </c>
      <c r="P52" s="113">
        <f t="shared" si="6"/>
        <v>2.9999999999999805E-2</v>
      </c>
      <c r="Q52" s="113">
        <f t="shared" si="6"/>
        <v>4.0000000000000258E-2</v>
      </c>
    </row>
    <row r="53" spans="1:17" outlineLevel="1" x14ac:dyDescent="0.2">
      <c r="A53" s="4" t="s">
        <v>44</v>
      </c>
      <c r="B53" s="25">
        <v>0</v>
      </c>
      <c r="C53" s="1">
        <f>C48*C10</f>
        <v>0</v>
      </c>
      <c r="D53" s="1">
        <f>D48*D10</f>
        <v>0</v>
      </c>
      <c r="E53" s="1">
        <f>E48*E10</f>
        <v>0</v>
      </c>
      <c r="F53" s="1">
        <f>F48*F10</f>
        <v>0</v>
      </c>
      <c r="G53" s="1">
        <f>G48*G10</f>
        <v>0</v>
      </c>
      <c r="H53" s="141"/>
      <c r="J53" s="113"/>
      <c r="M53" s="113">
        <f t="shared" ref="M53:M62" si="8">+C51/B51-1</f>
        <v>-0.15026924044935996</v>
      </c>
      <c r="N53" s="113">
        <f t="shared" ref="N53:N62" si="9">+D51/C51-1</f>
        <v>-5.0000000000000155E-2</v>
      </c>
      <c r="O53" s="113">
        <f t="shared" ref="O53:O62" si="10">+E51/D51-1</f>
        <v>1.0000000000000231E-2</v>
      </c>
      <c r="P53" s="113">
        <f t="shared" ref="P53:P62" si="11">+F51/E51-1</f>
        <v>3.0000000000000027E-2</v>
      </c>
      <c r="Q53" s="113">
        <f t="shared" ref="Q53:Q62" si="12">+G51/F51-1</f>
        <v>4.0000000000000036E-2</v>
      </c>
    </row>
    <row r="54" spans="1:17" outlineLevel="1" x14ac:dyDescent="0.2">
      <c r="A54" s="5" t="s">
        <v>15</v>
      </c>
      <c r="B54" s="10">
        <f t="shared" ref="B54:G54" si="13">B50-B51-B52-B53</f>
        <v>15249.615295779999</v>
      </c>
      <c r="C54" s="10">
        <f t="shared" si="13"/>
        <v>12700.060373834758</v>
      </c>
      <c r="D54" s="10">
        <f t="shared" si="13"/>
        <v>12065.057355143015</v>
      </c>
      <c r="E54" s="10">
        <f t="shared" si="13"/>
        <v>12185.707928694446</v>
      </c>
      <c r="F54" s="10">
        <f t="shared" si="13"/>
        <v>12551.27916655528</v>
      </c>
      <c r="G54" s="10">
        <f t="shared" si="13"/>
        <v>13053.330333217495</v>
      </c>
      <c r="M54" s="113">
        <f t="shared" si="8"/>
        <v>-0.14941585788969092</v>
      </c>
      <c r="N54" s="113">
        <f t="shared" si="9"/>
        <v>-4.9999999999999933E-2</v>
      </c>
      <c r="O54" s="113">
        <f t="shared" si="10"/>
        <v>1.0000000000000009E-2</v>
      </c>
      <c r="P54" s="113">
        <f t="shared" si="11"/>
        <v>3.0000000000000027E-2</v>
      </c>
      <c r="Q54" s="113">
        <f t="shared" si="12"/>
        <v>4.0000000000000036E-2</v>
      </c>
    </row>
    <row r="55" spans="1:17" outlineLevel="1" x14ac:dyDescent="0.2">
      <c r="A55" s="4" t="s">
        <v>164</v>
      </c>
      <c r="B55" s="25">
        <f>-('[2]ER 2022-2021 '!$D$14/1000000+'[2]ER 2022-2021 '!$D$27/1000000)</f>
        <v>-1892.8588079400001</v>
      </c>
      <c r="C55" s="165">
        <f>-C48*C16</f>
        <v>-352.77945482874327</v>
      </c>
      <c r="D55" s="22">
        <f>-D48*D16</f>
        <v>-335.14048208730611</v>
      </c>
      <c r="E55" s="22">
        <f>-E48*E16</f>
        <v>-338.4918869081792</v>
      </c>
      <c r="F55" s="22">
        <f>-F48*F16</f>
        <v>-348.64664351542456</v>
      </c>
      <c r="G55" s="22">
        <f>-G48*G16</f>
        <v>-362.59250925604158</v>
      </c>
      <c r="M55" s="113" t="e">
        <f t="shared" si="8"/>
        <v>#DIV/0!</v>
      </c>
      <c r="N55" s="113" t="e">
        <f t="shared" si="9"/>
        <v>#DIV/0!</v>
      </c>
      <c r="O55" s="113" t="e">
        <f t="shared" si="10"/>
        <v>#DIV/0!</v>
      </c>
      <c r="P55" s="113" t="e">
        <f t="shared" si="11"/>
        <v>#DIV/0!</v>
      </c>
      <c r="Q55" s="113" t="e">
        <f t="shared" si="12"/>
        <v>#DIV/0!</v>
      </c>
    </row>
    <row r="56" spans="1:17" outlineLevel="1" x14ac:dyDescent="0.2">
      <c r="A56" s="4" t="s">
        <v>165</v>
      </c>
      <c r="B56" s="25">
        <f>+'[2]ER 2022-2021 '!$D$18/1000000</f>
        <v>629.84301667999989</v>
      </c>
      <c r="C56" s="165">
        <f>C48*C17</f>
        <v>536.83830082634847</v>
      </c>
      <c r="D56" s="22">
        <f>D48*D17</f>
        <v>509.99638578503101</v>
      </c>
      <c r="E56" s="22">
        <f>E48*E17</f>
        <v>515.09634964288136</v>
      </c>
      <c r="F56" s="22">
        <f>F48*F17</f>
        <v>530.54924013216782</v>
      </c>
      <c r="G56" s="22">
        <f>G48*G17</f>
        <v>551.77120973745457</v>
      </c>
      <c r="M56" s="113">
        <f t="shared" si="8"/>
        <v>-0.16718814688071337</v>
      </c>
      <c r="N56" s="113">
        <f t="shared" si="9"/>
        <v>-5.0000000000000377E-2</v>
      </c>
      <c r="O56" s="113">
        <f t="shared" si="10"/>
        <v>1.0000000000000009E-2</v>
      </c>
      <c r="P56" s="113">
        <f t="shared" si="11"/>
        <v>3.0000000000000027E-2</v>
      </c>
      <c r="Q56" s="113">
        <f t="shared" si="12"/>
        <v>4.0000000000000258E-2</v>
      </c>
    </row>
    <row r="57" spans="1:17" outlineLevel="1" x14ac:dyDescent="0.2">
      <c r="A57" s="4" t="s">
        <v>13</v>
      </c>
      <c r="B57" s="25">
        <f>+'[2]ER 2022-2021 '!$D$17/1000000</f>
        <v>701.70258253999998</v>
      </c>
      <c r="C57" s="116">
        <f>C13</f>
        <v>0</v>
      </c>
      <c r="D57" s="1">
        <f>D13</f>
        <v>0</v>
      </c>
      <c r="E57" s="1">
        <f>E13</f>
        <v>0</v>
      </c>
      <c r="F57" s="1">
        <f>F13</f>
        <v>0</v>
      </c>
      <c r="G57" s="1">
        <f>G13</f>
        <v>0</v>
      </c>
      <c r="I57" s="1"/>
      <c r="J57" s="1"/>
      <c r="M57" s="113">
        <f t="shared" si="8"/>
        <v>-0.81362611233921167</v>
      </c>
      <c r="N57" s="113">
        <f t="shared" si="9"/>
        <v>-4.9999999999999933E-2</v>
      </c>
      <c r="O57" s="113">
        <f t="shared" si="10"/>
        <v>1.0000000000000009E-2</v>
      </c>
      <c r="P57" s="113">
        <f t="shared" si="11"/>
        <v>3.0000000000000027E-2</v>
      </c>
      <c r="Q57" s="113">
        <f t="shared" si="12"/>
        <v>4.0000000000000036E-2</v>
      </c>
    </row>
    <row r="58" spans="1:17" outlineLevel="1" x14ac:dyDescent="0.2">
      <c r="A58" s="4" t="s">
        <v>45</v>
      </c>
      <c r="B58" s="1"/>
      <c r="C58" s="166"/>
      <c r="D58" s="158"/>
      <c r="E58" s="158"/>
      <c r="F58" s="158"/>
      <c r="G58" s="158"/>
      <c r="I58" s="1"/>
      <c r="M58" s="113">
        <f t="shared" si="8"/>
        <v>-0.14766332783031189</v>
      </c>
      <c r="N58" s="113">
        <f t="shared" si="9"/>
        <v>-5.0000000000000044E-2</v>
      </c>
      <c r="O58" s="113">
        <f t="shared" si="10"/>
        <v>1.0000000000000009E-2</v>
      </c>
      <c r="P58" s="113">
        <f t="shared" si="11"/>
        <v>3.0000000000000027E-2</v>
      </c>
      <c r="Q58" s="113">
        <f t="shared" si="12"/>
        <v>4.0000000000000036E-2</v>
      </c>
    </row>
    <row r="59" spans="1:17" outlineLevel="1" x14ac:dyDescent="0.2">
      <c r="A59" s="5" t="s">
        <v>6</v>
      </c>
      <c r="B59" s="10">
        <f>B54-B57-B58-B55-B56</f>
        <v>15810.9285045</v>
      </c>
      <c r="C59" s="10">
        <f>C54-C57-C58-C55-C56</f>
        <v>12516.001527837154</v>
      </c>
      <c r="D59" s="10">
        <f t="shared" ref="D59:G59" si="14">D54-D57-D58-D55-D56</f>
        <v>11890.201451445291</v>
      </c>
      <c r="E59" s="10">
        <f t="shared" si="14"/>
        <v>12009.103465959744</v>
      </c>
      <c r="F59" s="10">
        <f t="shared" si="14"/>
        <v>12369.376569938537</v>
      </c>
      <c r="G59" s="10">
        <f t="shared" si="14"/>
        <v>12864.151632736081</v>
      </c>
      <c r="M59" s="113">
        <f t="shared" si="8"/>
        <v>-1</v>
      </c>
      <c r="N59" s="113" t="e">
        <f t="shared" si="9"/>
        <v>#DIV/0!</v>
      </c>
      <c r="O59" s="113" t="e">
        <f t="shared" si="10"/>
        <v>#DIV/0!</v>
      </c>
      <c r="P59" s="113" t="e">
        <f t="shared" si="11"/>
        <v>#DIV/0!</v>
      </c>
      <c r="Q59" s="113" t="e">
        <f t="shared" si="12"/>
        <v>#DIV/0!</v>
      </c>
    </row>
    <row r="60" spans="1:17" outlineLevel="1" x14ac:dyDescent="0.2">
      <c r="A60" s="6" t="s">
        <v>7</v>
      </c>
      <c r="B60" s="26">
        <f>+'[2]ER 2022-2021 '!$D$22/1000000</f>
        <v>5079.9505171600013</v>
      </c>
      <c r="C60" s="11">
        <f>C59*C14</f>
        <v>4380.6005347430037</v>
      </c>
      <c r="D60" s="11">
        <f>D59*D14</f>
        <v>4161.5705080058515</v>
      </c>
      <c r="E60" s="11">
        <f>E59*E14</f>
        <v>4203.1862130859099</v>
      </c>
      <c r="F60" s="11">
        <f>F59*F14</f>
        <v>4329.2817994784873</v>
      </c>
      <c r="G60" s="11">
        <f>G59*G14</f>
        <v>4502.4530714576276</v>
      </c>
      <c r="I60" s="13"/>
      <c r="M60" s="113" t="e">
        <f t="shared" si="8"/>
        <v>#DIV/0!</v>
      </c>
      <c r="N60" s="113" t="e">
        <f t="shared" si="9"/>
        <v>#DIV/0!</v>
      </c>
      <c r="O60" s="113" t="e">
        <f t="shared" si="10"/>
        <v>#DIV/0!</v>
      </c>
      <c r="P60" s="113" t="e">
        <f t="shared" si="11"/>
        <v>#DIV/0!</v>
      </c>
      <c r="Q60" s="113" t="e">
        <f t="shared" si="12"/>
        <v>#DIV/0!</v>
      </c>
    </row>
    <row r="61" spans="1:17" ht="15.75" outlineLevel="1" thickBot="1" x14ac:dyDescent="0.25">
      <c r="A61" s="7" t="s">
        <v>8</v>
      </c>
      <c r="B61" s="12">
        <f t="shared" ref="B61:G61" si="15">B59-B60</f>
        <v>10730.977987339998</v>
      </c>
      <c r="C61" s="12">
        <f>C59-C60</f>
        <v>8135.4009930941502</v>
      </c>
      <c r="D61" s="12">
        <f t="shared" si="15"/>
        <v>7728.6309434394398</v>
      </c>
      <c r="E61" s="12">
        <f t="shared" si="15"/>
        <v>7805.9172528738345</v>
      </c>
      <c r="F61" s="12">
        <f t="shared" si="15"/>
        <v>8040.0947704600494</v>
      </c>
      <c r="G61" s="12">
        <f t="shared" si="15"/>
        <v>8361.698561278452</v>
      </c>
      <c r="I61" s="77"/>
      <c r="M61" s="113">
        <f t="shared" si="8"/>
        <v>-0.20839553956145374</v>
      </c>
      <c r="N61" s="113">
        <f t="shared" si="9"/>
        <v>-5.0000000000000377E-2</v>
      </c>
      <c r="O61" s="113">
        <f t="shared" si="10"/>
        <v>1.0000000000000009E-2</v>
      </c>
      <c r="P61" s="113">
        <f t="shared" si="11"/>
        <v>3.0000000000000027E-2</v>
      </c>
      <c r="Q61" s="113">
        <f t="shared" si="12"/>
        <v>4.0000000000000258E-2</v>
      </c>
    </row>
    <row r="62" spans="1:17" ht="15.75" outlineLevel="1" thickTop="1" x14ac:dyDescent="0.2">
      <c r="A62" s="4" t="s">
        <v>3</v>
      </c>
      <c r="B62" s="25">
        <v>0</v>
      </c>
      <c r="C62" s="1">
        <f>C15</f>
        <v>5694.7806951659049</v>
      </c>
      <c r="D62" s="1">
        <f>D15</f>
        <v>5410.0416604076072</v>
      </c>
      <c r="E62" s="1">
        <f>E15</f>
        <v>5464.1420770116838</v>
      </c>
      <c r="F62" s="1">
        <f>F15</f>
        <v>5628.0663393220339</v>
      </c>
      <c r="G62" s="1">
        <f>G15</f>
        <v>5853.1889928949158</v>
      </c>
      <c r="I62" s="77"/>
      <c r="M62" s="113">
        <f t="shared" si="8"/>
        <v>-0.13766866036482106</v>
      </c>
      <c r="N62" s="113">
        <f t="shared" si="9"/>
        <v>-5.0000000000000488E-2</v>
      </c>
      <c r="O62" s="113">
        <f t="shared" si="10"/>
        <v>1.0000000000000009E-2</v>
      </c>
      <c r="P62" s="113">
        <f t="shared" si="11"/>
        <v>3.0000000000000027E-2</v>
      </c>
      <c r="Q62" s="113">
        <f t="shared" si="12"/>
        <v>4.0000000000000258E-2</v>
      </c>
    </row>
    <row r="63" spans="1:17" outlineLevel="1" x14ac:dyDescent="0.2">
      <c r="A63" s="4" t="s">
        <v>46</v>
      </c>
      <c r="B63" s="109">
        <f t="shared" ref="B63:G63" si="16">B61-B62</f>
        <v>10730.977987339998</v>
      </c>
      <c r="C63" s="1">
        <f>C61-C62</f>
        <v>2440.6202979282452</v>
      </c>
      <c r="D63" s="1">
        <f t="shared" si="16"/>
        <v>2318.5892830318326</v>
      </c>
      <c r="E63" s="1">
        <f t="shared" si="16"/>
        <v>2341.7751758621507</v>
      </c>
      <c r="F63" s="1">
        <f>F61-F62</f>
        <v>2412.0284311380155</v>
      </c>
      <c r="G63" s="1">
        <f t="shared" si="16"/>
        <v>2508.5095683835361</v>
      </c>
      <c r="I63" s="77"/>
    </row>
    <row r="64" spans="1:17" outlineLevel="1" x14ac:dyDescent="0.2">
      <c r="A64" s="4"/>
      <c r="B64" s="25"/>
      <c r="C64" s="25"/>
      <c r="D64" s="25"/>
      <c r="E64" s="25"/>
      <c r="F64" s="25"/>
      <c r="G64" s="25"/>
      <c r="I64" s="1"/>
    </row>
    <row r="65" spans="1:9" x14ac:dyDescent="0.2">
      <c r="A65" s="4"/>
      <c r="B65" s="25"/>
      <c r="C65" s="1"/>
      <c r="D65" s="1"/>
      <c r="E65" s="1"/>
      <c r="F65" s="1"/>
      <c r="G65" s="1"/>
    </row>
    <row r="66" spans="1:9" x14ac:dyDescent="0.2">
      <c r="A66" s="37" t="s">
        <v>80</v>
      </c>
      <c r="B66" s="37"/>
      <c r="C66" s="37"/>
      <c r="D66" s="37"/>
      <c r="E66" s="37"/>
      <c r="F66" s="37"/>
      <c r="G66" s="37"/>
      <c r="H66" s="37"/>
    </row>
    <row r="67" spans="1:9" outlineLevel="1" x14ac:dyDescent="0.2">
      <c r="A67" s="8"/>
    </row>
    <row r="68" spans="1:9" outlineLevel="1" x14ac:dyDescent="0.2">
      <c r="A68" s="3" t="s">
        <v>9</v>
      </c>
      <c r="B68" s="28">
        <f t="shared" ref="B68:G68" si="17">+B$3</f>
        <v>2022</v>
      </c>
      <c r="C68" s="38">
        <f t="shared" si="17"/>
        <v>2023</v>
      </c>
      <c r="D68" s="39">
        <f t="shared" si="17"/>
        <v>2024</v>
      </c>
      <c r="E68" s="39">
        <f t="shared" si="17"/>
        <v>2025</v>
      </c>
      <c r="F68" s="39">
        <f t="shared" si="17"/>
        <v>2026</v>
      </c>
      <c r="G68" s="39">
        <f t="shared" si="17"/>
        <v>2027</v>
      </c>
    </row>
    <row r="69" spans="1:9" outlineLevel="1" x14ac:dyDescent="0.2">
      <c r="A69" s="3"/>
    </row>
    <row r="70" spans="1:9" outlineLevel="1" x14ac:dyDescent="0.2">
      <c r="A70" s="4" t="s">
        <v>60</v>
      </c>
      <c r="B70" s="1"/>
      <c r="C70" s="158">
        <f t="shared" ref="C70:F70" si="18">+-C104</f>
        <v>3416.0752300176391</v>
      </c>
      <c r="D70" s="158">
        <f>+-D104</f>
        <v>5173.6806330347317</v>
      </c>
      <c r="E70" s="158">
        <f t="shared" si="18"/>
        <v>1883.6771956951634</v>
      </c>
      <c r="F70" s="158">
        <f t="shared" si="18"/>
        <v>3719.6858630720963</v>
      </c>
      <c r="G70" s="158">
        <f>+-G104</f>
        <v>4190.3204607170628</v>
      </c>
      <c r="I70" s="13">
        <v>44562.574119049103</v>
      </c>
    </row>
    <row r="71" spans="1:9" outlineLevel="1" x14ac:dyDescent="0.2">
      <c r="A71" s="4" t="s">
        <v>47</v>
      </c>
      <c r="B71" s="25">
        <f>+'[2]ESF 2022-2021'!$D$11/1000000</f>
        <v>2376.8566700599999</v>
      </c>
      <c r="C71" s="1">
        <f>C48*C18</f>
        <v>2020.3281695509997</v>
      </c>
      <c r="D71" s="1">
        <f t="shared" ref="D71:G71" si="19">D48*D18</f>
        <v>1919.3117610734496</v>
      </c>
      <c r="E71" s="1">
        <f t="shared" si="19"/>
        <v>1938.5048786841842</v>
      </c>
      <c r="F71" s="1">
        <f t="shared" si="19"/>
        <v>1996.6600250447095</v>
      </c>
      <c r="G71" s="1">
        <f t="shared" si="19"/>
        <v>2076.5264260464983</v>
      </c>
      <c r="H71" s="141"/>
      <c r="I71" s="161"/>
    </row>
    <row r="72" spans="1:9" outlineLevel="1" x14ac:dyDescent="0.2">
      <c r="A72" s="4" t="s">
        <v>48</v>
      </c>
      <c r="B72" s="115">
        <f>+'[2]ESF 2022-2021'!$D$17/1000000</f>
        <v>10866.19315399</v>
      </c>
      <c r="C72" s="1">
        <f>C48*C19</f>
        <v>9202.9422998802602</v>
      </c>
      <c r="D72" s="1">
        <f t="shared" ref="D72:G72" si="20">D48*D19</f>
        <v>8742.7951848862449</v>
      </c>
      <c r="E72" s="1">
        <f t="shared" si="20"/>
        <v>8830.2231367351087</v>
      </c>
      <c r="F72" s="1">
        <f t="shared" si="20"/>
        <v>9095.1298308371606</v>
      </c>
      <c r="G72" s="1">
        <f t="shared" si="20"/>
        <v>9458.9350240706499</v>
      </c>
      <c r="H72" s="141"/>
      <c r="I72" s="13"/>
    </row>
    <row r="73" spans="1:9" outlineLevel="1" x14ac:dyDescent="0.2">
      <c r="A73" s="4" t="s">
        <v>49</v>
      </c>
      <c r="B73" s="115">
        <f>+'[2]ESF 2022-2021'!$D$14/1000000</f>
        <v>7901.9150973000005</v>
      </c>
      <c r="C73" s="1">
        <f>C48*C20</f>
        <v>6748.8243532455235</v>
      </c>
      <c r="D73" s="1">
        <f t="shared" ref="D73:G73" si="21">D48*D20</f>
        <v>6411.3831355832463</v>
      </c>
      <c r="E73" s="1">
        <f t="shared" si="21"/>
        <v>6475.4969669390794</v>
      </c>
      <c r="F73" s="1">
        <f t="shared" si="21"/>
        <v>6669.7618759472516</v>
      </c>
      <c r="G73" s="1">
        <f t="shared" si="21"/>
        <v>6936.5523509851428</v>
      </c>
      <c r="H73" s="141"/>
      <c r="I73" s="13"/>
    </row>
    <row r="74" spans="1:9" outlineLevel="1" x14ac:dyDescent="0.2">
      <c r="A74" s="4" t="s">
        <v>166</v>
      </c>
      <c r="B74" s="115">
        <v>0</v>
      </c>
      <c r="C74" s="1">
        <f>C48*C21</f>
        <v>0</v>
      </c>
      <c r="D74" s="1">
        <f t="shared" ref="D74:G74" si="22">D48*D21</f>
        <v>0</v>
      </c>
      <c r="E74" s="1">
        <f t="shared" si="22"/>
        <v>0</v>
      </c>
      <c r="F74" s="1">
        <f t="shared" si="22"/>
        <v>0</v>
      </c>
      <c r="G74" s="1">
        <f t="shared" si="22"/>
        <v>0</v>
      </c>
      <c r="I74" s="13"/>
    </row>
    <row r="75" spans="1:9" outlineLevel="1" x14ac:dyDescent="0.2">
      <c r="A75" s="4" t="s">
        <v>50</v>
      </c>
      <c r="B75" s="115">
        <f>+('[2]ESF 2022-2021'!$D$18+'[2]ESF 2022-2021'!$D$12)/1000000</f>
        <v>4164.8284041300003</v>
      </c>
      <c r="C75" s="1">
        <f>C48*C22</f>
        <v>3834.5592916167752</v>
      </c>
      <c r="D75" s="1">
        <f t="shared" ref="D75:G75" si="23">D48*D22</f>
        <v>3642.8313270359358</v>
      </c>
      <c r="E75" s="1">
        <f t="shared" si="23"/>
        <v>3679.2596403062958</v>
      </c>
      <c r="F75" s="1">
        <f t="shared" si="23"/>
        <v>3789.6374295154842</v>
      </c>
      <c r="G75" s="1">
        <f t="shared" si="23"/>
        <v>3941.222926696104</v>
      </c>
      <c r="H75" s="141"/>
      <c r="I75" s="13"/>
    </row>
    <row r="76" spans="1:9" outlineLevel="1" x14ac:dyDescent="0.2">
      <c r="A76" s="4" t="s">
        <v>167</v>
      </c>
      <c r="B76" s="115">
        <v>0</v>
      </c>
      <c r="C76" s="1">
        <f>C48*C23</f>
        <v>0</v>
      </c>
      <c r="D76" s="1">
        <f t="shared" ref="D76:G76" si="24">D48*D23</f>
        <v>0</v>
      </c>
      <c r="E76" s="1">
        <f t="shared" si="24"/>
        <v>0</v>
      </c>
      <c r="F76" s="1">
        <f t="shared" si="24"/>
        <v>0</v>
      </c>
      <c r="G76" s="1">
        <f t="shared" si="24"/>
        <v>0</v>
      </c>
      <c r="I76" s="13"/>
    </row>
    <row r="77" spans="1:9" outlineLevel="1" x14ac:dyDescent="0.2">
      <c r="A77" s="4" t="s">
        <v>51</v>
      </c>
      <c r="B77" s="115">
        <f>+'[2]ESF 2022-2021'!$D$22/1000000</f>
        <v>9741.9852410799995</v>
      </c>
      <c r="C77" s="1">
        <f t="shared" ref="C77:D80" si="25">C24</f>
        <v>9975.7928867840001</v>
      </c>
      <c r="D77" s="1">
        <f t="shared" si="25"/>
        <v>11085.526608538599</v>
      </c>
      <c r="E77" s="1">
        <f t="shared" ref="E77:G77" si="26">E24</f>
        <v>16531.250278111671</v>
      </c>
      <c r="F77" s="1">
        <f t="shared" si="26"/>
        <v>16696.562780892789</v>
      </c>
      <c r="G77" s="1">
        <f t="shared" si="26"/>
        <v>18197.459664319573</v>
      </c>
      <c r="H77" s="141"/>
      <c r="I77" s="13"/>
    </row>
    <row r="78" spans="1:9" outlineLevel="1" x14ac:dyDescent="0.2">
      <c r="A78" s="4" t="s">
        <v>168</v>
      </c>
      <c r="B78" s="115">
        <v>0</v>
      </c>
      <c r="C78" s="1">
        <f t="shared" si="25"/>
        <v>0</v>
      </c>
      <c r="D78" s="1">
        <f t="shared" si="25"/>
        <v>0</v>
      </c>
      <c r="E78" s="1">
        <f>E25</f>
        <v>0</v>
      </c>
      <c r="F78" s="1">
        <f>F25</f>
        <v>0</v>
      </c>
      <c r="G78" s="1">
        <f>G25</f>
        <v>0</v>
      </c>
      <c r="I78" s="13"/>
    </row>
    <row r="79" spans="1:9" outlineLevel="1" x14ac:dyDescent="0.2">
      <c r="A79" s="4" t="s">
        <v>29</v>
      </c>
      <c r="B79" s="115">
        <f>+('[2]ESF 2022-2021'!$D$23+'[2]ESF 2022-2021'!$D$25)/1000000</f>
        <v>2463.7712090728551</v>
      </c>
      <c r="C79" s="1">
        <f t="shared" si="25"/>
        <v>2522.9017180159999</v>
      </c>
      <c r="D79" s="1">
        <f t="shared" si="25"/>
        <v>2550.6536369141759</v>
      </c>
      <c r="E79" s="1">
        <f t="shared" ref="E79:G79" si="27">E26</f>
        <v>2627.1732460216012</v>
      </c>
      <c r="F79" s="1">
        <f t="shared" si="27"/>
        <v>2705.9884434022492</v>
      </c>
      <c r="G79" s="1">
        <f t="shared" si="27"/>
        <v>2787.1680967043162</v>
      </c>
      <c r="H79" s="141"/>
      <c r="I79" s="161"/>
    </row>
    <row r="80" spans="1:9" outlineLevel="1" x14ac:dyDescent="0.2">
      <c r="A80" s="4" t="s">
        <v>169</v>
      </c>
      <c r="B80" s="115">
        <v>0</v>
      </c>
      <c r="C80" s="1">
        <f t="shared" si="25"/>
        <v>0</v>
      </c>
      <c r="D80" s="1">
        <f t="shared" si="25"/>
        <v>0</v>
      </c>
      <c r="E80" s="1">
        <f>E27</f>
        <v>0</v>
      </c>
      <c r="F80" s="1">
        <f>F27</f>
        <v>0</v>
      </c>
      <c r="G80" s="1">
        <f>G27</f>
        <v>0</v>
      </c>
      <c r="I80" s="13"/>
    </row>
    <row r="81" spans="1:9" ht="15.75" outlineLevel="1" thickBot="1" x14ac:dyDescent="0.25">
      <c r="A81" s="7" t="s">
        <v>10</v>
      </c>
      <c r="B81" s="12">
        <f>SUM(B70:B80)</f>
        <v>37515.549775632855</v>
      </c>
      <c r="C81" s="12">
        <f>SUM(C70:C80)</f>
        <v>37721.423949111202</v>
      </c>
      <c r="D81" s="12">
        <f t="shared" ref="D81:G81" si="28">SUM(D70:D80)</f>
        <v>39526.182287066382</v>
      </c>
      <c r="E81" s="12">
        <f t="shared" si="28"/>
        <v>41965.585342493097</v>
      </c>
      <c r="F81" s="12">
        <f t="shared" si="28"/>
        <v>44673.426248711745</v>
      </c>
      <c r="G81" s="12">
        <f t="shared" si="28"/>
        <v>47588.184949539347</v>
      </c>
      <c r="I81" s="13"/>
    </row>
    <row r="82" spans="1:9" ht="15.75" outlineLevel="1" thickTop="1" x14ac:dyDescent="0.2">
      <c r="A82" s="8"/>
      <c r="B82" s="116"/>
      <c r="C82" s="1"/>
      <c r="D82" s="1"/>
      <c r="E82" s="1"/>
      <c r="F82" s="1"/>
      <c r="G82" s="1"/>
      <c r="I82" s="13"/>
    </row>
    <row r="83" spans="1:9" outlineLevel="1" x14ac:dyDescent="0.2">
      <c r="A83" s="4" t="s">
        <v>52</v>
      </c>
      <c r="B83" s="116"/>
      <c r="C83" s="158"/>
      <c r="D83" s="158"/>
      <c r="E83" s="158"/>
      <c r="F83" s="158"/>
      <c r="G83" s="158"/>
      <c r="I83" s="13"/>
    </row>
    <row r="84" spans="1:9" outlineLevel="1" x14ac:dyDescent="0.2">
      <c r="A84" s="4" t="s">
        <v>53</v>
      </c>
      <c r="B84" s="115">
        <f>+'[2]ESF 2022-2021'!$D$33/1000000</f>
        <v>4480.2190884399997</v>
      </c>
      <c r="C84" s="1">
        <f>C48*C28</f>
        <v>3451.1033624550973</v>
      </c>
      <c r="D84" s="1">
        <f t="shared" ref="D84:G84" si="29">D48*D28</f>
        <v>3278.5481943323421</v>
      </c>
      <c r="E84" s="1">
        <f t="shared" si="29"/>
        <v>3311.3336762756658</v>
      </c>
      <c r="F84" s="1">
        <f t="shared" si="29"/>
        <v>3410.6736865639355</v>
      </c>
      <c r="G84" s="1">
        <f t="shared" si="29"/>
        <v>3547.1006340264935</v>
      </c>
      <c r="H84" s="141"/>
      <c r="I84" s="13"/>
    </row>
    <row r="85" spans="1:9" outlineLevel="1" x14ac:dyDescent="0.2">
      <c r="A85" s="4" t="s">
        <v>54</v>
      </c>
      <c r="B85" s="115">
        <f>+'[2]ESF 2022-2021'!$D$31/1000000</f>
        <v>2157.0790000000002</v>
      </c>
      <c r="C85" s="1">
        <f>C48*C29</f>
        <v>1917.2796458083876</v>
      </c>
      <c r="D85" s="1">
        <f t="shared" ref="D85:G85" si="30">D48*D29</f>
        <v>1821.4156635179679</v>
      </c>
      <c r="E85" s="1">
        <f t="shared" si="30"/>
        <v>1839.6298201531479</v>
      </c>
      <c r="F85" s="1">
        <f t="shared" si="30"/>
        <v>1894.8187147577421</v>
      </c>
      <c r="G85" s="1">
        <f t="shared" si="30"/>
        <v>1970.611463348052</v>
      </c>
      <c r="H85" s="141"/>
      <c r="I85" s="13"/>
    </row>
    <row r="86" spans="1:9" outlineLevel="1" x14ac:dyDescent="0.2">
      <c r="A86" s="4" t="s">
        <v>55</v>
      </c>
      <c r="B86" s="115">
        <f>+'[2]ESF 2022-2021'!$D$35/1000000</f>
        <v>5079.9505171600013</v>
      </c>
      <c r="C86" s="1">
        <f>C48*C30</f>
        <v>4294.7064066107878</v>
      </c>
      <c r="D86" s="1">
        <f t="shared" ref="D86:G86" si="31">D48*D30</f>
        <v>4079.9710862802481</v>
      </c>
      <c r="E86" s="1">
        <f t="shared" si="31"/>
        <v>4120.7707971430509</v>
      </c>
      <c r="F86" s="1">
        <f t="shared" si="31"/>
        <v>4244.3939210573426</v>
      </c>
      <c r="G86" s="1">
        <f t="shared" si="31"/>
        <v>4414.1696778996366</v>
      </c>
      <c r="H86" s="141"/>
      <c r="I86" s="13"/>
    </row>
    <row r="87" spans="1:9" outlineLevel="1" x14ac:dyDescent="0.2">
      <c r="A87" s="4" t="s">
        <v>56</v>
      </c>
      <c r="B87" s="115">
        <f>+'[2]ESF 2022-2021'!$D$34/1000000</f>
        <v>275.80689899999999</v>
      </c>
      <c r="C87" s="1">
        <f>C48*C31</f>
        <v>230.0735574970065</v>
      </c>
      <c r="D87" s="1">
        <f t="shared" ref="D87:G87" si="32">D48*D31</f>
        <v>218.56987962215615</v>
      </c>
      <c r="E87" s="1">
        <f t="shared" si="32"/>
        <v>220.75557841837772</v>
      </c>
      <c r="F87" s="1">
        <f t="shared" si="32"/>
        <v>227.37824577092906</v>
      </c>
      <c r="G87" s="1">
        <f t="shared" si="32"/>
        <v>236.47337560176624</v>
      </c>
      <c r="H87" s="141"/>
      <c r="I87" s="13"/>
    </row>
    <row r="88" spans="1:9" outlineLevel="1" x14ac:dyDescent="0.2">
      <c r="A88" s="4" t="s">
        <v>170</v>
      </c>
      <c r="B88" s="159">
        <v>0</v>
      </c>
      <c r="C88" s="1">
        <f>C48*C32</f>
        <v>0</v>
      </c>
      <c r="D88" s="1">
        <f t="shared" ref="D88:G88" si="33">D48*D32</f>
        <v>0</v>
      </c>
      <c r="E88" s="1">
        <f t="shared" si="33"/>
        <v>0</v>
      </c>
      <c r="F88" s="1">
        <f t="shared" si="33"/>
        <v>0</v>
      </c>
      <c r="G88" s="1">
        <f t="shared" si="33"/>
        <v>0</v>
      </c>
      <c r="I88" s="13"/>
    </row>
    <row r="89" spans="1:9" outlineLevel="1" x14ac:dyDescent="0.2">
      <c r="A89" s="4" t="s">
        <v>57</v>
      </c>
      <c r="B89" s="115">
        <f>+'[2]ESF 2022-2021'!$D$32/1000000</f>
        <v>518.30952201000002</v>
      </c>
      <c r="C89" s="1">
        <f>C48*C33</f>
        <v>383.45592916167749</v>
      </c>
      <c r="D89" s="1">
        <f t="shared" ref="D89:G89" si="34">D48*D33</f>
        <v>364.28313270359359</v>
      </c>
      <c r="E89" s="1">
        <f t="shared" si="34"/>
        <v>367.92596403062953</v>
      </c>
      <c r="F89" s="1">
        <f t="shared" si="34"/>
        <v>378.9637429515484</v>
      </c>
      <c r="G89" s="1">
        <f t="shared" si="34"/>
        <v>394.12229266961043</v>
      </c>
      <c r="I89" s="161"/>
    </row>
    <row r="90" spans="1:9" outlineLevel="1" x14ac:dyDescent="0.2">
      <c r="A90" s="4" t="s">
        <v>171</v>
      </c>
      <c r="B90" s="159">
        <v>0</v>
      </c>
      <c r="C90" s="1">
        <f>C48*C34</f>
        <v>0</v>
      </c>
      <c r="D90" s="1">
        <f t="shared" ref="D90:G90" si="35">D48*D34</f>
        <v>0</v>
      </c>
      <c r="E90" s="1">
        <f t="shared" si="35"/>
        <v>0</v>
      </c>
      <c r="F90" s="1">
        <f t="shared" si="35"/>
        <v>0</v>
      </c>
      <c r="G90" s="1">
        <f t="shared" si="35"/>
        <v>0</v>
      </c>
      <c r="H90" s="141"/>
      <c r="I90" s="13"/>
    </row>
    <row r="91" spans="1:9" outlineLevel="1" x14ac:dyDescent="0.2">
      <c r="A91" s="4" t="s">
        <v>35</v>
      </c>
      <c r="B91" s="115">
        <f>+('[2]ESF 2022-2021'!$D$41+'[2]ESF 2022-2021'!$D$39)/1000000</f>
        <v>2026.70185642</v>
      </c>
      <c r="C91" s="1">
        <f>C35</f>
        <v>2026.70185642</v>
      </c>
      <c r="D91" s="1">
        <f t="shared" ref="D91:G91" si="36">D35</f>
        <v>2026.70185642</v>
      </c>
      <c r="E91" s="1">
        <f t="shared" si="36"/>
        <v>2026.70185642</v>
      </c>
      <c r="F91" s="1">
        <f t="shared" si="36"/>
        <v>2026.70185642</v>
      </c>
      <c r="G91" s="1">
        <f t="shared" si="36"/>
        <v>2026.70185642</v>
      </c>
      <c r="I91" s="13"/>
    </row>
    <row r="92" spans="1:9" outlineLevel="1" x14ac:dyDescent="0.2">
      <c r="A92" t="s">
        <v>162</v>
      </c>
      <c r="B92" s="159">
        <v>0</v>
      </c>
      <c r="C92" s="1">
        <f>C36</f>
        <v>0</v>
      </c>
      <c r="D92" s="1">
        <f>D36</f>
        <v>0</v>
      </c>
      <c r="E92" s="1">
        <f>E36</f>
        <v>0</v>
      </c>
      <c r="F92" s="1">
        <f>F36</f>
        <v>0</v>
      </c>
      <c r="G92" s="1">
        <f>G36</f>
        <v>0</v>
      </c>
      <c r="I92" s="13"/>
    </row>
    <row r="93" spans="1:9" outlineLevel="1" x14ac:dyDescent="0.2">
      <c r="A93" s="4" t="s">
        <v>36</v>
      </c>
      <c r="B93" s="115">
        <f>+('[2]ESF 2022-2021'!$D$40+'[2]ESF 2022-2021'!$D$42)/1000000</f>
        <v>252.99953443999999</v>
      </c>
      <c r="C93" s="1">
        <f>C37</f>
        <v>252.99953443999999</v>
      </c>
      <c r="D93" s="1">
        <f t="shared" ref="D93:G93" si="37">D37</f>
        <v>252.99953443999999</v>
      </c>
      <c r="E93" s="1">
        <f t="shared" si="37"/>
        <v>252.99953443999999</v>
      </c>
      <c r="F93" s="1">
        <f t="shared" si="37"/>
        <v>252.99953443999999</v>
      </c>
      <c r="G93" s="1">
        <f t="shared" si="37"/>
        <v>252.99953443999999</v>
      </c>
      <c r="I93" s="13"/>
    </row>
    <row r="94" spans="1:9" outlineLevel="1" x14ac:dyDescent="0.2">
      <c r="A94" t="s">
        <v>163</v>
      </c>
      <c r="B94" s="159">
        <v>0</v>
      </c>
      <c r="C94" s="1">
        <f>C38</f>
        <v>0</v>
      </c>
      <c r="D94" s="1">
        <f>D38</f>
        <v>0</v>
      </c>
      <c r="E94" s="1">
        <f>E38</f>
        <v>0</v>
      </c>
      <c r="F94" s="1">
        <f>F38</f>
        <v>0</v>
      </c>
      <c r="G94" s="1">
        <f>G38</f>
        <v>0</v>
      </c>
      <c r="I94" s="13"/>
    </row>
    <row r="95" spans="1:9" outlineLevel="1" x14ac:dyDescent="0.2">
      <c r="A95" s="4" t="s">
        <v>11</v>
      </c>
      <c r="B95" s="25">
        <f>+'[2]ESF 2022-2021'!$D$53/1000000</f>
        <v>22724.483358789999</v>
      </c>
      <c r="C95" s="1">
        <f>B95+C63</f>
        <v>25165.103656718245</v>
      </c>
      <c r="D95" s="1">
        <f t="shared" ref="D95:G95" si="38">C95+D63</f>
        <v>27483.692939750079</v>
      </c>
      <c r="E95" s="1">
        <f t="shared" si="38"/>
        <v>29825.468115612231</v>
      </c>
      <c r="F95" s="1">
        <f t="shared" si="38"/>
        <v>32237.496546750248</v>
      </c>
      <c r="G95" s="1">
        <f t="shared" si="38"/>
        <v>34746.006115133787</v>
      </c>
      <c r="I95" s="13"/>
    </row>
    <row r="96" spans="1:9" ht="15.75" outlineLevel="1" thickBot="1" x14ac:dyDescent="0.25">
      <c r="A96" s="7" t="s">
        <v>12</v>
      </c>
      <c r="B96" s="12">
        <f>B81</f>
        <v>37515.549775632855</v>
      </c>
      <c r="C96" s="12">
        <f>C81</f>
        <v>37721.423949111202</v>
      </c>
      <c r="D96" s="12">
        <f t="shared" ref="D96:G96" si="39">D81</f>
        <v>39526.182287066382</v>
      </c>
      <c r="E96" s="12">
        <f t="shared" si="39"/>
        <v>41965.585342493097</v>
      </c>
      <c r="F96" s="12">
        <f t="shared" si="39"/>
        <v>44673.426248711745</v>
      </c>
      <c r="G96" s="12">
        <f t="shared" si="39"/>
        <v>47588.184949539347</v>
      </c>
      <c r="I96" s="13"/>
    </row>
    <row r="97" spans="1:19" ht="15.75" outlineLevel="1" thickTop="1" x14ac:dyDescent="0.2">
      <c r="B97" s="163"/>
      <c r="C97" s="164"/>
      <c r="D97" s="164"/>
      <c r="E97" s="164"/>
      <c r="F97" s="164"/>
      <c r="G97" s="164"/>
      <c r="I97" s="13"/>
    </row>
    <row r="98" spans="1:19" outlineLevel="1" x14ac:dyDescent="0.2">
      <c r="A98" t="s">
        <v>58</v>
      </c>
      <c r="B98" s="25">
        <f>+B99+(746022091/1000000)</f>
        <v>10488.00733208</v>
      </c>
      <c r="C98" s="1">
        <f>C24/(1-C39)</f>
        <v>10739.719507961729</v>
      </c>
      <c r="D98" s="1">
        <f t="shared" ref="D98:G98" si="40">D24/(1-D39)</f>
        <v>11934.434457984416</v>
      </c>
      <c r="E98" s="1">
        <f t="shared" si="40"/>
        <v>17797.180947696015</v>
      </c>
      <c r="F98" s="1">
        <f t="shared" si="40"/>
        <v>17975.152757172978</v>
      </c>
      <c r="G98" s="1">
        <f t="shared" si="40"/>
        <v>19590.985375323304</v>
      </c>
      <c r="I98" s="13"/>
    </row>
    <row r="99" spans="1:19" outlineLevel="1" x14ac:dyDescent="0.2">
      <c r="A99" t="s">
        <v>51</v>
      </c>
      <c r="B99" s="27">
        <f>+B77</f>
        <v>9741.9852410799995</v>
      </c>
      <c r="C99" s="13">
        <f>C24</f>
        <v>9975.7928867840001</v>
      </c>
      <c r="D99" s="13">
        <f t="shared" ref="D99:G99" si="41">D24</f>
        <v>11085.526608538599</v>
      </c>
      <c r="E99" s="13">
        <f t="shared" si="41"/>
        <v>16531.250278111671</v>
      </c>
      <c r="F99" s="13">
        <f t="shared" si="41"/>
        <v>16696.562780892789</v>
      </c>
      <c r="G99" s="13">
        <f t="shared" si="41"/>
        <v>18197.459664319573</v>
      </c>
      <c r="I99" s="13"/>
    </row>
    <row r="100" spans="1:19" outlineLevel="1" x14ac:dyDescent="0.2">
      <c r="A100" s="14" t="s">
        <v>59</v>
      </c>
      <c r="B100" s="15">
        <f t="shared" ref="B100" si="42">B98-B99</f>
        <v>746.02209100000073</v>
      </c>
      <c r="C100" s="15">
        <f>C98-C99</f>
        <v>763.92662117772852</v>
      </c>
      <c r="D100" s="15">
        <f t="shared" ref="D100:G100" si="43">D98-D99</f>
        <v>848.90784944581719</v>
      </c>
      <c r="E100" s="15">
        <f t="shared" si="43"/>
        <v>1265.9306695843443</v>
      </c>
      <c r="F100" s="15">
        <f t="shared" si="43"/>
        <v>1278.5899762801891</v>
      </c>
      <c r="G100" s="15">
        <f t="shared" si="43"/>
        <v>1393.525711003731</v>
      </c>
      <c r="I100" s="13"/>
    </row>
    <row r="101" spans="1:19" outlineLevel="1" x14ac:dyDescent="0.2">
      <c r="B101" s="29"/>
    </row>
    <row r="102" spans="1:19" outlineLevel="1" x14ac:dyDescent="0.2">
      <c r="A102" t="s">
        <v>39</v>
      </c>
      <c r="C102" s="13">
        <f t="shared" ref="C102:G102" si="44">+SUM(C71:C80)</f>
        <v>34305.348719093563</v>
      </c>
      <c r="D102" s="13">
        <f t="shared" si="44"/>
        <v>34352.501654031657</v>
      </c>
      <c r="E102" s="13">
        <f t="shared" si="44"/>
        <v>40081.908146797941</v>
      </c>
      <c r="F102" s="13">
        <f t="shared" si="44"/>
        <v>40953.740385639649</v>
      </c>
      <c r="G102" s="13">
        <f t="shared" si="44"/>
        <v>43397.864488822284</v>
      </c>
      <c r="I102" s="13"/>
    </row>
    <row r="103" spans="1:19" outlineLevel="1" x14ac:dyDescent="0.2">
      <c r="A103" t="s">
        <v>40</v>
      </c>
      <c r="C103" s="13">
        <f t="shared" ref="C103:G103" si="45">+SUM(C84:C95)</f>
        <v>37721.423949111202</v>
      </c>
      <c r="D103" s="13">
        <f t="shared" si="45"/>
        <v>39526.182287066389</v>
      </c>
      <c r="E103" s="13">
        <f t="shared" si="45"/>
        <v>41965.585342493105</v>
      </c>
      <c r="F103" s="13">
        <f t="shared" si="45"/>
        <v>44673.426248711745</v>
      </c>
      <c r="G103" s="13">
        <f t="shared" si="45"/>
        <v>47588.184949539347</v>
      </c>
      <c r="I103" s="13"/>
    </row>
    <row r="104" spans="1:19" ht="15.75" outlineLevel="1" thickBot="1" x14ac:dyDescent="0.25">
      <c r="A104" s="9" t="s">
        <v>41</v>
      </c>
      <c r="B104" s="9"/>
      <c r="C104" s="16">
        <f>+C102-C103</f>
        <v>-3416.0752300176391</v>
      </c>
      <c r="D104" s="16">
        <f>+D102-D103</f>
        <v>-5173.6806330347317</v>
      </c>
      <c r="E104" s="16">
        <f t="shared" ref="E104:G104" si="46">+E102-E103</f>
        <v>-1883.6771956951634</v>
      </c>
      <c r="F104" s="16">
        <f t="shared" si="46"/>
        <v>-3719.6858630720963</v>
      </c>
      <c r="G104" s="16">
        <f t="shared" si="46"/>
        <v>-4190.3204607170628</v>
      </c>
    </row>
    <row r="105" spans="1:19" ht="15.75" outlineLevel="1" thickTop="1" x14ac:dyDescent="0.2">
      <c r="C105" s="13"/>
      <c r="D105" s="13"/>
      <c r="E105" s="13"/>
      <c r="F105" s="13"/>
      <c r="G105" s="13"/>
    </row>
    <row r="107" spans="1:19" x14ac:dyDescent="0.2">
      <c r="A107" s="37" t="s">
        <v>81</v>
      </c>
      <c r="B107" s="37"/>
      <c r="C107" s="37"/>
      <c r="D107" s="37"/>
      <c r="E107" s="37"/>
      <c r="F107" s="37"/>
      <c r="G107" s="37"/>
      <c r="H107" s="37"/>
    </row>
    <row r="108" spans="1:19" outlineLevel="1" x14ac:dyDescent="0.2">
      <c r="C108" s="13"/>
    </row>
    <row r="109" spans="1:19" outlineLevel="1" x14ac:dyDescent="0.2">
      <c r="A109" s="35"/>
      <c r="B109" s="28"/>
      <c r="C109" s="38">
        <f t="shared" ref="C109:G109" si="47">+C$3</f>
        <v>2023</v>
      </c>
      <c r="D109" s="39">
        <f t="shared" si="47"/>
        <v>2024</v>
      </c>
      <c r="E109" s="39">
        <f t="shared" si="47"/>
        <v>2025</v>
      </c>
      <c r="F109" s="39">
        <f t="shared" si="47"/>
        <v>2026</v>
      </c>
      <c r="G109" s="39">
        <f t="shared" si="47"/>
        <v>2027</v>
      </c>
      <c r="I109" s="39"/>
      <c r="J109" s="39"/>
      <c r="K109" s="39"/>
      <c r="L109" s="39"/>
      <c r="M109" s="39"/>
      <c r="O109" s="39"/>
      <c r="P109" s="39"/>
      <c r="Q109" s="39"/>
      <c r="R109" s="39"/>
      <c r="S109" s="39"/>
    </row>
    <row r="110" spans="1:19" ht="3" customHeight="1" outlineLevel="1" x14ac:dyDescent="0.2"/>
    <row r="111" spans="1:19" outlineLevel="1" x14ac:dyDescent="0.2">
      <c r="A111" s="13" t="s">
        <v>0</v>
      </c>
      <c r="C111" s="30">
        <f>C48</f>
        <v>76691.185832335497</v>
      </c>
      <c r="D111" s="30">
        <f t="shared" ref="D111:G111" si="48">D48</f>
        <v>72856.626540718717</v>
      </c>
      <c r="E111" s="30">
        <f t="shared" si="48"/>
        <v>73585.19280612591</v>
      </c>
      <c r="F111" s="30">
        <f t="shared" si="48"/>
        <v>75792.748590309682</v>
      </c>
      <c r="G111" s="30">
        <f t="shared" si="48"/>
        <v>78824.458533922079</v>
      </c>
      <c r="I111" s="13"/>
      <c r="J111" s="13"/>
      <c r="K111" s="13"/>
      <c r="L111" s="13"/>
      <c r="M111" s="13"/>
      <c r="O111" s="13"/>
      <c r="P111" s="13"/>
      <c r="Q111" s="13"/>
      <c r="R111" s="13"/>
      <c r="S111" s="13"/>
    </row>
    <row r="112" spans="1:19" outlineLevel="1" x14ac:dyDescent="0.2">
      <c r="A112" s="13" t="s">
        <v>5</v>
      </c>
      <c r="C112" s="30">
        <f>C49</f>
        <v>59819.124949221688</v>
      </c>
      <c r="D112" s="30">
        <f t="shared" ref="D112:G112" si="49">D49</f>
        <v>56828.168701760602</v>
      </c>
      <c r="E112" s="30">
        <f t="shared" si="49"/>
        <v>57396.450388778212</v>
      </c>
      <c r="F112" s="30">
        <f t="shared" si="49"/>
        <v>59118.343900441556</v>
      </c>
      <c r="G112" s="30">
        <f t="shared" si="49"/>
        <v>61483.077656459223</v>
      </c>
      <c r="I112" s="13"/>
      <c r="J112" s="13"/>
      <c r="K112" s="13"/>
      <c r="L112" s="13"/>
      <c r="M112" s="13"/>
      <c r="O112" s="13"/>
      <c r="P112" s="13"/>
      <c r="Q112" s="13"/>
      <c r="R112" s="13"/>
      <c r="S112" s="13"/>
    </row>
    <row r="113" spans="1:19" outlineLevel="1" x14ac:dyDescent="0.2">
      <c r="A113" s="21" t="s">
        <v>14</v>
      </c>
      <c r="C113" s="31">
        <f>C111-C112</f>
        <v>16872.060883113809</v>
      </c>
      <c r="D113" s="31">
        <f t="shared" ref="D113:G113" si="50">D111-D112</f>
        <v>16028.457838958115</v>
      </c>
      <c r="E113" s="31">
        <f t="shared" si="50"/>
        <v>16188.742417347697</v>
      </c>
      <c r="F113" s="31">
        <f t="shared" si="50"/>
        <v>16674.404689868126</v>
      </c>
      <c r="G113" s="31">
        <f t="shared" si="50"/>
        <v>17341.380877462856</v>
      </c>
      <c r="I113" s="112"/>
      <c r="J113" s="112"/>
      <c r="K113" s="112"/>
      <c r="L113" s="112"/>
      <c r="M113" s="112"/>
      <c r="O113" s="112"/>
      <c r="P113" s="112"/>
      <c r="Q113" s="112"/>
      <c r="R113" s="112"/>
      <c r="S113" s="112"/>
    </row>
    <row r="114" spans="1:19" outlineLevel="1" x14ac:dyDescent="0.2">
      <c r="A114" s="13" t="s">
        <v>42</v>
      </c>
      <c r="C114" s="30">
        <f>C51</f>
        <v>1679.5369697281474</v>
      </c>
      <c r="D114" s="30">
        <f t="shared" ref="D114:G114" si="51">D51</f>
        <v>1595.5601212417398</v>
      </c>
      <c r="E114" s="30">
        <f t="shared" si="51"/>
        <v>1611.5157224541574</v>
      </c>
      <c r="F114" s="30">
        <f t="shared" si="51"/>
        <v>1659.861194127782</v>
      </c>
      <c r="G114" s="30">
        <f t="shared" si="51"/>
        <v>1726.2556418928934</v>
      </c>
      <c r="I114" s="13"/>
      <c r="J114" s="13"/>
      <c r="K114" s="13"/>
      <c r="L114" s="13"/>
      <c r="M114" s="13"/>
      <c r="O114" s="13"/>
      <c r="P114" s="13"/>
      <c r="Q114" s="13"/>
      <c r="R114" s="13"/>
      <c r="S114" s="13"/>
    </row>
    <row r="115" spans="1:19" outlineLevel="1" x14ac:dyDescent="0.2">
      <c r="A115" s="13" t="s">
        <v>43</v>
      </c>
      <c r="C115" s="30">
        <f>C52</f>
        <v>2492.4635395509035</v>
      </c>
      <c r="D115" s="30">
        <f t="shared" ref="D115:G115" si="52">D52</f>
        <v>2367.8403625733586</v>
      </c>
      <c r="E115" s="30">
        <f t="shared" si="52"/>
        <v>2391.5187661990922</v>
      </c>
      <c r="F115" s="30">
        <f t="shared" si="52"/>
        <v>2463.264329185065</v>
      </c>
      <c r="G115" s="30">
        <f t="shared" si="52"/>
        <v>2561.7949023524675</v>
      </c>
      <c r="I115" s="13"/>
      <c r="J115" s="13"/>
      <c r="K115" s="13"/>
      <c r="L115" s="13"/>
      <c r="M115" s="13"/>
      <c r="O115" s="13"/>
      <c r="P115" s="13"/>
      <c r="Q115" s="13"/>
      <c r="R115" s="13"/>
      <c r="S115" s="13"/>
    </row>
    <row r="116" spans="1:19" outlineLevel="1" x14ac:dyDescent="0.2">
      <c r="A116" s="13" t="s">
        <v>44</v>
      </c>
      <c r="C116" s="30">
        <f>C53</f>
        <v>0</v>
      </c>
      <c r="D116" s="30">
        <f t="shared" ref="D116:G116" si="53">D53</f>
        <v>0</v>
      </c>
      <c r="E116" s="30">
        <f t="shared" si="53"/>
        <v>0</v>
      </c>
      <c r="F116" s="30">
        <f t="shared" si="53"/>
        <v>0</v>
      </c>
      <c r="G116" s="30">
        <f t="shared" si="53"/>
        <v>0</v>
      </c>
      <c r="I116" s="13"/>
      <c r="J116" s="13"/>
      <c r="K116" s="13"/>
      <c r="L116" s="13"/>
      <c r="M116" s="13"/>
      <c r="O116" s="13"/>
      <c r="P116" s="13"/>
      <c r="Q116" s="13"/>
      <c r="R116" s="13"/>
      <c r="S116" s="13"/>
    </row>
    <row r="117" spans="1:19" outlineLevel="1" x14ac:dyDescent="0.2">
      <c r="A117" s="21" t="s">
        <v>15</v>
      </c>
      <c r="C117" s="31">
        <f>C113-C114-C115-C116</f>
        <v>12700.060373834758</v>
      </c>
      <c r="D117" s="31">
        <f t="shared" ref="D117:G117" si="54">D113-D114-D115-D116</f>
        <v>12065.057355143015</v>
      </c>
      <c r="E117" s="31">
        <f t="shared" si="54"/>
        <v>12185.707928694446</v>
      </c>
      <c r="F117" s="31">
        <f t="shared" si="54"/>
        <v>12551.27916655528</v>
      </c>
      <c r="G117" s="31">
        <f t="shared" si="54"/>
        <v>13053.330333217495</v>
      </c>
      <c r="I117" s="112"/>
      <c r="J117" s="112"/>
      <c r="K117" s="112"/>
      <c r="L117" s="112"/>
      <c r="M117" s="112"/>
      <c r="O117" s="112"/>
      <c r="P117" s="112"/>
      <c r="Q117" s="112"/>
      <c r="R117" s="112"/>
      <c r="S117" s="112"/>
    </row>
    <row r="118" spans="1:19" outlineLevel="1" x14ac:dyDescent="0.2">
      <c r="A118" s="13" t="s">
        <v>61</v>
      </c>
      <c r="C118" s="30">
        <f>C54*C14</f>
        <v>4445.0211308421649</v>
      </c>
      <c r="D118" s="30">
        <f t="shared" ref="D118:G118" si="55">D54*D14</f>
        <v>4222.7700743000551</v>
      </c>
      <c r="E118" s="30">
        <f t="shared" si="55"/>
        <v>4264.9977750430562</v>
      </c>
      <c r="F118" s="30">
        <f t="shared" si="55"/>
        <v>4392.9477082943476</v>
      </c>
      <c r="G118" s="30">
        <f t="shared" si="55"/>
        <v>4568.6656166261228</v>
      </c>
      <c r="I118" s="13"/>
      <c r="J118" s="13"/>
      <c r="K118" s="13"/>
      <c r="L118" s="13"/>
      <c r="M118" s="13"/>
      <c r="O118" s="13"/>
      <c r="P118" s="13"/>
      <c r="Q118" s="13"/>
      <c r="R118" s="13"/>
      <c r="S118" s="13"/>
    </row>
    <row r="119" spans="1:19" outlineLevel="1" x14ac:dyDescent="0.2">
      <c r="A119" s="21" t="s">
        <v>62</v>
      </c>
      <c r="C119" s="31">
        <f>C117-C118</f>
        <v>8255.0392429925923</v>
      </c>
      <c r="D119" s="31">
        <f t="shared" ref="D119:G119" si="56">D117-D118</f>
        <v>7842.2872808429602</v>
      </c>
      <c r="E119" s="31">
        <f t="shared" si="56"/>
        <v>7920.7101536513901</v>
      </c>
      <c r="F119" s="31">
        <f t="shared" si="56"/>
        <v>8158.3314582609319</v>
      </c>
      <c r="G119" s="31">
        <f t="shared" si="56"/>
        <v>8484.664716591371</v>
      </c>
      <c r="I119" s="112"/>
      <c r="J119" s="112"/>
      <c r="K119" s="112"/>
      <c r="L119" s="112"/>
      <c r="M119" s="112"/>
      <c r="O119" s="112"/>
      <c r="P119" s="112"/>
      <c r="Q119" s="112"/>
      <c r="R119" s="112"/>
      <c r="S119" s="112"/>
    </row>
    <row r="120" spans="1:19" outlineLevel="1" x14ac:dyDescent="0.2">
      <c r="A120" s="13" t="s">
        <v>59</v>
      </c>
      <c r="C120" s="32">
        <f>C100-B100</f>
        <v>17.904530177727793</v>
      </c>
      <c r="D120" s="32">
        <f t="shared" ref="D120:G120" si="57">D100-C100</f>
        <v>84.981228268088671</v>
      </c>
      <c r="E120" s="32">
        <f t="shared" si="57"/>
        <v>417.02282013852709</v>
      </c>
      <c r="F120" s="32">
        <f t="shared" si="57"/>
        <v>12.659306695844862</v>
      </c>
      <c r="G120" s="32">
        <f t="shared" si="57"/>
        <v>114.93573472354183</v>
      </c>
      <c r="I120" s="13"/>
      <c r="J120" s="13"/>
      <c r="K120" s="13"/>
      <c r="L120" s="13"/>
      <c r="M120" s="13"/>
      <c r="O120" s="13"/>
      <c r="P120" s="13"/>
      <c r="Q120" s="13"/>
      <c r="R120" s="13"/>
      <c r="S120" s="13"/>
    </row>
    <row r="121" spans="1:19" outlineLevel="1" x14ac:dyDescent="0.2">
      <c r="A121" s="21" t="s">
        <v>63</v>
      </c>
      <c r="C121" s="21">
        <f>C119+C120</f>
        <v>8272.9437731703201</v>
      </c>
      <c r="D121" s="21">
        <f t="shared" ref="D121:G121" si="58">D119+D120</f>
        <v>7927.2685091110488</v>
      </c>
      <c r="E121" s="21">
        <f t="shared" si="58"/>
        <v>8337.7329737899163</v>
      </c>
      <c r="F121" s="21">
        <f t="shared" si="58"/>
        <v>8170.9907649567767</v>
      </c>
      <c r="G121" s="21">
        <f t="shared" si="58"/>
        <v>8599.6004513149128</v>
      </c>
      <c r="I121" s="112"/>
      <c r="J121" s="112"/>
      <c r="K121" s="112"/>
      <c r="L121" s="112"/>
      <c r="M121" s="112"/>
      <c r="O121" s="112"/>
      <c r="P121" s="112"/>
      <c r="Q121" s="112"/>
      <c r="R121" s="112"/>
      <c r="S121" s="112"/>
    </row>
    <row r="122" spans="1:19" outlineLevel="1" x14ac:dyDescent="0.2">
      <c r="A122" s="13" t="s">
        <v>48</v>
      </c>
      <c r="C122" s="30">
        <f>-(C72-B72)</f>
        <v>1663.2508541097395</v>
      </c>
      <c r="D122" s="30">
        <f t="shared" ref="D122:G122" si="59">-(D72-C72)</f>
        <v>460.14711499401528</v>
      </c>
      <c r="E122" s="30">
        <f t="shared" si="59"/>
        <v>-87.427951848863813</v>
      </c>
      <c r="F122" s="30">
        <f t="shared" si="59"/>
        <v>-264.90669410205192</v>
      </c>
      <c r="G122" s="30">
        <f t="shared" si="59"/>
        <v>-363.80519323348926</v>
      </c>
      <c r="I122" s="13"/>
      <c r="J122" s="13"/>
      <c r="K122" s="13"/>
      <c r="L122" s="13"/>
      <c r="M122" s="13"/>
      <c r="O122" s="13"/>
      <c r="P122" s="13"/>
      <c r="Q122" s="13"/>
      <c r="R122" s="13"/>
      <c r="S122" s="13"/>
    </row>
    <row r="123" spans="1:19" outlineLevel="1" x14ac:dyDescent="0.2">
      <c r="A123" s="13" t="s">
        <v>49</v>
      </c>
      <c r="C123" s="30">
        <f>-(C73-B73)</f>
        <v>1153.090744054477</v>
      </c>
      <c r="D123" s="30">
        <f t="shared" ref="D123:G123" si="60">-(D73-C73)</f>
        <v>337.44121766227727</v>
      </c>
      <c r="E123" s="30">
        <f t="shared" si="60"/>
        <v>-64.113831355833099</v>
      </c>
      <c r="F123" s="30">
        <f t="shared" si="60"/>
        <v>-194.26490900817225</v>
      </c>
      <c r="G123" s="30">
        <f t="shared" si="60"/>
        <v>-266.79047503789116</v>
      </c>
      <c r="I123" s="13"/>
      <c r="J123" s="13"/>
      <c r="K123" s="13"/>
      <c r="L123" s="13"/>
      <c r="M123" s="13"/>
      <c r="O123" s="13"/>
      <c r="P123" s="13"/>
      <c r="Q123" s="13"/>
      <c r="R123" s="13"/>
      <c r="S123" s="13"/>
    </row>
    <row r="124" spans="1:19" outlineLevel="1" x14ac:dyDescent="0.2">
      <c r="A124" s="13" t="s">
        <v>174</v>
      </c>
      <c r="C124" s="30">
        <f>-(C74-B74)</f>
        <v>0</v>
      </c>
      <c r="D124" s="30">
        <f t="shared" ref="D124:G124" si="61">-(D74-C74)</f>
        <v>0</v>
      </c>
      <c r="E124" s="30">
        <f t="shared" si="61"/>
        <v>0</v>
      </c>
      <c r="F124" s="30">
        <f t="shared" si="61"/>
        <v>0</v>
      </c>
      <c r="G124" s="30">
        <f t="shared" si="61"/>
        <v>0</v>
      </c>
      <c r="I124" s="13"/>
      <c r="J124" s="13"/>
      <c r="K124" s="13"/>
      <c r="L124" s="13"/>
      <c r="M124" s="13"/>
      <c r="O124" s="13"/>
      <c r="P124" s="13"/>
      <c r="Q124" s="13"/>
      <c r="R124" s="13"/>
      <c r="S124" s="13"/>
    </row>
    <row r="125" spans="1:19" outlineLevel="1" x14ac:dyDescent="0.2">
      <c r="A125" s="13" t="s">
        <v>53</v>
      </c>
      <c r="C125" s="30">
        <f>C84-B84</f>
        <v>-1029.1157259849024</v>
      </c>
      <c r="D125" s="30">
        <f t="shared" ref="D125:G125" si="62">D84-C84</f>
        <v>-172.55516812275528</v>
      </c>
      <c r="E125" s="30">
        <f t="shared" si="62"/>
        <v>32.785481943323703</v>
      </c>
      <c r="F125" s="30">
        <f t="shared" si="62"/>
        <v>99.340010288269696</v>
      </c>
      <c r="G125" s="30">
        <f t="shared" si="62"/>
        <v>136.42694746255802</v>
      </c>
      <c r="I125" s="13"/>
      <c r="J125" s="13"/>
      <c r="K125" s="13"/>
      <c r="L125" s="13"/>
      <c r="M125" s="13"/>
      <c r="O125" s="13"/>
      <c r="P125" s="13"/>
      <c r="Q125" s="13"/>
      <c r="R125" s="13"/>
      <c r="S125" s="13"/>
    </row>
    <row r="126" spans="1:19" outlineLevel="1" x14ac:dyDescent="0.2">
      <c r="A126" s="13" t="s">
        <v>54</v>
      </c>
      <c r="C126" s="30">
        <f>C85-B85</f>
        <v>-239.79935419161257</v>
      </c>
      <c r="D126" s="30">
        <f t="shared" ref="D126:G126" si="63">D85-C85</f>
        <v>-95.863982290419699</v>
      </c>
      <c r="E126" s="30">
        <f t="shared" si="63"/>
        <v>18.214156635179961</v>
      </c>
      <c r="F126" s="30">
        <f t="shared" si="63"/>
        <v>55.188894604594225</v>
      </c>
      <c r="G126" s="30">
        <f t="shared" si="63"/>
        <v>75.792748590309884</v>
      </c>
      <c r="I126" s="13"/>
      <c r="J126" s="13"/>
      <c r="K126" s="13"/>
      <c r="L126" s="13"/>
      <c r="M126" s="13"/>
      <c r="O126" s="13"/>
      <c r="P126" s="13"/>
      <c r="Q126" s="13"/>
      <c r="R126" s="13"/>
      <c r="S126" s="13"/>
    </row>
    <row r="127" spans="1:19" outlineLevel="1" x14ac:dyDescent="0.2">
      <c r="A127" s="13" t="s">
        <v>55</v>
      </c>
      <c r="C127" s="30">
        <f>C86-B86</f>
        <v>-785.24411054921347</v>
      </c>
      <c r="D127" s="30">
        <f t="shared" ref="D127:G127" si="64">D86-C86</f>
        <v>-214.73532033053971</v>
      </c>
      <c r="E127" s="30">
        <f t="shared" si="64"/>
        <v>40.79971086280284</v>
      </c>
      <c r="F127" s="30">
        <f t="shared" si="64"/>
        <v>123.62312391429168</v>
      </c>
      <c r="G127" s="30">
        <f t="shared" si="64"/>
        <v>169.77575684229396</v>
      </c>
      <c r="I127" s="13"/>
      <c r="J127" s="13"/>
      <c r="K127" s="13"/>
      <c r="L127" s="13"/>
      <c r="M127" s="13"/>
      <c r="O127" s="13"/>
      <c r="P127" s="13"/>
      <c r="Q127" s="13"/>
      <c r="R127" s="13"/>
      <c r="S127" s="13"/>
    </row>
    <row r="128" spans="1:19" outlineLevel="1" x14ac:dyDescent="0.2">
      <c r="A128" s="13" t="s">
        <v>56</v>
      </c>
      <c r="C128" s="30">
        <f>C87-B87</f>
        <v>-45.733341502993483</v>
      </c>
      <c r="D128" s="30">
        <f t="shared" ref="D128:G128" si="65">D87-C87</f>
        <v>-11.503677874850354</v>
      </c>
      <c r="E128" s="30">
        <f t="shared" si="65"/>
        <v>2.1856987962215726</v>
      </c>
      <c r="F128" s="30">
        <f t="shared" si="65"/>
        <v>6.622667352551332</v>
      </c>
      <c r="G128" s="30">
        <f t="shared" si="65"/>
        <v>9.0951298308371804</v>
      </c>
      <c r="I128" s="13"/>
      <c r="J128" s="13"/>
      <c r="K128" s="13"/>
      <c r="L128" s="13"/>
      <c r="M128" s="13"/>
      <c r="O128" s="13"/>
      <c r="P128" s="13"/>
      <c r="Q128" s="13"/>
      <c r="R128" s="13"/>
      <c r="S128" s="13"/>
    </row>
    <row r="129" spans="1:19" outlineLevel="1" x14ac:dyDescent="0.2">
      <c r="A129" s="13" t="s">
        <v>175</v>
      </c>
      <c r="C129" s="30">
        <f>C88-B88</f>
        <v>0</v>
      </c>
      <c r="D129" s="30">
        <f t="shared" ref="D129:G129" si="66">D88-C88</f>
        <v>0</v>
      </c>
      <c r="E129" s="30">
        <f t="shared" si="66"/>
        <v>0</v>
      </c>
      <c r="F129" s="30">
        <f t="shared" si="66"/>
        <v>0</v>
      </c>
      <c r="G129" s="30">
        <f t="shared" si="66"/>
        <v>0</v>
      </c>
      <c r="I129" s="13"/>
      <c r="J129" s="13"/>
      <c r="K129" s="13"/>
      <c r="L129" s="13"/>
      <c r="M129" s="13"/>
      <c r="O129" s="13"/>
      <c r="P129" s="13"/>
      <c r="Q129" s="13"/>
      <c r="R129" s="13"/>
      <c r="S129" s="13"/>
    </row>
    <row r="130" spans="1:19" outlineLevel="1" x14ac:dyDescent="0.2">
      <c r="A130" s="21" t="s">
        <v>64</v>
      </c>
      <c r="C130" s="21">
        <f>SUM(C122:C129)</f>
        <v>716.44906593549467</v>
      </c>
      <c r="D130" s="21">
        <f t="shared" ref="D130:G130" si="67">SUM(D122:D129)</f>
        <v>302.93018403772749</v>
      </c>
      <c r="E130" s="21">
        <f t="shared" si="67"/>
        <v>-57.556734967168836</v>
      </c>
      <c r="F130" s="21">
        <f t="shared" si="67"/>
        <v>-174.39690695051723</v>
      </c>
      <c r="G130" s="21">
        <f t="shared" si="67"/>
        <v>-239.50508554538138</v>
      </c>
      <c r="I130" s="112"/>
      <c r="J130" s="112"/>
      <c r="K130" s="112"/>
      <c r="L130" s="112"/>
      <c r="M130" s="112"/>
      <c r="O130" s="112"/>
      <c r="P130" s="112"/>
      <c r="Q130" s="112"/>
      <c r="R130" s="112"/>
      <c r="S130" s="112"/>
    </row>
    <row r="131" spans="1:19" outlineLevel="1" x14ac:dyDescent="0.2">
      <c r="A131" s="21" t="s">
        <v>65</v>
      </c>
      <c r="C131" s="21">
        <f>C121+C130</f>
        <v>8989.3928391058143</v>
      </c>
      <c r="D131" s="21">
        <f t="shared" ref="D131:G131" si="68">D121+D130</f>
        <v>8230.1986931487772</v>
      </c>
      <c r="E131" s="21">
        <f t="shared" si="68"/>
        <v>8280.1762388227471</v>
      </c>
      <c r="F131" s="21">
        <f t="shared" si="68"/>
        <v>7996.5938580062593</v>
      </c>
      <c r="G131" s="21">
        <f t="shared" si="68"/>
        <v>8360.0953657695318</v>
      </c>
      <c r="I131" s="112"/>
      <c r="J131" s="112"/>
      <c r="K131" s="112"/>
      <c r="L131" s="112"/>
      <c r="M131" s="112"/>
      <c r="O131" s="112"/>
      <c r="P131" s="112"/>
      <c r="Q131" s="112"/>
      <c r="R131" s="112"/>
      <c r="S131" s="112"/>
    </row>
    <row r="132" spans="1:19" outlineLevel="1" x14ac:dyDescent="0.2">
      <c r="A132" s="13" t="s">
        <v>58</v>
      </c>
      <c r="C132" s="32">
        <f>-(C98-B98)</f>
        <v>-251.7121758817284</v>
      </c>
      <c r="D132" s="32">
        <f>-(D98-C98)</f>
        <v>-1194.7149500226878</v>
      </c>
      <c r="E132" s="32">
        <f>-(E98-D98)</f>
        <v>-5862.7464897115988</v>
      </c>
      <c r="F132" s="32">
        <f>-(F98-E98)</f>
        <v>-177.97180947696324</v>
      </c>
      <c r="G132" s="32">
        <f>-(G98-F98)</f>
        <v>-1615.8326181503253</v>
      </c>
      <c r="I132" s="13"/>
      <c r="J132" s="13"/>
      <c r="K132" s="13"/>
      <c r="L132" s="13"/>
      <c r="M132" s="13"/>
      <c r="O132" s="13"/>
      <c r="P132" s="13"/>
      <c r="Q132" s="13"/>
      <c r="R132" s="13"/>
      <c r="S132" s="13"/>
    </row>
    <row r="133" spans="1:19" outlineLevel="1" x14ac:dyDescent="0.2">
      <c r="A133" s="13" t="s">
        <v>176</v>
      </c>
      <c r="C133" s="30">
        <f>-(C80-B80)</f>
        <v>0</v>
      </c>
      <c r="D133" s="30">
        <f>-(D80-C80)</f>
        <v>0</v>
      </c>
      <c r="E133" s="30">
        <f>-(E80-D80)</f>
        <v>0</v>
      </c>
      <c r="F133" s="30">
        <f>-(F80-E80)</f>
        <v>0</v>
      </c>
      <c r="G133" s="30">
        <f>-(G80-F80)</f>
        <v>0</v>
      </c>
      <c r="I133" s="13"/>
      <c r="J133" s="13"/>
      <c r="K133" s="13"/>
      <c r="L133" s="13"/>
      <c r="M133" s="13"/>
      <c r="O133" s="13"/>
      <c r="P133" s="13"/>
      <c r="Q133" s="13"/>
      <c r="R133" s="13"/>
      <c r="S133" s="13"/>
    </row>
    <row r="134" spans="1:19" outlineLevel="1" x14ac:dyDescent="0.2">
      <c r="A134" s="13" t="s">
        <v>177</v>
      </c>
      <c r="C134" s="30">
        <f>C92-B92</f>
        <v>0</v>
      </c>
      <c r="D134" s="30">
        <f>D92-C92</f>
        <v>0</v>
      </c>
      <c r="E134" s="30">
        <f>E92-D92</f>
        <v>0</v>
      </c>
      <c r="F134" s="30">
        <f>F92-E92</f>
        <v>0</v>
      </c>
      <c r="G134" s="30">
        <f>G92-F92</f>
        <v>0</v>
      </c>
      <c r="H134" s="13"/>
      <c r="I134" s="13"/>
      <c r="J134" s="13"/>
      <c r="K134" s="13"/>
      <c r="L134" s="13"/>
      <c r="M134" s="13"/>
      <c r="O134" s="13"/>
      <c r="P134" s="13"/>
      <c r="Q134" s="13"/>
      <c r="R134" s="13"/>
      <c r="S134" s="13"/>
    </row>
    <row r="135" spans="1:19" outlineLevel="1" x14ac:dyDescent="0.2">
      <c r="A135" s="21" t="s">
        <v>66</v>
      </c>
      <c r="C135" s="21">
        <f>SUM(C132:C134)</f>
        <v>-251.7121758817284</v>
      </c>
      <c r="D135" s="21">
        <f>SUM(D132:D134)</f>
        <v>-1194.7149500226878</v>
      </c>
      <c r="E135" s="21">
        <f>SUM(E132:E134)</f>
        <v>-5862.7464897115988</v>
      </c>
      <c r="F135" s="21">
        <f>SUM(F132:F134)</f>
        <v>-177.97180947696324</v>
      </c>
      <c r="G135" s="21">
        <f>SUM(G132:G134)</f>
        <v>-1615.8326181503253</v>
      </c>
      <c r="I135" s="112"/>
      <c r="J135" s="112"/>
      <c r="K135" s="112"/>
      <c r="L135" s="112"/>
      <c r="M135" s="112"/>
      <c r="O135" s="112"/>
      <c r="P135" s="112"/>
      <c r="Q135" s="112"/>
      <c r="R135" s="112"/>
      <c r="S135" s="112"/>
    </row>
    <row r="136" spans="1:19" outlineLevel="1" x14ac:dyDescent="0.2">
      <c r="A136" s="21" t="s">
        <v>67</v>
      </c>
      <c r="C136" s="21">
        <f>C130+C135</f>
        <v>464.73689005376627</v>
      </c>
      <c r="D136" s="21">
        <f t="shared" ref="D136:G136" si="69">D130+D135</f>
        <v>-891.78476598496036</v>
      </c>
      <c r="E136" s="21">
        <f t="shared" si="69"/>
        <v>-5920.3032246787679</v>
      </c>
      <c r="F136" s="21">
        <f t="shared" si="69"/>
        <v>-352.36871642748048</v>
      </c>
      <c r="G136" s="21">
        <f t="shared" si="69"/>
        <v>-1855.3377036957068</v>
      </c>
      <c r="I136" s="112"/>
      <c r="J136" s="112"/>
      <c r="K136" s="112"/>
      <c r="L136" s="112"/>
      <c r="M136" s="112"/>
      <c r="O136" s="112"/>
      <c r="P136" s="112"/>
      <c r="Q136" s="112"/>
      <c r="R136" s="112"/>
      <c r="S136" s="112"/>
    </row>
    <row r="137" spans="1:19" outlineLevel="1" x14ac:dyDescent="0.2">
      <c r="A137" s="21" t="s">
        <v>68</v>
      </c>
      <c r="C137" s="21">
        <f>C121+C136</f>
        <v>8737.6806632240859</v>
      </c>
      <c r="D137" s="21">
        <f t="shared" ref="D137:G137" si="70">D121+D136</f>
        <v>7035.4837431260885</v>
      </c>
      <c r="E137" s="21">
        <f t="shared" si="70"/>
        <v>2417.4297491111483</v>
      </c>
      <c r="F137" s="21">
        <f t="shared" si="70"/>
        <v>7818.6220485292961</v>
      </c>
      <c r="G137" s="21">
        <f t="shared" si="70"/>
        <v>6744.2627476192065</v>
      </c>
      <c r="I137" s="112"/>
      <c r="J137" s="112"/>
      <c r="K137" s="112"/>
      <c r="L137" s="112"/>
      <c r="M137" s="112"/>
      <c r="O137" s="112"/>
      <c r="P137" s="112"/>
      <c r="Q137" s="112"/>
      <c r="R137" s="112"/>
      <c r="S137" s="112"/>
    </row>
    <row r="138" spans="1:19" outlineLevel="1" x14ac:dyDescent="0.2">
      <c r="A138" s="13" t="s">
        <v>164</v>
      </c>
      <c r="C138" s="13">
        <f>-(C55*(1-C$14))</f>
        <v>229.30664563868314</v>
      </c>
      <c r="D138" s="13">
        <f t="shared" ref="D138:G138" si="71">-(D55*(1-D$14))</f>
        <v>217.84131335674897</v>
      </c>
      <c r="E138" s="13">
        <f t="shared" si="71"/>
        <v>220.01972649031649</v>
      </c>
      <c r="F138" s="13">
        <f t="shared" si="71"/>
        <v>226.62031828502597</v>
      </c>
      <c r="G138" s="13">
        <f t="shared" si="71"/>
        <v>235.68513101642702</v>
      </c>
      <c r="I138" s="13"/>
      <c r="J138" s="13"/>
      <c r="K138" s="13"/>
      <c r="L138" s="13"/>
      <c r="M138" s="13"/>
      <c r="O138" s="13"/>
      <c r="P138" s="13"/>
      <c r="Q138" s="13"/>
      <c r="R138" s="13"/>
      <c r="S138" s="13"/>
    </row>
    <row r="139" spans="1:19" outlineLevel="1" x14ac:dyDescent="0.2">
      <c r="A139" s="13" t="s">
        <v>165</v>
      </c>
      <c r="C139" s="13">
        <f>-(C56*(1-C$14))</f>
        <v>-348.94489553712651</v>
      </c>
      <c r="D139" s="13">
        <f t="shared" ref="D139:G139" si="72">-(D56*(1-D$14))</f>
        <v>-331.49765076027018</v>
      </c>
      <c r="E139" s="13">
        <f t="shared" si="72"/>
        <v>-334.81262726787293</v>
      </c>
      <c r="F139" s="13">
        <f t="shared" si="72"/>
        <v>-344.85700608590912</v>
      </c>
      <c r="G139" s="13">
        <f t="shared" si="72"/>
        <v>-358.65128632934551</v>
      </c>
      <c r="I139" s="13"/>
      <c r="J139" s="13"/>
      <c r="K139" s="13"/>
      <c r="L139" s="13"/>
      <c r="M139" s="13"/>
      <c r="O139" s="13"/>
      <c r="P139" s="13"/>
      <c r="Q139" s="13"/>
      <c r="R139" s="13"/>
      <c r="S139" s="13"/>
    </row>
    <row r="140" spans="1:19" outlineLevel="1" x14ac:dyDescent="0.2">
      <c r="A140" s="13" t="s">
        <v>178</v>
      </c>
      <c r="C140" s="13">
        <f>IF(C58*(1-C$14)&lt;0,-C58*(1-C$14),0)</f>
        <v>0</v>
      </c>
      <c r="D140" s="13">
        <f t="shared" ref="D140:G140" si="73">IF(D58*(1-D$14)&lt;0,-D58*(1-D$14),0)</f>
        <v>0</v>
      </c>
      <c r="E140" s="13">
        <f t="shared" si="73"/>
        <v>0</v>
      </c>
      <c r="F140" s="13">
        <f t="shared" si="73"/>
        <v>0</v>
      </c>
      <c r="G140" s="13">
        <f t="shared" si="73"/>
        <v>0</v>
      </c>
      <c r="I140" s="13"/>
      <c r="J140" s="13"/>
      <c r="K140" s="13"/>
      <c r="L140" s="13"/>
      <c r="M140" s="13"/>
      <c r="O140" s="13"/>
      <c r="P140" s="13"/>
      <c r="Q140" s="13"/>
      <c r="R140" s="13"/>
      <c r="S140" s="13"/>
    </row>
    <row r="141" spans="1:19" outlineLevel="1" x14ac:dyDescent="0.2">
      <c r="A141" s="21" t="s">
        <v>75</v>
      </c>
      <c r="C141" s="21">
        <f>SUM(C138:C140)</f>
        <v>-119.63824989844338</v>
      </c>
      <c r="D141" s="21">
        <f t="shared" ref="D141:G141" si="74">SUM(D138:D140)</f>
        <v>-113.65633740352121</v>
      </c>
      <c r="E141" s="21">
        <f t="shared" si="74"/>
        <v>-114.79290077755644</v>
      </c>
      <c r="F141" s="21">
        <f t="shared" si="74"/>
        <v>-118.23668780088315</v>
      </c>
      <c r="G141" s="21">
        <f t="shared" si="74"/>
        <v>-122.96615531291849</v>
      </c>
      <c r="I141" s="112"/>
      <c r="J141" s="112"/>
      <c r="K141" s="112"/>
      <c r="L141" s="112"/>
      <c r="M141" s="112"/>
      <c r="O141" s="112"/>
      <c r="P141" s="112"/>
      <c r="Q141" s="112"/>
      <c r="R141" s="112"/>
      <c r="S141" s="112"/>
    </row>
    <row r="142" spans="1:19" outlineLevel="1" x14ac:dyDescent="0.2">
      <c r="A142" s="13" t="s">
        <v>50</v>
      </c>
      <c r="C142" s="30">
        <f>-(C75-B75)</f>
        <v>330.26911251322508</v>
      </c>
      <c r="D142" s="30">
        <f t="shared" ref="D142:G142" si="75">-(D75-C75)</f>
        <v>191.7279645808394</v>
      </c>
      <c r="E142" s="30">
        <f t="shared" si="75"/>
        <v>-36.428313270359922</v>
      </c>
      <c r="F142" s="30">
        <f t="shared" si="75"/>
        <v>-110.37778920918845</v>
      </c>
      <c r="G142" s="30">
        <f t="shared" si="75"/>
        <v>-151.58549718061977</v>
      </c>
      <c r="I142" s="13"/>
      <c r="J142" s="13"/>
      <c r="K142" s="13"/>
      <c r="L142" s="13"/>
      <c r="M142" s="13"/>
      <c r="O142" s="13"/>
      <c r="P142" s="13"/>
      <c r="Q142" s="13"/>
      <c r="R142" s="13"/>
      <c r="S142" s="13"/>
    </row>
    <row r="143" spans="1:19" outlineLevel="1" x14ac:dyDescent="0.2">
      <c r="A143" s="13" t="s">
        <v>179</v>
      </c>
      <c r="C143" s="30">
        <f>-(C76-B76)</f>
        <v>0</v>
      </c>
      <c r="D143" s="30">
        <f t="shared" ref="D143:G143" si="76">-(D76-C76)</f>
        <v>0</v>
      </c>
      <c r="E143" s="30">
        <f t="shared" si="76"/>
        <v>0</v>
      </c>
      <c r="F143" s="30">
        <f t="shared" si="76"/>
        <v>0</v>
      </c>
      <c r="G143" s="30">
        <f t="shared" si="76"/>
        <v>0</v>
      </c>
      <c r="I143" s="13"/>
      <c r="J143" s="13"/>
      <c r="K143" s="13"/>
      <c r="L143" s="13"/>
      <c r="M143" s="13"/>
      <c r="O143" s="13"/>
      <c r="P143" s="13"/>
      <c r="Q143" s="13"/>
      <c r="R143" s="13"/>
      <c r="S143" s="13"/>
    </row>
    <row r="144" spans="1:19" outlineLevel="1" x14ac:dyDescent="0.2">
      <c r="A144" s="13" t="s">
        <v>57</v>
      </c>
      <c r="C144" s="30">
        <f>C89-B89</f>
        <v>-134.85359284832253</v>
      </c>
      <c r="D144" s="30">
        <f t="shared" ref="D144:G144" si="77">D89-C89</f>
        <v>-19.172796458083894</v>
      </c>
      <c r="E144" s="30">
        <f t="shared" si="77"/>
        <v>3.6428313270359354</v>
      </c>
      <c r="F144" s="30">
        <f t="shared" si="77"/>
        <v>11.037778920918868</v>
      </c>
      <c r="G144" s="30">
        <f t="shared" si="77"/>
        <v>15.158549718062034</v>
      </c>
      <c r="I144" s="13"/>
      <c r="J144" s="13"/>
      <c r="K144" s="13"/>
      <c r="L144" s="13"/>
      <c r="M144" s="13"/>
      <c r="O144" s="13"/>
      <c r="P144" s="13"/>
      <c r="Q144" s="13"/>
      <c r="R144" s="13"/>
      <c r="S144" s="13"/>
    </row>
    <row r="145" spans="1:19" outlineLevel="1" x14ac:dyDescent="0.2">
      <c r="A145" s="13" t="s">
        <v>180</v>
      </c>
      <c r="C145" s="30">
        <f>C90-B90</f>
        <v>0</v>
      </c>
      <c r="D145" s="30">
        <f t="shared" ref="D145:G145" si="78">D90-C90</f>
        <v>0</v>
      </c>
      <c r="E145" s="30">
        <f t="shared" si="78"/>
        <v>0</v>
      </c>
      <c r="F145" s="30">
        <f t="shared" si="78"/>
        <v>0</v>
      </c>
      <c r="G145" s="30">
        <f t="shared" si="78"/>
        <v>0</v>
      </c>
      <c r="I145" s="13"/>
      <c r="J145" s="13"/>
      <c r="K145" s="13"/>
      <c r="L145" s="13"/>
      <c r="M145" s="13"/>
      <c r="O145" s="13"/>
      <c r="P145" s="13"/>
      <c r="Q145" s="13"/>
      <c r="R145" s="13"/>
      <c r="S145" s="13"/>
    </row>
    <row r="146" spans="1:19" outlineLevel="1" x14ac:dyDescent="0.2">
      <c r="A146" s="13" t="s">
        <v>29</v>
      </c>
      <c r="C146" s="30">
        <f>-(C79-B79)</f>
        <v>-59.130508943144832</v>
      </c>
      <c r="D146" s="30">
        <f t="shared" ref="D146:G146" si="79">-(D79-C79)</f>
        <v>-27.751918898175973</v>
      </c>
      <c r="E146" s="30">
        <f t="shared" si="79"/>
        <v>-76.519609107425367</v>
      </c>
      <c r="F146" s="30">
        <f t="shared" si="79"/>
        <v>-78.815197380647987</v>
      </c>
      <c r="G146" s="30">
        <f t="shared" si="79"/>
        <v>-81.179653302066981</v>
      </c>
      <c r="I146" s="13"/>
      <c r="J146" s="13"/>
      <c r="K146" s="13"/>
      <c r="L146" s="13"/>
      <c r="M146" s="13"/>
      <c r="O146" s="13"/>
      <c r="P146" s="13"/>
      <c r="Q146" s="13"/>
      <c r="R146" s="13"/>
      <c r="S146" s="13"/>
    </row>
    <row r="147" spans="1:19" outlineLevel="1" x14ac:dyDescent="0.2">
      <c r="A147" s="13" t="s">
        <v>181</v>
      </c>
      <c r="C147" s="30">
        <f>-(C80-B80)</f>
        <v>0</v>
      </c>
      <c r="D147" s="30">
        <f>-(D80-C80)</f>
        <v>0</v>
      </c>
      <c r="E147" s="30">
        <f>-(E80-D80)</f>
        <v>0</v>
      </c>
      <c r="F147" s="30">
        <f>-(F80-E80)</f>
        <v>0</v>
      </c>
      <c r="G147" s="30">
        <f>-(G80-F80)</f>
        <v>0</v>
      </c>
      <c r="I147" s="13"/>
      <c r="J147" s="13"/>
      <c r="K147" s="13"/>
      <c r="L147" s="13"/>
      <c r="M147" s="13"/>
      <c r="O147" s="13"/>
      <c r="P147" s="13"/>
      <c r="Q147" s="13"/>
      <c r="R147" s="13"/>
      <c r="S147" s="13"/>
    </row>
    <row r="148" spans="1:19" outlineLevel="1" x14ac:dyDescent="0.2">
      <c r="A148" s="13" t="s">
        <v>36</v>
      </c>
      <c r="C148" s="30">
        <f>C93-B93</f>
        <v>0</v>
      </c>
      <c r="D148" s="30">
        <f t="shared" ref="D148" si="80">D93-C93</f>
        <v>0</v>
      </c>
      <c r="E148" s="30">
        <f t="shared" ref="E148" si="81">E93-D93</f>
        <v>0</v>
      </c>
      <c r="F148" s="30">
        <f t="shared" ref="F148" si="82">F93-E93</f>
        <v>0</v>
      </c>
      <c r="G148" s="30">
        <f t="shared" ref="G148" si="83">G93-F93</f>
        <v>0</v>
      </c>
      <c r="I148" s="13"/>
      <c r="J148" s="13"/>
      <c r="K148" s="13"/>
      <c r="L148" s="13"/>
      <c r="M148" s="13"/>
      <c r="O148" s="13"/>
      <c r="P148" s="13"/>
      <c r="Q148" s="13"/>
      <c r="R148" s="13"/>
      <c r="S148" s="13"/>
    </row>
    <row r="149" spans="1:19" outlineLevel="1" x14ac:dyDescent="0.2">
      <c r="A149" s="13" t="s">
        <v>182</v>
      </c>
      <c r="C149" s="30">
        <f t="shared" ref="C149:G149" si="84">C94-B94</f>
        <v>0</v>
      </c>
      <c r="D149" s="30">
        <f t="shared" si="84"/>
        <v>0</v>
      </c>
      <c r="E149" s="30">
        <f t="shared" si="84"/>
        <v>0</v>
      </c>
      <c r="F149" s="30">
        <f t="shared" si="84"/>
        <v>0</v>
      </c>
      <c r="G149" s="30">
        <f t="shared" si="84"/>
        <v>0</v>
      </c>
      <c r="I149" s="13"/>
      <c r="J149" s="13"/>
      <c r="K149" s="13"/>
      <c r="L149" s="13"/>
      <c r="M149" s="13"/>
      <c r="O149" s="13"/>
      <c r="P149" s="13"/>
      <c r="Q149" s="13"/>
      <c r="R149" s="13"/>
      <c r="S149" s="13"/>
    </row>
    <row r="150" spans="1:19" outlineLevel="1" x14ac:dyDescent="0.2">
      <c r="A150" s="21" t="s">
        <v>76</v>
      </c>
      <c r="C150" s="21">
        <f>SUM(C142:C149)</f>
        <v>136.28501072175771</v>
      </c>
      <c r="D150" s="21">
        <f>SUM(D142:D149)</f>
        <v>144.80324922457953</v>
      </c>
      <c r="E150" s="21">
        <f>SUM(E142:E149)</f>
        <v>-109.30509105074935</v>
      </c>
      <c r="F150" s="21">
        <f>SUM(F142:F149)</f>
        <v>-178.15520766891757</v>
      </c>
      <c r="G150" s="21">
        <f>SUM(G142:G149)</f>
        <v>-217.60660076462472</v>
      </c>
      <c r="I150" s="112"/>
      <c r="J150" s="112"/>
      <c r="K150" s="112"/>
      <c r="L150" s="112"/>
      <c r="M150" s="112"/>
      <c r="O150" s="112"/>
      <c r="P150" s="112"/>
      <c r="Q150" s="112"/>
      <c r="R150" s="112"/>
      <c r="S150" s="112"/>
    </row>
    <row r="151" spans="1:19" outlineLevel="1" x14ac:dyDescent="0.2">
      <c r="A151" s="21" t="s">
        <v>71</v>
      </c>
      <c r="C151" s="21">
        <f>C141+C150</f>
        <v>16.646760823314338</v>
      </c>
      <c r="D151" s="21">
        <f>D141+D150</f>
        <v>31.146911821058325</v>
      </c>
      <c r="E151" s="21">
        <f t="shared" ref="E151:G151" si="85">E141+E150</f>
        <v>-224.09799182830579</v>
      </c>
      <c r="F151" s="21">
        <f t="shared" si="85"/>
        <v>-296.39189546980072</v>
      </c>
      <c r="G151" s="21">
        <f t="shared" si="85"/>
        <v>-340.5727560775432</v>
      </c>
      <c r="I151" s="112"/>
      <c r="J151" s="112"/>
      <c r="K151" s="112"/>
      <c r="L151" s="112"/>
      <c r="M151" s="112"/>
      <c r="O151" s="112"/>
      <c r="P151" s="112"/>
      <c r="Q151" s="112"/>
      <c r="R151" s="112"/>
      <c r="S151" s="112"/>
    </row>
    <row r="152" spans="1:19" outlineLevel="1" x14ac:dyDescent="0.2">
      <c r="A152" s="21" t="s">
        <v>72</v>
      </c>
      <c r="C152" s="21">
        <f>C137+C151</f>
        <v>8754.3274240474002</v>
      </c>
      <c r="D152" s="21">
        <f>D137+D151</f>
        <v>7066.6306549471465</v>
      </c>
      <c r="E152" s="21">
        <f t="shared" ref="E152:G152" si="86">E137+E151</f>
        <v>2193.3317572828428</v>
      </c>
      <c r="F152" s="21">
        <f t="shared" si="86"/>
        <v>7522.230153059495</v>
      </c>
      <c r="G152" s="21">
        <f t="shared" si="86"/>
        <v>6403.6899915416634</v>
      </c>
      <c r="I152" s="112"/>
      <c r="J152" s="112"/>
      <c r="K152" s="112"/>
      <c r="L152" s="112"/>
      <c r="M152" s="112"/>
      <c r="O152" s="112"/>
      <c r="P152" s="112"/>
      <c r="Q152" s="112"/>
      <c r="R152" s="112"/>
      <c r="S152" s="112"/>
    </row>
    <row r="153" spans="1:19" outlineLevel="1" x14ac:dyDescent="0.2">
      <c r="A153" s="13" t="s">
        <v>178</v>
      </c>
      <c r="C153" s="13">
        <f>IF(C58*(1-C$14)&lt;0,0,-C58*(1-C$14))</f>
        <v>0</v>
      </c>
      <c r="D153" s="13">
        <f>IF(D58*(1-D$14)&lt;0,0,-D58*(1-D$14))</f>
        <v>0</v>
      </c>
      <c r="E153" s="13">
        <f t="shared" ref="E153:G153" si="87">IF(E58*(1-E$14)&lt;0,0,-E58*(1-E$14))</f>
        <v>0</v>
      </c>
      <c r="F153" s="13">
        <f t="shared" si="87"/>
        <v>0</v>
      </c>
      <c r="G153" s="13">
        <f t="shared" si="87"/>
        <v>0</v>
      </c>
      <c r="I153" s="13"/>
      <c r="J153" s="13"/>
      <c r="K153" s="13"/>
      <c r="L153" s="13"/>
      <c r="M153" s="13"/>
      <c r="O153" s="13"/>
      <c r="P153" s="13"/>
      <c r="Q153" s="13"/>
      <c r="R153" s="13"/>
      <c r="S153" s="13"/>
    </row>
    <row r="154" spans="1:19" outlineLevel="1" x14ac:dyDescent="0.2">
      <c r="A154" s="13" t="s">
        <v>183</v>
      </c>
      <c r="C154" s="13">
        <f>-(C57*(1-C$14))</f>
        <v>0</v>
      </c>
      <c r="D154" s="13">
        <f>-(D57*(1-D$14))</f>
        <v>0</v>
      </c>
      <c r="E154" s="13">
        <f t="shared" ref="E154:G154" si="88">-(E57*(1-E$14))</f>
        <v>0</v>
      </c>
      <c r="F154" s="13">
        <f t="shared" si="88"/>
        <v>0</v>
      </c>
      <c r="G154" s="13">
        <f t="shared" si="88"/>
        <v>0</v>
      </c>
      <c r="I154" s="13"/>
      <c r="J154" s="13"/>
      <c r="K154" s="13"/>
      <c r="L154" s="13"/>
      <c r="M154" s="13"/>
      <c r="O154" s="13"/>
      <c r="P154" s="13"/>
      <c r="Q154" s="13"/>
      <c r="R154" s="13"/>
      <c r="S154" s="13"/>
    </row>
    <row r="155" spans="1:19" outlineLevel="1" x14ac:dyDescent="0.2">
      <c r="A155" s="13" t="s">
        <v>52</v>
      </c>
      <c r="C155" s="32">
        <f>C83-B83</f>
        <v>0</v>
      </c>
      <c r="D155" s="32">
        <f>D83-C83</f>
        <v>0</v>
      </c>
      <c r="E155" s="32">
        <f t="shared" ref="E155:G155" si="89">E83-D83</f>
        <v>0</v>
      </c>
      <c r="F155" s="32">
        <f t="shared" si="89"/>
        <v>0</v>
      </c>
      <c r="G155" s="32">
        <f t="shared" si="89"/>
        <v>0</v>
      </c>
      <c r="I155" s="13"/>
      <c r="J155" s="13"/>
      <c r="K155" s="13"/>
      <c r="L155" s="13"/>
      <c r="M155" s="13"/>
      <c r="O155" s="13"/>
      <c r="P155" s="13"/>
      <c r="Q155" s="13"/>
      <c r="R155" s="13"/>
      <c r="S155" s="13"/>
    </row>
    <row r="156" spans="1:19" outlineLevel="1" x14ac:dyDescent="0.2">
      <c r="A156" s="13" t="s">
        <v>35</v>
      </c>
      <c r="C156" s="32">
        <f>C91-B91</f>
        <v>0</v>
      </c>
      <c r="D156" s="32">
        <f>D91-C91</f>
        <v>0</v>
      </c>
      <c r="E156" s="32">
        <f t="shared" ref="E156:G156" si="90">E91-D91</f>
        <v>0</v>
      </c>
      <c r="F156" s="32">
        <f t="shared" si="90"/>
        <v>0</v>
      </c>
      <c r="G156" s="32">
        <f t="shared" si="90"/>
        <v>0</v>
      </c>
      <c r="I156" s="13"/>
      <c r="J156" s="13"/>
      <c r="K156" s="13"/>
      <c r="L156" s="13"/>
      <c r="M156" s="13"/>
      <c r="O156" s="13"/>
      <c r="P156" s="13"/>
      <c r="Q156" s="13"/>
      <c r="R156" s="13"/>
      <c r="S156" s="13"/>
    </row>
    <row r="157" spans="1:19" outlineLevel="1" x14ac:dyDescent="0.2">
      <c r="A157" s="21" t="s">
        <v>69</v>
      </c>
      <c r="C157" s="15">
        <f>SUM(C153:C156)</f>
        <v>0</v>
      </c>
      <c r="D157" s="15">
        <f>SUM(D153:D156)</f>
        <v>0</v>
      </c>
      <c r="E157" s="15">
        <f t="shared" ref="E157:G157" si="91">SUM(E153:E156)</f>
        <v>0</v>
      </c>
      <c r="F157" s="15">
        <f t="shared" si="91"/>
        <v>0</v>
      </c>
      <c r="G157" s="15">
        <f t="shared" si="91"/>
        <v>0</v>
      </c>
      <c r="I157" s="13"/>
      <c r="J157" s="13"/>
      <c r="K157" s="13"/>
      <c r="L157" s="13"/>
      <c r="M157" s="13"/>
      <c r="O157" s="13"/>
      <c r="P157" s="13"/>
      <c r="Q157" s="13"/>
      <c r="R157" s="13"/>
      <c r="S157" s="13"/>
    </row>
    <row r="158" spans="1:19" outlineLevel="1" x14ac:dyDescent="0.2">
      <c r="A158" s="21" t="s">
        <v>70</v>
      </c>
      <c r="C158" s="21">
        <f>C152+C157</f>
        <v>8754.3274240474002</v>
      </c>
      <c r="D158" s="21">
        <f>D152+D157</f>
        <v>7066.6306549471465</v>
      </c>
      <c r="E158" s="21">
        <f t="shared" ref="E158:G158" si="92">E152+E157</f>
        <v>2193.3317572828428</v>
      </c>
      <c r="F158" s="21">
        <f t="shared" si="92"/>
        <v>7522.230153059495</v>
      </c>
      <c r="G158" s="21">
        <f t="shared" si="92"/>
        <v>6403.6899915416634</v>
      </c>
      <c r="I158" s="112"/>
      <c r="J158" s="112"/>
      <c r="K158" s="112"/>
      <c r="L158" s="112"/>
      <c r="M158" s="112"/>
      <c r="O158" s="112"/>
      <c r="P158" s="112"/>
      <c r="Q158" s="112"/>
      <c r="R158" s="112"/>
      <c r="S158" s="112"/>
    </row>
    <row r="159" spans="1:19" ht="3.75" customHeight="1" outlineLevel="1" x14ac:dyDescent="0.2"/>
    <row r="160" spans="1:19" outlineLevel="1" x14ac:dyDescent="0.2">
      <c r="A160" s="13" t="s">
        <v>3</v>
      </c>
      <c r="C160" s="30">
        <f>-C62</f>
        <v>-5694.7806951659049</v>
      </c>
      <c r="D160" s="30">
        <f>-D62</f>
        <v>-5410.0416604076072</v>
      </c>
      <c r="E160" s="30">
        <f t="shared" ref="E160:G160" si="93">-E62</f>
        <v>-5464.1420770116838</v>
      </c>
      <c r="F160" s="30">
        <f t="shared" si="93"/>
        <v>-5628.0663393220339</v>
      </c>
      <c r="G160" s="30">
        <f t="shared" si="93"/>
        <v>-5853.1889928949158</v>
      </c>
      <c r="I160" s="13"/>
      <c r="J160" s="13"/>
      <c r="K160" s="13"/>
      <c r="L160" s="13"/>
      <c r="M160" s="13"/>
      <c r="O160" s="13"/>
      <c r="P160" s="13"/>
      <c r="Q160" s="13"/>
      <c r="R160" s="13"/>
      <c r="S160" s="13"/>
    </row>
    <row r="161" spans="1:19" outlineLevel="1" x14ac:dyDescent="0.2">
      <c r="A161" s="21" t="s">
        <v>73</v>
      </c>
      <c r="C161" s="21">
        <f>C160</f>
        <v>-5694.7806951659049</v>
      </c>
      <c r="D161" s="21">
        <f>D160</f>
        <v>-5410.0416604076072</v>
      </c>
      <c r="E161" s="21">
        <f t="shared" ref="E161:G161" si="94">E160</f>
        <v>-5464.1420770116838</v>
      </c>
      <c r="F161" s="21">
        <f t="shared" si="94"/>
        <v>-5628.0663393220339</v>
      </c>
      <c r="G161" s="21">
        <f t="shared" si="94"/>
        <v>-5853.1889928949158</v>
      </c>
      <c r="I161" s="112"/>
      <c r="J161" s="112"/>
      <c r="K161" s="112"/>
      <c r="L161" s="112"/>
      <c r="M161" s="112"/>
      <c r="O161" s="112"/>
      <c r="P161" s="112"/>
      <c r="Q161" s="112"/>
      <c r="R161" s="112"/>
      <c r="S161" s="112"/>
    </row>
    <row r="162" spans="1:19" ht="3.75" customHeight="1" outlineLevel="1" x14ac:dyDescent="0.2"/>
    <row r="163" spans="1:19" outlineLevel="1" x14ac:dyDescent="0.2">
      <c r="A163" s="20" t="s">
        <v>77</v>
      </c>
      <c r="C163" s="21">
        <f>C158+C161</f>
        <v>3059.5467288814953</v>
      </c>
      <c r="D163" s="21">
        <f>D158+D161</f>
        <v>1656.5889945395393</v>
      </c>
      <c r="E163" s="21">
        <f t="shared" ref="E163:G163" si="95">E158+E161</f>
        <v>-3270.810319728841</v>
      </c>
      <c r="F163" s="21">
        <f t="shared" si="95"/>
        <v>1894.1638137374612</v>
      </c>
      <c r="G163" s="21">
        <f t="shared" si="95"/>
        <v>550.50099864674758</v>
      </c>
      <c r="I163" s="112"/>
      <c r="J163" s="112"/>
      <c r="K163" s="112"/>
      <c r="L163" s="112"/>
      <c r="M163" s="112"/>
      <c r="O163" s="112"/>
      <c r="P163" s="112"/>
      <c r="Q163" s="112"/>
      <c r="R163" s="112"/>
      <c r="S163" s="112"/>
    </row>
    <row r="164" spans="1:19" ht="3" customHeight="1" outlineLevel="1" x14ac:dyDescent="0.2">
      <c r="A164" s="23"/>
      <c r="C164" s="24"/>
      <c r="D164" s="24"/>
      <c r="E164" s="24"/>
      <c r="F164" s="24"/>
      <c r="G164" s="24"/>
    </row>
    <row r="165" spans="1:19" outlineLevel="1" x14ac:dyDescent="0.2">
      <c r="A165" s="33" t="s">
        <v>74</v>
      </c>
      <c r="C165" s="34">
        <f>C152+C157+C161-C163</f>
        <v>0</v>
      </c>
      <c r="D165" s="34">
        <f>D152+D157+D161-D163</f>
        <v>0</v>
      </c>
      <c r="E165" s="34">
        <f t="shared" ref="E165:G165" si="96">E152+E157+E161-E163</f>
        <v>0</v>
      </c>
      <c r="F165" s="34">
        <f t="shared" si="96"/>
        <v>0</v>
      </c>
      <c r="G165" s="34">
        <f t="shared" si="96"/>
        <v>0</v>
      </c>
    </row>
    <row r="166" spans="1:19" outlineLevel="1" x14ac:dyDescent="0.2">
      <c r="A166" s="33" t="s">
        <v>74</v>
      </c>
      <c r="C166" s="160">
        <f>(C70+C71)-(B70+B71)-C163</f>
        <v>6.2714343584957533E-7</v>
      </c>
      <c r="D166" s="34">
        <f>(D70+D71)-(C70+C71)-D163</f>
        <v>3.637978807091713E-12</v>
      </c>
      <c r="E166" s="34">
        <f>(E70+E71)-(D70+D71)-E163</f>
        <v>7.2759576141834259E-12</v>
      </c>
      <c r="F166" s="34">
        <f>(F70+F71)-(E70+E71)-F163</f>
        <v>-2.7284841053187847E-12</v>
      </c>
      <c r="G166" s="34">
        <f>(G70+G71)-(F70+F71)-G163</f>
        <v>7.2759576141834259E-12</v>
      </c>
    </row>
    <row r="167" spans="1:19" outlineLevel="1" x14ac:dyDescent="0.2">
      <c r="D167" s="162"/>
    </row>
    <row r="169" spans="1:19" x14ac:dyDescent="0.2">
      <c r="A169" s="37" t="s">
        <v>83</v>
      </c>
      <c r="B169" s="37"/>
      <c r="C169" s="37"/>
      <c r="D169" s="37"/>
      <c r="E169" s="37"/>
      <c r="F169" s="37"/>
      <c r="G169" s="37"/>
      <c r="H169" s="37"/>
    </row>
    <row r="170" spans="1:19" outlineLevel="1" x14ac:dyDescent="0.2"/>
    <row r="171" spans="1:19" outlineLevel="1" x14ac:dyDescent="0.2">
      <c r="A171" s="66" t="s">
        <v>93</v>
      </c>
      <c r="B171" s="67"/>
      <c r="C171" s="67"/>
      <c r="D171" s="67"/>
      <c r="E171" s="67"/>
      <c r="F171" s="67"/>
      <c r="G171" s="67"/>
      <c r="H171" s="67"/>
    </row>
    <row r="172" spans="1:19" outlineLevel="2" x14ac:dyDescent="0.2"/>
    <row r="173" spans="1:19" outlineLevel="2" x14ac:dyDescent="0.2">
      <c r="A173" s="73" t="s">
        <v>143</v>
      </c>
      <c r="B173" s="74"/>
      <c r="C173" s="74"/>
      <c r="D173" s="74"/>
      <c r="E173" s="74"/>
      <c r="F173" s="74"/>
      <c r="G173" s="74"/>
      <c r="H173" s="74"/>
    </row>
    <row r="174" spans="1:19" outlineLevel="2" x14ac:dyDescent="0.2">
      <c r="A174" t="s">
        <v>84</v>
      </c>
      <c r="B174" s="78">
        <f>$G$6</f>
        <v>0.03</v>
      </c>
    </row>
    <row r="175" spans="1:19" outlineLevel="2" x14ac:dyDescent="0.2">
      <c r="A175" t="s">
        <v>85</v>
      </c>
      <c r="B175" s="114">
        <f>$G$40</f>
        <v>0.18149999999999999</v>
      </c>
    </row>
    <row r="176" spans="1:19" outlineLevel="2" x14ac:dyDescent="0.2"/>
    <row r="177" spans="1:8" outlineLevel="2" x14ac:dyDescent="0.2">
      <c r="B177" s="28">
        <f t="shared" ref="B177:G177" si="97">+B$3</f>
        <v>2022</v>
      </c>
      <c r="C177" s="38">
        <f t="shared" si="97"/>
        <v>2023</v>
      </c>
      <c r="D177" s="39">
        <f t="shared" si="97"/>
        <v>2024</v>
      </c>
      <c r="E177" s="39">
        <f t="shared" si="97"/>
        <v>2025</v>
      </c>
      <c r="F177" s="39">
        <f t="shared" si="97"/>
        <v>2026</v>
      </c>
      <c r="G177" s="39">
        <f t="shared" si="97"/>
        <v>2027</v>
      </c>
      <c r="H177" s="63" t="s">
        <v>86</v>
      </c>
    </row>
    <row r="178" spans="1:8" outlineLevel="2" x14ac:dyDescent="0.2">
      <c r="B178" s="72">
        <f>DATE(B177,12,31)</f>
        <v>44926</v>
      </c>
      <c r="C178" s="72">
        <f>DATE((B177+1),12,31)</f>
        <v>45291</v>
      </c>
      <c r="D178" s="72">
        <f t="shared" ref="D178:G178" si="98">DATE((C177+1),12,31)</f>
        <v>45657</v>
      </c>
      <c r="E178" s="72">
        <f t="shared" si="98"/>
        <v>46022</v>
      </c>
      <c r="F178" s="72">
        <f t="shared" si="98"/>
        <v>46387</v>
      </c>
      <c r="G178" s="72">
        <f t="shared" si="98"/>
        <v>46752</v>
      </c>
      <c r="H178" s="72">
        <f>G178</f>
        <v>46752</v>
      </c>
    </row>
    <row r="179" spans="1:8" outlineLevel="2" x14ac:dyDescent="0.2">
      <c r="B179" s="28"/>
      <c r="C179" s="39"/>
      <c r="D179" s="39"/>
      <c r="E179" s="39"/>
      <c r="F179" s="39"/>
      <c r="G179" s="39"/>
      <c r="H179" s="63"/>
    </row>
    <row r="180" spans="1:8" outlineLevel="2" x14ac:dyDescent="0.2">
      <c r="A180" t="s">
        <v>127</v>
      </c>
      <c r="B180" s="27">
        <v>0</v>
      </c>
      <c r="C180" s="30">
        <f>C137</f>
        <v>8737.6806632240859</v>
      </c>
      <c r="D180" s="30">
        <f t="shared" ref="D180:G180" si="99">D137</f>
        <v>7035.4837431260885</v>
      </c>
      <c r="E180" s="30">
        <f t="shared" si="99"/>
        <v>2417.4297491111483</v>
      </c>
      <c r="F180" s="30">
        <f t="shared" si="99"/>
        <v>7818.6220485292961</v>
      </c>
      <c r="G180" s="30">
        <f t="shared" si="99"/>
        <v>6744.2627476192065</v>
      </c>
      <c r="H180" s="32">
        <f>G180*(1+$B$174)/($B$175-$B$174)</f>
        <v>45852.083366652034</v>
      </c>
    </row>
    <row r="181" spans="1:8" outlineLevel="2" x14ac:dyDescent="0.2">
      <c r="A181" t="s">
        <v>130</v>
      </c>
      <c r="B181" s="27"/>
      <c r="C181" s="13"/>
      <c r="D181" s="13"/>
      <c r="E181" s="13"/>
      <c r="F181" s="13"/>
      <c r="G181" s="32">
        <f>H180</f>
        <v>45852.083366652034</v>
      </c>
      <c r="H181" s="13"/>
    </row>
    <row r="182" spans="1:8" outlineLevel="2" x14ac:dyDescent="0.2">
      <c r="A182" s="20" t="s">
        <v>128</v>
      </c>
      <c r="B182" s="56"/>
      <c r="C182" s="31">
        <f t="shared" ref="C182:F182" si="100">C180+C181</f>
        <v>8737.6806632240859</v>
      </c>
      <c r="D182" s="31">
        <f t="shared" si="100"/>
        <v>7035.4837431260885</v>
      </c>
      <c r="E182" s="31">
        <f t="shared" si="100"/>
        <v>2417.4297491111483</v>
      </c>
      <c r="F182" s="31">
        <f t="shared" si="100"/>
        <v>7818.6220485292961</v>
      </c>
      <c r="G182" s="31">
        <f>G180+G181</f>
        <v>52596.34611427124</v>
      </c>
      <c r="H182" s="13"/>
    </row>
    <row r="183" spans="1:8" outlineLevel="2" x14ac:dyDescent="0.2">
      <c r="B183" s="27"/>
      <c r="C183" s="13"/>
      <c r="D183" s="13"/>
      <c r="E183" s="13"/>
      <c r="F183" s="13"/>
      <c r="G183" s="13"/>
      <c r="H183" s="13"/>
    </row>
    <row r="184" spans="1:8" outlineLevel="2" x14ac:dyDescent="0.2">
      <c r="A184" t="s">
        <v>129</v>
      </c>
      <c r="B184" s="27">
        <v>0</v>
      </c>
      <c r="C184" s="30">
        <f>C151</f>
        <v>16.646760823314338</v>
      </c>
      <c r="D184" s="30">
        <f t="shared" ref="D184:G184" si="101">D151</f>
        <v>31.146911821058325</v>
      </c>
      <c r="E184" s="30">
        <f t="shared" si="101"/>
        <v>-224.09799182830579</v>
      </c>
      <c r="F184" s="30">
        <f t="shared" si="101"/>
        <v>-296.39189546980072</v>
      </c>
      <c r="G184" s="30">
        <f t="shared" si="101"/>
        <v>-340.5727560775432</v>
      </c>
      <c r="H184" s="32">
        <f>G184*(1+$B$174)/($B$175-$B$174)</f>
        <v>-2315.4451403291719</v>
      </c>
    </row>
    <row r="185" spans="1:8" outlineLevel="2" x14ac:dyDescent="0.2">
      <c r="A185" t="s">
        <v>131</v>
      </c>
      <c r="G185" s="32">
        <f>H184</f>
        <v>-2315.4451403291719</v>
      </c>
    </row>
    <row r="186" spans="1:8" outlineLevel="2" x14ac:dyDescent="0.2">
      <c r="A186" s="20" t="s">
        <v>132</v>
      </c>
      <c r="B186" s="56"/>
      <c r="C186" s="31">
        <f t="shared" ref="C186:F186" si="102">C184+C185</f>
        <v>16.646760823314338</v>
      </c>
      <c r="D186" s="31">
        <f t="shared" si="102"/>
        <v>31.146911821058325</v>
      </c>
      <c r="E186" s="31">
        <f t="shared" si="102"/>
        <v>-224.09799182830579</v>
      </c>
      <c r="F186" s="31">
        <f t="shared" si="102"/>
        <v>-296.39189546980072</v>
      </c>
      <c r="G186" s="31">
        <f>G184+G185</f>
        <v>-2656.017896406715</v>
      </c>
      <c r="H186" s="13"/>
    </row>
    <row r="187" spans="1:8" outlineLevel="2" x14ac:dyDescent="0.2">
      <c r="B187" s="27"/>
      <c r="C187" s="13"/>
      <c r="D187" s="13"/>
      <c r="E187" s="13"/>
      <c r="F187" s="13"/>
      <c r="G187" s="13"/>
      <c r="H187" s="13"/>
    </row>
    <row r="188" spans="1:8" outlineLevel="2" x14ac:dyDescent="0.2">
      <c r="A188" t="s">
        <v>87</v>
      </c>
      <c r="B188" s="30">
        <f>NPV($B$175,C182:G182)</f>
        <v>40758.187971077401</v>
      </c>
      <c r="C188" s="80">
        <f>B188/$B$190</f>
        <v>1.0357073660920417</v>
      </c>
    </row>
    <row r="189" spans="1:8" outlineLevel="2" x14ac:dyDescent="0.2">
      <c r="A189" t="s">
        <v>88</v>
      </c>
      <c r="B189" s="32">
        <f>NPV($B$175,C186:G186)</f>
        <v>-1405.1918396824244</v>
      </c>
      <c r="C189" s="80">
        <f>B189/$B$190</f>
        <v>-3.5707366092041781E-2</v>
      </c>
    </row>
    <row r="190" spans="1:8" outlineLevel="2" x14ac:dyDescent="0.2">
      <c r="A190" s="20" t="s">
        <v>89</v>
      </c>
      <c r="B190" s="31">
        <f>B188+B189</f>
        <v>39352.996131394975</v>
      </c>
      <c r="C190" s="81">
        <f>C188+C189</f>
        <v>1</v>
      </c>
    </row>
    <row r="191" spans="1:8" outlineLevel="2" x14ac:dyDescent="0.2">
      <c r="A191" t="s">
        <v>90</v>
      </c>
      <c r="B191" s="32">
        <f>B71</f>
        <v>2376.8566700599999</v>
      </c>
    </row>
    <row r="192" spans="1:8" outlineLevel="2" x14ac:dyDescent="0.2">
      <c r="A192" t="s">
        <v>91</v>
      </c>
      <c r="B192" s="30">
        <f>B91</f>
        <v>2026.70185642</v>
      </c>
    </row>
    <row r="193" spans="1:8" outlineLevel="2" x14ac:dyDescent="0.2">
      <c r="A193" s="14" t="s">
        <v>92</v>
      </c>
      <c r="B193" s="79">
        <f>B190+B191-B192</f>
        <v>39703.150945034977</v>
      </c>
      <c r="C193" s="161">
        <f>+B193/C119</f>
        <v>4.8095653789577755</v>
      </c>
    </row>
    <row r="194" spans="1:8" outlineLevel="2" x14ac:dyDescent="0.2">
      <c r="B194" s="13"/>
    </row>
    <row r="195" spans="1:8" outlineLevel="2" x14ac:dyDescent="0.2">
      <c r="A195" s="73" t="s">
        <v>141</v>
      </c>
      <c r="B195" s="75"/>
      <c r="C195" s="74"/>
      <c r="D195" s="74"/>
      <c r="E195" s="74"/>
      <c r="F195" s="74"/>
      <c r="G195" s="74"/>
      <c r="H195" s="74"/>
    </row>
    <row r="196" spans="1:8" outlineLevel="2" x14ac:dyDescent="0.2">
      <c r="C196" s="172" t="s">
        <v>153</v>
      </c>
      <c r="D196" s="172"/>
      <c r="E196" s="172"/>
      <c r="F196" s="172"/>
      <c r="G196" s="172"/>
    </row>
    <row r="197" spans="1:8" ht="20.25" customHeight="1" outlineLevel="2" x14ac:dyDescent="0.2">
      <c r="C197" s="173" t="s">
        <v>94</v>
      </c>
      <c r="D197" s="173"/>
      <c r="E197" s="173"/>
      <c r="F197" s="173"/>
      <c r="G197" s="173"/>
    </row>
    <row r="198" spans="1:8" outlineLevel="2" x14ac:dyDescent="0.2">
      <c r="B198" s="30">
        <f>B190</f>
        <v>39352.996131394975</v>
      </c>
      <c r="C198" s="82">
        <v>0.01</v>
      </c>
      <c r="D198" s="83">
        <f>C198+0.01</f>
        <v>0.02</v>
      </c>
      <c r="E198" s="83">
        <f>D198+0.01</f>
        <v>0.03</v>
      </c>
      <c r="F198" s="83">
        <f>E198+0.01</f>
        <v>0.04</v>
      </c>
      <c r="G198" s="83">
        <f>F198+0.01</f>
        <v>0.05</v>
      </c>
    </row>
    <row r="199" spans="1:8" outlineLevel="2" x14ac:dyDescent="0.2">
      <c r="A199" s="171" t="s">
        <v>95</v>
      </c>
      <c r="B199" s="84">
        <v>0.16</v>
      </c>
      <c r="C199" s="13">
        <f t="dataTable" ref="C199:G203" dt2D="1" dtr="1" r1="B174" r2="B175"/>
        <v>41936.133803016484</v>
      </c>
      <c r="D199" s="13">
        <v>43620.277124880653</v>
      </c>
      <c r="E199" s="94">
        <v>45563.519419339304</v>
      </c>
      <c r="F199" s="94">
        <v>47830.635429541078</v>
      </c>
      <c r="G199" s="45">
        <v>50509.954350688618</v>
      </c>
    </row>
    <row r="200" spans="1:8" outlineLevel="2" x14ac:dyDescent="0.2">
      <c r="A200" s="171"/>
      <c r="B200" s="85">
        <f>B199+0.01</f>
        <v>0.17</v>
      </c>
      <c r="C200" s="13">
        <v>39386.600044291779</v>
      </c>
      <c r="D200" s="13">
        <v>40810.487324648624</v>
      </c>
      <c r="E200" s="94">
        <v>42437.787073627864</v>
      </c>
      <c r="F200" s="94">
        <v>44315.440630142373</v>
      </c>
      <c r="G200" s="13">
        <v>46506.036446075974</v>
      </c>
    </row>
    <row r="201" spans="1:8" outlineLevel="2" x14ac:dyDescent="0.2">
      <c r="A201" s="171"/>
      <c r="B201" s="85">
        <f t="shared" ref="B201:B203" si="103">B200+0.01</f>
        <v>0.18000000000000002</v>
      </c>
      <c r="C201" s="13">
        <v>37138.007454199673</v>
      </c>
      <c r="D201" s="13">
        <v>38352.328063596375</v>
      </c>
      <c r="E201" s="94">
        <v>39728.558087579288</v>
      </c>
      <c r="F201" s="94">
        <v>41301.392400702636</v>
      </c>
      <c r="G201" s="13">
        <v>43116.201223537268</v>
      </c>
    </row>
    <row r="202" spans="1:8" outlineLevel="2" x14ac:dyDescent="0.2">
      <c r="A202" s="171"/>
      <c r="B202" s="85">
        <f t="shared" si="103"/>
        <v>0.19000000000000003</v>
      </c>
      <c r="C202" s="13">
        <v>35140.109672937491</v>
      </c>
      <c r="D202" s="13">
        <v>36183.678330612434</v>
      </c>
      <c r="E202" s="94">
        <v>37357.693070496745</v>
      </c>
      <c r="F202" s="94">
        <v>38688.243109032308</v>
      </c>
      <c r="G202" s="13">
        <v>40208.871724501514</v>
      </c>
    </row>
    <row r="203" spans="1:8" outlineLevel="2" x14ac:dyDescent="0.2">
      <c r="A203" s="171"/>
      <c r="B203" s="85">
        <f t="shared" si="103"/>
        <v>0.20000000000000004</v>
      </c>
      <c r="C203" s="45">
        <v>33353.243503137783</v>
      </c>
      <c r="D203" s="13">
        <v>34256.225743750721</v>
      </c>
      <c r="E203" s="13">
        <v>35265.441189141653</v>
      </c>
      <c r="F203" s="13">
        <v>36400.808565206455</v>
      </c>
      <c r="G203" s="13">
        <v>37687.558258079887</v>
      </c>
    </row>
    <row r="204" spans="1:8" outlineLevel="2" x14ac:dyDescent="0.2">
      <c r="A204" s="111"/>
      <c r="B204" s="40"/>
      <c r="C204" s="13"/>
      <c r="D204" s="13"/>
      <c r="E204" s="13"/>
      <c r="F204" s="13"/>
      <c r="G204" s="13"/>
    </row>
    <row r="205" spans="1:8" outlineLevel="2" x14ac:dyDescent="0.2">
      <c r="A205" s="111"/>
      <c r="B205" s="40"/>
      <c r="C205" s="13"/>
      <c r="D205" s="13"/>
      <c r="E205" s="13"/>
      <c r="F205" s="13"/>
      <c r="G205" s="13"/>
    </row>
    <row r="206" spans="1:8" outlineLevel="2" x14ac:dyDescent="0.2">
      <c r="A206" s="73" t="s">
        <v>142</v>
      </c>
      <c r="B206" s="76"/>
      <c r="C206" s="74"/>
      <c r="D206" s="74"/>
      <c r="E206" s="74"/>
      <c r="F206" s="74"/>
      <c r="G206" s="74"/>
      <c r="H206" s="74"/>
    </row>
    <row r="207" spans="1:8" outlineLevel="2" x14ac:dyDescent="0.2">
      <c r="A207" s="2"/>
      <c r="B207" s="40"/>
    </row>
    <row r="208" spans="1:8" outlineLevel="2" x14ac:dyDescent="0.2">
      <c r="A208" t="s">
        <v>140</v>
      </c>
      <c r="B208" s="30">
        <f>XNPV($B$175,B180:$H$180,B178:$H$178)</f>
        <v>40742.946510277427</v>
      </c>
      <c r="C208" s="30">
        <f>XNPV($B$175,C180:$H$180,C178:$H$178)</f>
        <v>48137.791301892787</v>
      </c>
      <c r="D208" s="30">
        <f>XNPV($B$175,D180:$H$180,D178:$H$178)</f>
        <v>46572.506918669467</v>
      </c>
      <c r="E208" s="30">
        <f>XNPV($B$175,E180:$H$180,E178:$H$178)</f>
        <v>46712.992881904502</v>
      </c>
      <c r="F208" s="30">
        <f>XNPV($B$175,F180:$H$180,F178:$H$178)</f>
        <v>52335.20784139535</v>
      </c>
      <c r="G208" s="30">
        <f>XNPV($B$175,G180:$H$180,G178:$H$178)</f>
        <v>52596.34611427124</v>
      </c>
      <c r="H208" s="30">
        <f>XNPV($B$175,H180:$H$180,H178:$H$178)</f>
        <v>45852.083366652034</v>
      </c>
    </row>
    <row r="209" spans="1:8" outlineLevel="2" x14ac:dyDescent="0.2">
      <c r="A209" t="s">
        <v>97</v>
      </c>
      <c r="B209" s="32">
        <f>XNPV($B$175,B184:$H$184,B178:$H$178)</f>
        <v>-1404.5434547310151</v>
      </c>
      <c r="C209" s="32">
        <f>XNPV($B$175,C184:$H$184,C178:$H$178)</f>
        <v>-1659.4680917646945</v>
      </c>
      <c r="D209" s="32">
        <f>XNPV($B$175,D184:$H$184,D178:$H$178)</f>
        <v>-1981.2348062806684</v>
      </c>
      <c r="E209" s="32">
        <f>XNPV($B$175,E184:$H$184,E178:$H$178)</f>
        <v>-2377.6289999371902</v>
      </c>
      <c r="F209" s="32">
        <f>XNPV($B$175,F184:$H$184,F178:$H$178)</f>
        <v>-2544.3968860806472</v>
      </c>
      <c r="G209" s="32">
        <f>XNPV($B$175,G184:$H$184,G178:$H$178)</f>
        <v>-2656.017896406715</v>
      </c>
      <c r="H209" s="32">
        <f>XNPV($B$175,H184:$H$184,H178:$H$178)</f>
        <v>-2315.4451403291719</v>
      </c>
    </row>
    <row r="210" spans="1:8" outlineLevel="2" x14ac:dyDescent="0.2">
      <c r="A210" s="20" t="s">
        <v>96</v>
      </c>
      <c r="B210" s="31">
        <f>B208+B209</f>
        <v>39338.403055546412</v>
      </c>
      <c r="C210" s="31">
        <f t="shared" ref="C210:H210" si="104">C208+C209</f>
        <v>46478.323210128096</v>
      </c>
      <c r="D210" s="31">
        <f t="shared" si="104"/>
        <v>44591.272112388797</v>
      </c>
      <c r="E210" s="31">
        <f t="shared" si="104"/>
        <v>44335.363881967314</v>
      </c>
      <c r="F210" s="31">
        <f t="shared" si="104"/>
        <v>49790.810955314701</v>
      </c>
      <c r="G210" s="31">
        <f t="shared" si="104"/>
        <v>49940.328217864524</v>
      </c>
      <c r="H210" s="31">
        <f t="shared" si="104"/>
        <v>43536.638226322859</v>
      </c>
    </row>
    <row r="211" spans="1:8" outlineLevel="2" x14ac:dyDescent="0.2"/>
    <row r="212" spans="1:8" outlineLevel="2" x14ac:dyDescent="0.2"/>
    <row r="213" spans="1:8" outlineLevel="2" x14ac:dyDescent="0.2"/>
    <row r="214" spans="1:8" outlineLevel="2" x14ac:dyDescent="0.2"/>
    <row r="215" spans="1:8" outlineLevel="2" x14ac:dyDescent="0.2"/>
    <row r="216" spans="1:8" outlineLevel="2" x14ac:dyDescent="0.2"/>
    <row r="217" spans="1:8" outlineLevel="2" x14ac:dyDescent="0.2"/>
    <row r="218" spans="1:8" outlineLevel="2" x14ac:dyDescent="0.2"/>
    <row r="219" spans="1:8" outlineLevel="2" x14ac:dyDescent="0.2"/>
    <row r="220" spans="1:8" outlineLevel="2" x14ac:dyDescent="0.2"/>
    <row r="221" spans="1:8" outlineLevel="2" x14ac:dyDescent="0.2"/>
    <row r="222" spans="1:8" outlineLevel="2" x14ac:dyDescent="0.2"/>
    <row r="223" spans="1:8" outlineLevel="2" x14ac:dyDescent="0.2"/>
    <row r="224" spans="1:8" outlineLevel="2" x14ac:dyDescent="0.2"/>
    <row r="225" spans="1:8" outlineLevel="2" x14ac:dyDescent="0.2"/>
    <row r="226" spans="1:8" outlineLevel="2" x14ac:dyDescent="0.2"/>
    <row r="227" spans="1:8" outlineLevel="2" x14ac:dyDescent="0.2"/>
    <row r="228" spans="1:8" outlineLevel="2" x14ac:dyDescent="0.2"/>
    <row r="229" spans="1:8" s="178" customFormat="1" outlineLevel="2" x14ac:dyDescent="0.2"/>
    <row r="230" spans="1:8" outlineLevel="1" x14ac:dyDescent="0.2"/>
    <row r="231" spans="1:8" outlineLevel="1" x14ac:dyDescent="0.2">
      <c r="A231" s="66" t="s">
        <v>98</v>
      </c>
      <c r="B231" s="67"/>
      <c r="C231" s="67"/>
      <c r="D231" s="67"/>
      <c r="E231" s="67"/>
      <c r="F231" s="67"/>
      <c r="G231" s="67"/>
      <c r="H231" s="67"/>
    </row>
    <row r="232" spans="1:8" outlineLevel="2" x14ac:dyDescent="0.2"/>
    <row r="233" spans="1:8" outlineLevel="2" x14ac:dyDescent="0.2">
      <c r="A233" t="s">
        <v>243</v>
      </c>
    </row>
    <row r="234" spans="1:8" outlineLevel="2" x14ac:dyDescent="0.2">
      <c r="A234" t="s">
        <v>244</v>
      </c>
      <c r="B234" s="46" t="s">
        <v>99</v>
      </c>
      <c r="C234" s="46" t="s">
        <v>100</v>
      </c>
      <c r="D234" s="46" t="s">
        <v>101</v>
      </c>
      <c r="E234" s="46" t="s">
        <v>105</v>
      </c>
      <c r="F234" s="46" t="s">
        <v>106</v>
      </c>
    </row>
    <row r="235" spans="1:8" outlineLevel="2" x14ac:dyDescent="0.2">
      <c r="A235" t="s">
        <v>102</v>
      </c>
      <c r="B235" s="43">
        <v>7.85</v>
      </c>
      <c r="C235" s="107">
        <v>9.73</v>
      </c>
      <c r="D235" s="107">
        <v>3.43</v>
      </c>
      <c r="E235" s="43"/>
      <c r="F235" s="43">
        <v>1.36</v>
      </c>
    </row>
    <row r="236" spans="1:8" outlineLevel="2" x14ac:dyDescent="0.2">
      <c r="A236" t="s">
        <v>245</v>
      </c>
      <c r="B236" s="43">
        <v>10.94</v>
      </c>
      <c r="C236" s="107">
        <v>16.78</v>
      </c>
      <c r="D236" s="43">
        <v>3.54</v>
      </c>
      <c r="E236" s="43"/>
      <c r="F236" s="43">
        <v>1.63</v>
      </c>
    </row>
    <row r="237" spans="1:8" outlineLevel="2" x14ac:dyDescent="0.2">
      <c r="A237" s="14" t="s">
        <v>103</v>
      </c>
      <c r="B237" s="102">
        <f>AVERAGE(B235:B236)</f>
        <v>9.3949999999999996</v>
      </c>
      <c r="C237" s="102">
        <f t="shared" ref="C237:F237" si="105">AVERAGE(C235:C236)</f>
        <v>13.255000000000001</v>
      </c>
      <c r="D237" s="102">
        <f t="shared" si="105"/>
        <v>3.4850000000000003</v>
      </c>
      <c r="E237" s="102"/>
      <c r="F237" s="102">
        <f t="shared" si="105"/>
        <v>1.4950000000000001</v>
      </c>
    </row>
    <row r="238" spans="1:8" outlineLevel="2" x14ac:dyDescent="0.2">
      <c r="A238" t="s">
        <v>184</v>
      </c>
    </row>
    <row r="239" spans="1:8" outlineLevel="2" x14ac:dyDescent="0.2"/>
    <row r="240" spans="1:8" outlineLevel="2" x14ac:dyDescent="0.2">
      <c r="A240" t="s">
        <v>246</v>
      </c>
      <c r="B240" s="43">
        <v>9.5</v>
      </c>
      <c r="C240" s="107">
        <v>10.3</v>
      </c>
      <c r="D240" s="107"/>
      <c r="E240" s="43">
        <v>15.1</v>
      </c>
      <c r="F240" s="43">
        <v>3.4</v>
      </c>
    </row>
    <row r="241" spans="1:8" outlineLevel="2" x14ac:dyDescent="0.2">
      <c r="A241" t="s">
        <v>247</v>
      </c>
      <c r="B241" s="43">
        <v>8.6999999999999993</v>
      </c>
      <c r="C241" s="107">
        <v>15.4</v>
      </c>
      <c r="D241" s="107"/>
      <c r="E241" s="107">
        <v>21.1</v>
      </c>
      <c r="F241" s="107">
        <v>1.1000000000000001</v>
      </c>
    </row>
    <row r="242" spans="1:8" outlineLevel="2" x14ac:dyDescent="0.2">
      <c r="A242" t="s">
        <v>248</v>
      </c>
      <c r="B242" s="43">
        <v>5.7</v>
      </c>
      <c r="C242" s="107">
        <v>7.9</v>
      </c>
      <c r="D242" s="107"/>
      <c r="E242" s="43">
        <v>9.1</v>
      </c>
      <c r="F242" s="43">
        <v>0.5</v>
      </c>
    </row>
    <row r="243" spans="1:8" outlineLevel="2" x14ac:dyDescent="0.2">
      <c r="A243" t="s">
        <v>249</v>
      </c>
      <c r="B243" s="43">
        <v>7.5</v>
      </c>
      <c r="C243" s="107">
        <v>15.9</v>
      </c>
      <c r="D243" s="107"/>
      <c r="E243" s="43">
        <v>17.399999999999999</v>
      </c>
      <c r="F243" s="43">
        <v>0.6</v>
      </c>
    </row>
    <row r="244" spans="1:8" outlineLevel="2" x14ac:dyDescent="0.2">
      <c r="A244" s="14" t="s">
        <v>111</v>
      </c>
      <c r="B244" s="102">
        <f>AVERAGE(B240:B243)</f>
        <v>7.85</v>
      </c>
      <c r="C244" s="102">
        <f>AVERAGE(C240:C243)</f>
        <v>12.375</v>
      </c>
      <c r="D244" s="102"/>
      <c r="E244" s="102">
        <f>AVERAGE(E240:E243)</f>
        <v>15.675000000000001</v>
      </c>
      <c r="F244" s="102">
        <f>AVERAGE(F240:F243)</f>
        <v>1.4</v>
      </c>
    </row>
    <row r="245" spans="1:8" outlineLevel="2" x14ac:dyDescent="0.2">
      <c r="A245" t="s">
        <v>250</v>
      </c>
    </row>
    <row r="246" spans="1:8" outlineLevel="2" x14ac:dyDescent="0.2"/>
    <row r="247" spans="1:8" outlineLevel="2" x14ac:dyDescent="0.2">
      <c r="A247" s="167" t="s">
        <v>108</v>
      </c>
      <c r="B247" s="177">
        <v>2000</v>
      </c>
    </row>
    <row r="248" spans="1:8" outlineLevel="2" x14ac:dyDescent="0.2">
      <c r="A248" t="s">
        <v>172</v>
      </c>
      <c r="B248" s="117">
        <f>+B100</f>
        <v>746.02209100000073</v>
      </c>
    </row>
    <row r="249" spans="1:8" outlineLevel="2" x14ac:dyDescent="0.2">
      <c r="B249" s="27"/>
    </row>
    <row r="250" spans="1:8" outlineLevel="2" x14ac:dyDescent="0.2">
      <c r="B250" s="28">
        <v>2022</v>
      </c>
      <c r="C250" s="47" t="s">
        <v>192</v>
      </c>
      <c r="D250" s="2" t="s">
        <v>149</v>
      </c>
    </row>
    <row r="251" spans="1:8" outlineLevel="2" x14ac:dyDescent="0.2">
      <c r="A251" t="s">
        <v>109</v>
      </c>
      <c r="B251" s="30">
        <f>B252+B248</f>
        <v>17995.637386779999</v>
      </c>
      <c r="C251" s="86">
        <f>B251*B237</f>
        <v>169069.01324879809</v>
      </c>
      <c r="D251" s="87">
        <f>B244*B251</f>
        <v>141265.75348622299</v>
      </c>
      <c r="E251" s="13"/>
      <c r="F251" s="13"/>
    </row>
    <row r="252" spans="1:8" outlineLevel="2" x14ac:dyDescent="0.2">
      <c r="A252" t="s">
        <v>110</v>
      </c>
      <c r="B252" s="32">
        <f>B247+B54</f>
        <v>17249.61529578</v>
      </c>
      <c r="C252" s="30">
        <f>B252*C237</f>
        <v>228643.65074556391</v>
      </c>
      <c r="D252" s="32">
        <f>C244*B252</f>
        <v>213463.98928527749</v>
      </c>
      <c r="E252" s="13"/>
      <c r="F252" s="13"/>
    </row>
    <row r="253" spans="1:8" outlineLevel="2" x14ac:dyDescent="0.2">
      <c r="A253" t="s">
        <v>173</v>
      </c>
      <c r="B253" s="30">
        <f>B95+B91-B71</f>
        <v>22374.328545150001</v>
      </c>
      <c r="C253" s="32">
        <f>B253*D237</f>
        <v>77974.534979847769</v>
      </c>
      <c r="D253" s="30"/>
      <c r="E253" s="13"/>
      <c r="F253" s="13"/>
      <c r="H253" s="13"/>
    </row>
    <row r="254" spans="1:8" outlineLevel="2" x14ac:dyDescent="0.2">
      <c r="A254" t="s">
        <v>104</v>
      </c>
      <c r="B254" s="32">
        <f>B252*(1-B14)</f>
        <v>11212.249942257</v>
      </c>
      <c r="C254" s="30"/>
      <c r="D254" s="30">
        <f>E244*B254</f>
        <v>175752.01784487849</v>
      </c>
    </row>
    <row r="255" spans="1:8" outlineLevel="2" x14ac:dyDescent="0.2">
      <c r="A255" t="s">
        <v>107</v>
      </c>
      <c r="B255" s="30">
        <f>B48</f>
        <v>90224.924508630007</v>
      </c>
      <c r="C255" s="32">
        <f>B255*F237</f>
        <v>134886.26214040187</v>
      </c>
      <c r="D255" s="30">
        <f>F244*B255</f>
        <v>126314.894312082</v>
      </c>
      <c r="E255" s="13"/>
      <c r="F255" s="13"/>
    </row>
    <row r="256" spans="1:8" outlineLevel="2" x14ac:dyDescent="0.2">
      <c r="A256" s="68" t="s">
        <v>103</v>
      </c>
      <c r="B256" s="68"/>
      <c r="C256" s="70">
        <f>AVERAGE(C251:C255)</f>
        <v>152643.36527865293</v>
      </c>
      <c r="D256" s="70">
        <f>AVERAGE(D251:D255)</f>
        <v>164199.16373211524</v>
      </c>
      <c r="E256" s="70"/>
      <c r="F256" s="70"/>
    </row>
    <row r="257" spans="1:8" outlineLevel="2" x14ac:dyDescent="0.2">
      <c r="A257" s="36"/>
      <c r="B257" s="36"/>
      <c r="C257" s="101"/>
      <c r="D257" s="101"/>
      <c r="E257" s="13"/>
    </row>
    <row r="258" spans="1:8" outlineLevel="2" x14ac:dyDescent="0.2">
      <c r="A258" s="36"/>
      <c r="B258" s="36"/>
      <c r="C258" s="101"/>
      <c r="D258" s="101"/>
      <c r="E258" s="13"/>
    </row>
    <row r="259" spans="1:8" outlineLevel="2" x14ac:dyDescent="0.2">
      <c r="A259" s="66" t="s">
        <v>152</v>
      </c>
      <c r="B259" s="67"/>
      <c r="C259" s="67"/>
      <c r="D259" s="67"/>
      <c r="E259" s="67"/>
      <c r="F259" s="67"/>
      <c r="G259" s="67"/>
      <c r="H259" s="67"/>
    </row>
    <row r="260" spans="1:8" ht="16.5" outlineLevel="2" x14ac:dyDescent="0.3">
      <c r="A260" s="96"/>
      <c r="B260" s="96"/>
      <c r="C260" s="96"/>
      <c r="D260" s="97"/>
      <c r="E260" s="96"/>
      <c r="F260" s="98"/>
      <c r="G260" s="98"/>
      <c r="H260" s="98"/>
    </row>
    <row r="261" spans="1:8" ht="16.5" outlineLevel="2" x14ac:dyDescent="0.3">
      <c r="A261" s="96"/>
      <c r="B261" s="96"/>
      <c r="C261" s="110" t="s">
        <v>144</v>
      </c>
      <c r="D261" s="110" t="s">
        <v>145</v>
      </c>
      <c r="E261" s="110" t="s">
        <v>146</v>
      </c>
      <c r="F261" s="110" t="s">
        <v>147</v>
      </c>
      <c r="G261" s="98"/>
      <c r="H261" s="98"/>
    </row>
    <row r="262" spans="1:8" ht="16.5" outlineLevel="2" x14ac:dyDescent="0.3">
      <c r="A262" t="s">
        <v>148</v>
      </c>
      <c r="B262" s="96"/>
      <c r="C262" s="30">
        <f>MIN($C$251:$C$255)</f>
        <v>77974.534979847769</v>
      </c>
      <c r="D262" s="30">
        <f>C262</f>
        <v>77974.534979847769</v>
      </c>
      <c r="E262" s="30">
        <f>MAX($C$251:$C$255)</f>
        <v>228643.65074556391</v>
      </c>
      <c r="F262" s="30">
        <f>E262</f>
        <v>228643.65074556391</v>
      </c>
      <c r="G262" s="98"/>
      <c r="H262" s="98"/>
    </row>
    <row r="263" spans="1:8" ht="16.5" outlineLevel="2" x14ac:dyDescent="0.3">
      <c r="A263" t="s">
        <v>149</v>
      </c>
      <c r="B263" s="96"/>
      <c r="C263" s="32">
        <f>MIN($D$251:$D$255)</f>
        <v>126314.894312082</v>
      </c>
      <c r="D263" s="30">
        <f t="shared" ref="D263:D265" si="106">C263</f>
        <v>126314.894312082</v>
      </c>
      <c r="E263" s="32">
        <f>MAX($D$251:$D$255)</f>
        <v>213463.98928527749</v>
      </c>
      <c r="F263" s="30">
        <f t="shared" ref="F263:F265" si="107">E263</f>
        <v>213463.98928527749</v>
      </c>
      <c r="G263" s="96"/>
      <c r="H263" s="96"/>
    </row>
    <row r="264" spans="1:8" ht="16.5" outlineLevel="2" x14ac:dyDescent="0.3">
      <c r="A264" t="s">
        <v>150</v>
      </c>
      <c r="B264" s="96"/>
      <c r="C264" s="30">
        <f>MIN($E$199:$F$202)</f>
        <v>37357.693070496745</v>
      </c>
      <c r="D264" s="30">
        <f t="shared" si="106"/>
        <v>37357.693070496745</v>
      </c>
      <c r="E264" s="30">
        <f>MAX($E$199:$F$202)</f>
        <v>47830.635429541078</v>
      </c>
      <c r="F264" s="30">
        <f t="shared" si="107"/>
        <v>47830.635429541078</v>
      </c>
      <c r="G264" s="98"/>
      <c r="H264" s="98"/>
    </row>
    <row r="265" spans="1:8" ht="16.5" outlineLevel="2" x14ac:dyDescent="0.3">
      <c r="A265" t="s">
        <v>151</v>
      </c>
      <c r="B265" s="96"/>
      <c r="C265" s="32">
        <f>MIN($B$190)</f>
        <v>39352.996131394975</v>
      </c>
      <c r="D265" s="30">
        <f t="shared" si="106"/>
        <v>39352.996131394975</v>
      </c>
      <c r="E265" s="32">
        <f>MAX($B$190)</f>
        <v>39352.996131394975</v>
      </c>
      <c r="F265" s="30">
        <f t="shared" si="107"/>
        <v>39352.996131394975</v>
      </c>
      <c r="G265" s="98"/>
      <c r="H265" s="98"/>
    </row>
    <row r="266" spans="1:8" ht="16.5" outlineLevel="2" x14ac:dyDescent="0.3">
      <c r="A266" s="96"/>
      <c r="B266" s="96"/>
      <c r="C266" s="96"/>
      <c r="D266" s="99"/>
      <c r="E266" s="96"/>
      <c r="F266" s="98"/>
      <c r="G266" s="98"/>
      <c r="H266" s="98"/>
    </row>
    <row r="267" spans="1:8" ht="16.5" outlineLevel="2" x14ac:dyDescent="0.3">
      <c r="A267" s="96"/>
      <c r="B267" s="96"/>
      <c r="C267" s="96"/>
      <c r="D267" s="99"/>
      <c r="E267" s="96"/>
      <c r="F267" s="98"/>
      <c r="G267" s="98"/>
      <c r="H267" s="98"/>
    </row>
    <row r="268" spans="1:8" ht="16.5" outlineLevel="2" x14ac:dyDescent="0.3">
      <c r="A268" s="96"/>
      <c r="B268" s="95"/>
      <c r="C268" s="96"/>
      <c r="D268" s="99"/>
      <c r="E268" s="96"/>
      <c r="F268" s="98"/>
      <c r="G268" s="98"/>
      <c r="H268" s="98"/>
    </row>
    <row r="269" spans="1:8" ht="16.5" outlineLevel="2" x14ac:dyDescent="0.3">
      <c r="A269" s="96"/>
      <c r="B269" s="96"/>
      <c r="C269" s="96"/>
      <c r="D269" s="100"/>
      <c r="E269" s="96"/>
      <c r="F269" s="98"/>
      <c r="G269" s="98"/>
      <c r="H269" s="98"/>
    </row>
    <row r="270" spans="1:8" ht="16.5" outlineLevel="2" x14ac:dyDescent="0.3">
      <c r="A270" s="96"/>
      <c r="B270" s="96"/>
      <c r="C270" s="96"/>
      <c r="D270" s="100"/>
      <c r="E270" s="96"/>
      <c r="F270" s="98"/>
      <c r="G270" s="98"/>
      <c r="H270" s="98"/>
    </row>
    <row r="271" spans="1:8" ht="16.5" outlineLevel="2" x14ac:dyDescent="0.3">
      <c r="A271" s="96"/>
      <c r="B271" s="96"/>
      <c r="C271" s="96"/>
      <c r="D271" s="100"/>
      <c r="E271" s="96"/>
      <c r="F271" s="98"/>
      <c r="G271" s="98"/>
      <c r="H271" s="98"/>
    </row>
    <row r="272" spans="1:8" ht="16.5" outlineLevel="2" x14ac:dyDescent="0.3">
      <c r="A272" s="96"/>
      <c r="B272" s="96"/>
      <c r="C272" s="96"/>
      <c r="D272" s="99"/>
      <c r="E272" s="96"/>
      <c r="F272" s="98"/>
      <c r="G272" s="98"/>
      <c r="H272" s="98"/>
    </row>
    <row r="273" spans="1:8" ht="16.5" outlineLevel="2" x14ac:dyDescent="0.3">
      <c r="A273" s="96"/>
      <c r="B273" s="96"/>
      <c r="C273" s="96"/>
      <c r="D273" s="96"/>
      <c r="E273" s="96"/>
      <c r="F273" s="98"/>
      <c r="G273" s="98"/>
      <c r="H273" s="98"/>
    </row>
    <row r="274" spans="1:8" ht="16.5" outlineLevel="2" x14ac:dyDescent="0.3">
      <c r="A274" s="96"/>
      <c r="B274" s="96"/>
      <c r="C274" s="96"/>
      <c r="D274" s="96"/>
      <c r="E274" s="96"/>
      <c r="F274" s="96"/>
      <c r="G274" s="96"/>
      <c r="H274" s="98"/>
    </row>
    <row r="275" spans="1:8" ht="16.5" outlineLevel="2" x14ac:dyDescent="0.3">
      <c r="A275" s="96"/>
    </row>
    <row r="276" spans="1:8" ht="16.5" outlineLevel="2" x14ac:dyDescent="0.3">
      <c r="A276" s="96"/>
      <c r="B276" s="96"/>
      <c r="C276" s="96"/>
      <c r="D276" s="96"/>
      <c r="E276" s="96"/>
      <c r="F276" s="96"/>
      <c r="G276" s="96"/>
      <c r="H276" s="96"/>
    </row>
    <row r="277" spans="1:8" ht="16.5" outlineLevel="2" x14ac:dyDescent="0.3">
      <c r="A277" s="96"/>
      <c r="B277" s="96"/>
      <c r="C277" s="96"/>
      <c r="D277" s="96"/>
      <c r="E277" s="96"/>
      <c r="F277" s="96"/>
      <c r="G277" s="96"/>
      <c r="H277" s="96"/>
    </row>
    <row r="278" spans="1:8" ht="16.5" outlineLevel="2" x14ac:dyDescent="0.3">
      <c r="A278" s="96"/>
      <c r="B278" s="96"/>
      <c r="C278" s="96"/>
      <c r="D278" s="96"/>
      <c r="E278" s="96"/>
      <c r="F278" s="96"/>
      <c r="G278" s="96"/>
      <c r="H278" s="96"/>
    </row>
    <row r="279" spans="1:8" ht="16.5" outlineLevel="2" x14ac:dyDescent="0.3">
      <c r="A279" s="96"/>
      <c r="B279" s="96"/>
      <c r="C279" s="96"/>
      <c r="D279" s="96"/>
      <c r="E279" s="96"/>
      <c r="F279" s="96"/>
      <c r="G279" s="96"/>
      <c r="H279" s="96"/>
    </row>
    <row r="280" spans="1:8" ht="16.5" outlineLevel="2" x14ac:dyDescent="0.3">
      <c r="A280" s="96"/>
      <c r="B280" s="96"/>
      <c r="C280" s="96"/>
      <c r="D280" s="96"/>
      <c r="E280" s="96"/>
      <c r="F280" s="96"/>
      <c r="G280" s="96"/>
      <c r="H280" s="96"/>
    </row>
    <row r="281" spans="1:8" ht="16.5" outlineLevel="2" x14ac:dyDescent="0.3">
      <c r="A281" s="96"/>
      <c r="B281" s="96"/>
      <c r="C281" s="96"/>
      <c r="D281" s="96"/>
      <c r="E281" s="96"/>
      <c r="F281" s="96"/>
      <c r="G281" s="96"/>
      <c r="H281" s="96"/>
    </row>
    <row r="282" spans="1:8" ht="16.5" outlineLevel="2" x14ac:dyDescent="0.3">
      <c r="A282" s="96"/>
      <c r="B282" s="96"/>
      <c r="C282" s="96"/>
      <c r="D282" s="96"/>
      <c r="E282" s="96"/>
      <c r="F282" s="96"/>
      <c r="G282" s="96"/>
      <c r="H282" s="96"/>
    </row>
    <row r="283" spans="1:8" ht="16.5" outlineLevel="2" x14ac:dyDescent="0.3">
      <c r="A283" s="96"/>
      <c r="B283" s="96"/>
      <c r="C283" s="96"/>
      <c r="D283" s="96"/>
      <c r="E283" s="96"/>
      <c r="F283" s="96"/>
      <c r="G283" s="96"/>
      <c r="H283" s="96"/>
    </row>
    <row r="284" spans="1:8" ht="16.5" outlineLevel="2" x14ac:dyDescent="0.3">
      <c r="A284" s="96"/>
      <c r="B284" s="96"/>
      <c r="C284" s="96"/>
      <c r="D284" s="96"/>
      <c r="E284" s="96"/>
      <c r="F284" s="96"/>
      <c r="G284" s="96"/>
      <c r="H284" s="96"/>
    </row>
    <row r="285" spans="1:8" ht="16.5" outlineLevel="2" x14ac:dyDescent="0.3">
      <c r="A285" s="96"/>
      <c r="B285" s="96"/>
      <c r="C285" s="96"/>
      <c r="D285" s="96"/>
      <c r="E285" s="96"/>
      <c r="F285" s="96"/>
      <c r="G285" s="96"/>
      <c r="H285" s="96"/>
    </row>
    <row r="286" spans="1:8" ht="16.5" outlineLevel="2" x14ac:dyDescent="0.3">
      <c r="A286" s="96"/>
      <c r="B286" s="96"/>
      <c r="C286" s="96"/>
      <c r="D286" s="96"/>
      <c r="E286" s="96"/>
      <c r="F286" s="96"/>
      <c r="G286" s="96"/>
      <c r="H286" s="96"/>
    </row>
    <row r="287" spans="1:8" outlineLevel="2" x14ac:dyDescent="0.2">
      <c r="A287" s="36"/>
      <c r="B287" s="36"/>
      <c r="C287" s="101"/>
      <c r="D287" s="101"/>
      <c r="E287" s="13"/>
    </row>
    <row r="288" spans="1:8" outlineLevel="1" x14ac:dyDescent="0.2"/>
    <row r="289" spans="1:8" outlineLevel="1" x14ac:dyDescent="0.2">
      <c r="A289" s="66" t="s">
        <v>112</v>
      </c>
      <c r="B289" s="67"/>
      <c r="C289" s="67"/>
      <c r="D289" s="67"/>
      <c r="E289" s="67"/>
      <c r="F289" s="67"/>
      <c r="G289" s="67"/>
      <c r="H289" s="67"/>
    </row>
    <row r="290" spans="1:8" outlineLevel="2" x14ac:dyDescent="0.2"/>
    <row r="291" spans="1:8" outlineLevel="2" x14ac:dyDescent="0.2">
      <c r="B291" s="28">
        <f>$B$3</f>
        <v>2022</v>
      </c>
      <c r="C291" s="39">
        <f>$C$3</f>
        <v>2023</v>
      </c>
      <c r="D291" s="39">
        <f>$D$3</f>
        <v>2024</v>
      </c>
      <c r="E291" s="39">
        <f>$E$3</f>
        <v>2025</v>
      </c>
      <c r="F291" s="39">
        <f>$F$3</f>
        <v>2026</v>
      </c>
      <c r="G291" s="39">
        <f>$G$3</f>
        <v>2027</v>
      </c>
      <c r="H291" s="63" t="s">
        <v>86</v>
      </c>
    </row>
    <row r="292" spans="1:8" outlineLevel="2" x14ac:dyDescent="0.2">
      <c r="B292" s="44"/>
      <c r="C292" s="41"/>
      <c r="D292" s="41"/>
      <c r="E292" s="41"/>
      <c r="F292" s="41"/>
      <c r="G292" s="41"/>
      <c r="H292" s="42"/>
    </row>
    <row r="293" spans="1:8" outlineLevel="2" x14ac:dyDescent="0.2">
      <c r="A293" s="48" t="s">
        <v>62</v>
      </c>
      <c r="C293" s="30">
        <f>C119</f>
        <v>8255.0392429925923</v>
      </c>
      <c r="D293" s="30">
        <f>D119</f>
        <v>7842.2872808429602</v>
      </c>
      <c r="E293" s="30">
        <f>E119</f>
        <v>7920.7101536513901</v>
      </c>
      <c r="F293" s="30">
        <f>F119</f>
        <v>8158.3314582609319</v>
      </c>
      <c r="G293" s="30">
        <f>G119</f>
        <v>8484.664716591371</v>
      </c>
    </row>
    <row r="294" spans="1:8" outlineLevel="2" x14ac:dyDescent="0.2">
      <c r="A294" s="48" t="s">
        <v>113</v>
      </c>
      <c r="C294" s="32">
        <f>+SUM(B72:B74,B77:B78)-SUM(B84:B88,B92)</f>
        <v>16517.037987769996</v>
      </c>
      <c r="D294" s="32">
        <f>+SUM(C72:C74,C77:C78)-SUM(C84:C88,C92)</f>
        <v>16034.396567538504</v>
      </c>
      <c r="E294" s="32">
        <f>+SUM(D72:D74,D77:D78)-SUM(D84:D88,D92)</f>
        <v>16841.200105255375</v>
      </c>
      <c r="F294" s="32">
        <f>+SUM(E72:E74,E77:E78)-SUM(E84:E88,E92)</f>
        <v>22344.48050979562</v>
      </c>
      <c r="G294" s="32">
        <f>+SUM(F72:F74,F77:F78)-SUM(F84:F88,F92)</f>
        <v>22684.189919527249</v>
      </c>
      <c r="H294" s="32">
        <f>+SUM(G72:G74,G77:G78)-SUM(G84:G88,G92)</f>
        <v>24424.591888499417</v>
      </c>
    </row>
    <row r="295" spans="1:8" outlineLevel="2" x14ac:dyDescent="0.2">
      <c r="A295" s="48" t="s">
        <v>114</v>
      </c>
      <c r="C295" s="30">
        <f>D294</f>
        <v>16034.396567538504</v>
      </c>
      <c r="D295" s="30">
        <f t="shared" ref="D295:G295" si="108">E294</f>
        <v>16841.200105255375</v>
      </c>
      <c r="E295" s="30">
        <f t="shared" si="108"/>
        <v>22344.48050979562</v>
      </c>
      <c r="F295" s="30">
        <f t="shared" si="108"/>
        <v>22684.189919527249</v>
      </c>
      <c r="G295" s="30">
        <f t="shared" si="108"/>
        <v>24424.591888499417</v>
      </c>
    </row>
    <row r="296" spans="1:8" outlineLevel="2" x14ac:dyDescent="0.2">
      <c r="A296" s="49"/>
    </row>
    <row r="297" spans="1:8" outlineLevel="2" x14ac:dyDescent="0.2">
      <c r="A297" s="48" t="s">
        <v>115</v>
      </c>
      <c r="C297" s="88">
        <f>C293/C294</f>
        <v>0.49978932355214162</v>
      </c>
      <c r="D297" s="88">
        <f t="shared" ref="D297:G297" si="109">D293/D294</f>
        <v>0.4890915132234912</v>
      </c>
      <c r="E297" s="88">
        <f t="shared" si="109"/>
        <v>0.47031744199629189</v>
      </c>
      <c r="F297" s="88">
        <f t="shared" si="109"/>
        <v>0.36511618404752766</v>
      </c>
      <c r="G297" s="88">
        <f t="shared" si="109"/>
        <v>0.37403428320301224</v>
      </c>
    </row>
    <row r="298" spans="1:8" outlineLevel="2" x14ac:dyDescent="0.2">
      <c r="A298" s="50" t="s">
        <v>116</v>
      </c>
      <c r="C298" s="89">
        <f>$B$175</f>
        <v>0.18149999999999999</v>
      </c>
      <c r="D298" s="89">
        <f t="shared" ref="D298:G298" si="110">$B$175</f>
        <v>0.18149999999999999</v>
      </c>
      <c r="E298" s="89">
        <f t="shared" si="110"/>
        <v>0.18149999999999999</v>
      </c>
      <c r="F298" s="89">
        <f t="shared" si="110"/>
        <v>0.18149999999999999</v>
      </c>
      <c r="G298" s="89">
        <f t="shared" si="110"/>
        <v>0.18149999999999999</v>
      </c>
    </row>
    <row r="299" spans="1:8" outlineLevel="2" x14ac:dyDescent="0.2">
      <c r="A299" s="48" t="s">
        <v>117</v>
      </c>
      <c r="B299" s="54"/>
      <c r="C299" s="90">
        <f>C297-C298</f>
        <v>0.31828932355214162</v>
      </c>
      <c r="D299" s="90">
        <f t="shared" ref="D299:G299" si="111">D297-D298</f>
        <v>0.30759151322349121</v>
      </c>
      <c r="E299" s="90">
        <f t="shared" si="111"/>
        <v>0.28881744199629189</v>
      </c>
      <c r="F299" s="90">
        <f t="shared" si="111"/>
        <v>0.18361618404752766</v>
      </c>
      <c r="G299" s="90">
        <f t="shared" si="111"/>
        <v>0.19253428320301225</v>
      </c>
    </row>
    <row r="300" spans="1:8" outlineLevel="2" x14ac:dyDescent="0.2">
      <c r="A300" s="59" t="str">
        <f t="shared" ref="A300" si="112">A294</f>
        <v>COEi</v>
      </c>
      <c r="C300" s="32">
        <f>C294</f>
        <v>16517.037987769996</v>
      </c>
      <c r="D300" s="32">
        <f t="shared" ref="D300:G300" si="113">D294</f>
        <v>16034.396567538504</v>
      </c>
      <c r="E300" s="32">
        <f t="shared" si="113"/>
        <v>16841.200105255375</v>
      </c>
      <c r="F300" s="32">
        <f t="shared" si="113"/>
        <v>22344.48050979562</v>
      </c>
      <c r="G300" s="32">
        <f t="shared" si="113"/>
        <v>22684.189919527249</v>
      </c>
      <c r="H300" s="53"/>
    </row>
    <row r="301" spans="1:8" outlineLevel="2" x14ac:dyDescent="0.2">
      <c r="A301" s="48" t="s">
        <v>133</v>
      </c>
      <c r="B301" s="55"/>
      <c r="C301" s="91">
        <f>C299*C300</f>
        <v>5257.1968482123384</v>
      </c>
      <c r="D301" s="91">
        <f t="shared" ref="D301:G301" si="114">D299*D300</f>
        <v>4932.0443038347221</v>
      </c>
      <c r="E301" s="91">
        <f t="shared" si="114"/>
        <v>4864.032334547539</v>
      </c>
      <c r="F301" s="91">
        <f t="shared" si="114"/>
        <v>4102.8082457330274</v>
      </c>
      <c r="G301" s="91">
        <f t="shared" si="114"/>
        <v>4367.4842461971748</v>
      </c>
      <c r="H301" s="32">
        <f>H180-H294</f>
        <v>21427.491478152617</v>
      </c>
    </row>
    <row r="302" spans="1:8" outlineLevel="2" x14ac:dyDescent="0.2">
      <c r="A302" s="50" t="s">
        <v>134</v>
      </c>
      <c r="B302" s="60"/>
      <c r="C302" s="61"/>
      <c r="D302" s="61"/>
      <c r="E302" s="61"/>
      <c r="F302" s="61"/>
      <c r="G302" s="92">
        <f>H301</f>
        <v>21427.491478152617</v>
      </c>
      <c r="H302" s="13"/>
    </row>
    <row r="303" spans="1:8" outlineLevel="2" x14ac:dyDescent="0.2">
      <c r="A303" s="48" t="s">
        <v>135</v>
      </c>
      <c r="B303" s="58"/>
      <c r="C303" s="93">
        <f>C301+C302</f>
        <v>5257.1968482123384</v>
      </c>
      <c r="D303" s="93">
        <f t="shared" ref="D303:G303" si="115">D301+D302</f>
        <v>4932.0443038347221</v>
      </c>
      <c r="E303" s="93">
        <f t="shared" si="115"/>
        <v>4864.032334547539</v>
      </c>
      <c r="F303" s="93">
        <f t="shared" si="115"/>
        <v>4102.8082457330274</v>
      </c>
      <c r="G303" s="93">
        <f t="shared" si="115"/>
        <v>25794.975724349792</v>
      </c>
      <c r="H303" s="13"/>
    </row>
    <row r="304" spans="1:8" outlineLevel="2" x14ac:dyDescent="0.2">
      <c r="A304" s="57"/>
      <c r="B304" s="58"/>
      <c r="C304" s="52"/>
      <c r="D304" s="52"/>
      <c r="E304" s="52"/>
      <c r="F304" s="52"/>
      <c r="G304" s="52"/>
      <c r="H304" s="13"/>
    </row>
    <row r="305" spans="1:8" outlineLevel="2" x14ac:dyDescent="0.2">
      <c r="A305" s="51" t="s">
        <v>126</v>
      </c>
      <c r="B305" s="30">
        <f>NPV(B175,C303:G303)</f>
        <v>24241.149983307405</v>
      </c>
    </row>
    <row r="306" spans="1:8" outlineLevel="2" x14ac:dyDescent="0.2">
      <c r="A306" s="51" t="s">
        <v>123</v>
      </c>
      <c r="B306" s="32">
        <f>C294</f>
        <v>16517.037987769996</v>
      </c>
    </row>
    <row r="307" spans="1:8" outlineLevel="2" x14ac:dyDescent="0.2">
      <c r="A307" s="71" t="s">
        <v>124</v>
      </c>
      <c r="B307" s="69">
        <f>B305+B306</f>
        <v>40758.187971077401</v>
      </c>
    </row>
    <row r="308" spans="1:8" outlineLevel="2" x14ac:dyDescent="0.2">
      <c r="A308" s="65" t="s">
        <v>74</v>
      </c>
      <c r="B308" s="112">
        <f>B188</f>
        <v>40758.187971077401</v>
      </c>
    </row>
    <row r="309" spans="1:8" outlineLevel="2" x14ac:dyDescent="0.2">
      <c r="A309" s="49"/>
      <c r="B309" s="13"/>
      <c r="C309" s="52"/>
      <c r="D309" s="52"/>
      <c r="E309" s="52"/>
      <c r="F309" s="52"/>
      <c r="G309" s="52"/>
    </row>
    <row r="310" spans="1:8" outlineLevel="2" x14ac:dyDescent="0.2">
      <c r="A310" s="48" t="s">
        <v>75</v>
      </c>
      <c r="B310" s="13"/>
      <c r="C310" s="30">
        <f>C141</f>
        <v>-119.63824989844338</v>
      </c>
      <c r="D310" s="30">
        <f>D141</f>
        <v>-113.65633740352121</v>
      </c>
      <c r="E310" s="30">
        <f>E141</f>
        <v>-114.79290077755644</v>
      </c>
      <c r="F310" s="30">
        <f>F141</f>
        <v>-118.23668780088315</v>
      </c>
      <c r="G310" s="30">
        <f>G141</f>
        <v>-122.96615531291849</v>
      </c>
    </row>
    <row r="311" spans="1:8" outlineLevel="2" x14ac:dyDescent="0.2">
      <c r="A311" s="48" t="s">
        <v>118</v>
      </c>
      <c r="C311" s="32">
        <f>B75+B76+B79+B80-B90-B94-B89-B93</f>
        <v>5857.2905567528551</v>
      </c>
      <c r="D311" s="32">
        <f>C75+C76+C79+C80-C90-C94-C89-C93</f>
        <v>5721.0055460310969</v>
      </c>
      <c r="E311" s="32">
        <f>D75+D76+D79+D80-D90-D94-D89-D93</f>
        <v>5576.2022968065176</v>
      </c>
      <c r="F311" s="32">
        <f>E75+E76+E79+E80-E90-E94-E89-E93</f>
        <v>5685.5073878572666</v>
      </c>
      <c r="G311" s="32">
        <f>F75+F76+F79+F80-F90-F94-F89-F93</f>
        <v>5863.6625955261843</v>
      </c>
      <c r="H311" s="32">
        <f>G75+G76+G79+G80-G90-G94-G89-G93</f>
        <v>6081.2691962908093</v>
      </c>
    </row>
    <row r="312" spans="1:8" outlineLevel="2" x14ac:dyDescent="0.2">
      <c r="A312" s="48" t="s">
        <v>119</v>
      </c>
      <c r="C312" s="30">
        <f>D311</f>
        <v>5721.0055460310969</v>
      </c>
      <c r="D312" s="30">
        <f t="shared" ref="D312:G312" si="116">E311</f>
        <v>5576.2022968065176</v>
      </c>
      <c r="E312" s="30">
        <f t="shared" si="116"/>
        <v>5685.5073878572666</v>
      </c>
      <c r="F312" s="30">
        <f t="shared" si="116"/>
        <v>5863.6625955261843</v>
      </c>
      <c r="G312" s="30">
        <f t="shared" si="116"/>
        <v>6081.2691962908093</v>
      </c>
    </row>
    <row r="313" spans="1:8" outlineLevel="2" x14ac:dyDescent="0.2">
      <c r="A313" s="49"/>
    </row>
    <row r="314" spans="1:8" outlineLevel="2" x14ac:dyDescent="0.2">
      <c r="A314" s="48" t="s">
        <v>120</v>
      </c>
      <c r="C314" s="88">
        <f>C310/C311</f>
        <v>-2.0425527594924029E-2</v>
      </c>
      <c r="D314" s="88">
        <f t="shared" ref="D314:G314" si="117">D310/D311</f>
        <v>-1.986649663053891E-2</v>
      </c>
      <c r="E314" s="88">
        <f t="shared" si="117"/>
        <v>-2.0586215253219589E-2</v>
      </c>
      <c r="F314" s="88">
        <f t="shared" si="117"/>
        <v>-2.0796154104628428E-2</v>
      </c>
      <c r="G314" s="88">
        <f t="shared" si="117"/>
        <v>-2.097087840742036E-2</v>
      </c>
    </row>
    <row r="315" spans="1:8" outlineLevel="2" x14ac:dyDescent="0.2">
      <c r="A315" s="50" t="s">
        <v>116</v>
      </c>
      <c r="C315" s="89">
        <f>C298</f>
        <v>0.18149999999999999</v>
      </c>
      <c r="D315" s="89">
        <f t="shared" ref="D315:G315" si="118">D298</f>
        <v>0.18149999999999999</v>
      </c>
      <c r="E315" s="89">
        <f t="shared" si="118"/>
        <v>0.18149999999999999</v>
      </c>
      <c r="F315" s="89">
        <f t="shared" si="118"/>
        <v>0.18149999999999999</v>
      </c>
      <c r="G315" s="89">
        <f t="shared" si="118"/>
        <v>0.18149999999999999</v>
      </c>
    </row>
    <row r="316" spans="1:8" outlineLevel="2" x14ac:dyDescent="0.2">
      <c r="A316" s="48" t="s">
        <v>117</v>
      </c>
      <c r="B316" s="54"/>
      <c r="C316" s="90">
        <f>C314-C315</f>
        <v>-0.20192552759492402</v>
      </c>
      <c r="D316" s="90">
        <f t="shared" ref="D316:G316" si="119">D314-D315</f>
        <v>-0.2013664966305389</v>
      </c>
      <c r="E316" s="90">
        <f t="shared" si="119"/>
        <v>-0.20208621525321957</v>
      </c>
      <c r="F316" s="90">
        <f t="shared" si="119"/>
        <v>-0.20229615410462842</v>
      </c>
      <c r="G316" s="90">
        <f t="shared" si="119"/>
        <v>-0.20247087840742034</v>
      </c>
    </row>
    <row r="317" spans="1:8" outlineLevel="2" x14ac:dyDescent="0.2">
      <c r="A317" s="59" t="str">
        <f>A311</f>
        <v>CNOEi</v>
      </c>
      <c r="C317" s="32">
        <f>K301+C311</f>
        <v>5857.2905567528551</v>
      </c>
      <c r="D317" s="32">
        <f t="shared" ref="D317:G317" si="120">D311</f>
        <v>5721.0055460310969</v>
      </c>
      <c r="E317" s="32">
        <f t="shared" si="120"/>
        <v>5576.2022968065176</v>
      </c>
      <c r="F317" s="32">
        <f t="shared" si="120"/>
        <v>5685.5073878572666</v>
      </c>
      <c r="G317" s="32">
        <f t="shared" si="120"/>
        <v>5863.6625955261843</v>
      </c>
      <c r="H317" s="53"/>
    </row>
    <row r="318" spans="1:8" outlineLevel="2" x14ac:dyDescent="0.2">
      <c r="A318" s="48" t="s">
        <v>136</v>
      </c>
      <c r="B318" s="55"/>
      <c r="C318" s="91">
        <f>C316*C317</f>
        <v>-1182.7364859490865</v>
      </c>
      <c r="D318" s="91">
        <f t="shared" ref="D318:G318" si="121">D316*D317</f>
        <v>-1152.0188440081652</v>
      </c>
      <c r="E318" s="91">
        <f t="shared" si="121"/>
        <v>-1126.8736176479392</v>
      </c>
      <c r="F318" s="91">
        <f t="shared" si="121"/>
        <v>-1150.1562786969771</v>
      </c>
      <c r="G318" s="91">
        <f t="shared" si="121"/>
        <v>-1187.2209164009207</v>
      </c>
      <c r="H318" s="32">
        <f>H184-H311</f>
        <v>-8396.7143366199816</v>
      </c>
    </row>
    <row r="319" spans="1:8" outlineLevel="2" x14ac:dyDescent="0.2">
      <c r="A319" s="50" t="s">
        <v>137</v>
      </c>
      <c r="B319" s="60"/>
      <c r="C319" s="61"/>
      <c r="D319" s="61"/>
      <c r="E319" s="61"/>
      <c r="F319" s="61"/>
      <c r="G319" s="92">
        <f>H318</f>
        <v>-8396.7143366199816</v>
      </c>
      <c r="H319" s="13"/>
    </row>
    <row r="320" spans="1:8" outlineLevel="2" x14ac:dyDescent="0.2">
      <c r="A320" s="48" t="s">
        <v>138</v>
      </c>
      <c r="B320" s="58"/>
      <c r="C320" s="93">
        <f t="shared" ref="C320:F320" si="122">C318+C319</f>
        <v>-1182.7364859490865</v>
      </c>
      <c r="D320" s="93">
        <f t="shared" si="122"/>
        <v>-1152.0188440081652</v>
      </c>
      <c r="E320" s="93">
        <f t="shared" si="122"/>
        <v>-1126.8736176479392</v>
      </c>
      <c r="F320" s="93">
        <f t="shared" si="122"/>
        <v>-1150.1562786969771</v>
      </c>
      <c r="G320" s="93">
        <f>G318+G319</f>
        <v>-9583.9352530209017</v>
      </c>
      <c r="H320" s="13"/>
    </row>
    <row r="321" spans="1:6" outlineLevel="2" x14ac:dyDescent="0.2">
      <c r="A321" s="57"/>
      <c r="C321" s="62"/>
    </row>
    <row r="322" spans="1:6" outlineLevel="2" x14ac:dyDescent="0.2">
      <c r="A322" s="51" t="s">
        <v>139</v>
      </c>
      <c r="B322" s="30">
        <f>NPV(C315,C320:G320)</f>
        <v>-7262.4823964352781</v>
      </c>
    </row>
    <row r="323" spans="1:6" outlineLevel="2" x14ac:dyDescent="0.2">
      <c r="A323" s="51" t="s">
        <v>125</v>
      </c>
      <c r="B323" s="32">
        <f>C311</f>
        <v>5857.2905567528551</v>
      </c>
    </row>
    <row r="324" spans="1:6" outlineLevel="2" x14ac:dyDescent="0.2">
      <c r="A324" s="71" t="s">
        <v>121</v>
      </c>
      <c r="B324" s="69">
        <f>B322+B323</f>
        <v>-1405.1918396824231</v>
      </c>
    </row>
    <row r="325" spans="1:6" outlineLevel="2" x14ac:dyDescent="0.2">
      <c r="A325" s="65" t="s">
        <v>74</v>
      </c>
      <c r="B325" s="112">
        <f>B189</f>
        <v>-1405.1918396824244</v>
      </c>
    </row>
    <row r="326" spans="1:6" outlineLevel="2" x14ac:dyDescent="0.2">
      <c r="A326" s="49"/>
    </row>
    <row r="327" spans="1:6" outlineLevel="2" x14ac:dyDescent="0.2">
      <c r="A327" s="71" t="s">
        <v>122</v>
      </c>
      <c r="B327" s="69">
        <f>B307+B324</f>
        <v>39352.996131394975</v>
      </c>
    </row>
    <row r="328" spans="1:6" outlineLevel="2" x14ac:dyDescent="0.2">
      <c r="A328" s="65" t="s">
        <v>74</v>
      </c>
      <c r="B328" s="112">
        <f>B190</f>
        <v>39352.996131394975</v>
      </c>
    </row>
    <row r="329" spans="1:6" outlineLevel="2" x14ac:dyDescent="0.2"/>
    <row r="330" spans="1:6" outlineLevel="2" x14ac:dyDescent="0.2"/>
    <row r="331" spans="1:6" outlineLevel="1" x14ac:dyDescent="0.2">
      <c r="C331" s="13"/>
      <c r="D331" s="13"/>
      <c r="E331" s="13"/>
      <c r="F331" s="13"/>
    </row>
    <row r="332" spans="1:6" x14ac:dyDescent="0.2">
      <c r="C332" s="13"/>
      <c r="D332" s="13"/>
      <c r="E332" s="13"/>
      <c r="F332" s="13"/>
    </row>
    <row r="333" spans="1:6" x14ac:dyDescent="0.2">
      <c r="C333" s="13"/>
      <c r="D333" s="13"/>
      <c r="E333" s="13"/>
      <c r="F333" s="13"/>
    </row>
    <row r="334" spans="1:6" x14ac:dyDescent="0.2">
      <c r="C334" s="13"/>
      <c r="D334" s="13"/>
      <c r="E334" s="13"/>
      <c r="F334" s="13"/>
    </row>
    <row r="336" spans="1:6" x14ac:dyDescent="0.2">
      <c r="C336" s="13"/>
      <c r="D336" s="13"/>
      <c r="E336" s="13"/>
      <c r="F336" s="13"/>
    </row>
    <row r="337" spans="3:6" x14ac:dyDescent="0.2">
      <c r="C337" s="13"/>
      <c r="D337" s="13"/>
      <c r="E337" s="13"/>
      <c r="F337" s="13"/>
    </row>
    <row r="338" spans="3:6" x14ac:dyDescent="0.2">
      <c r="C338" s="13"/>
      <c r="D338" s="13"/>
      <c r="E338" s="13"/>
      <c r="F338" s="13"/>
    </row>
    <row r="339" spans="3:6" x14ac:dyDescent="0.2">
      <c r="C339" s="13"/>
      <c r="D339" s="13"/>
      <c r="E339" s="13"/>
      <c r="F339" s="13"/>
    </row>
  </sheetData>
  <mergeCells count="6">
    <mergeCell ref="A199:A203"/>
    <mergeCell ref="C196:G196"/>
    <mergeCell ref="C197:G197"/>
    <mergeCell ref="J3:O3"/>
    <mergeCell ref="J15:O15"/>
    <mergeCell ref="J27:O27"/>
  </mergeCells>
  <printOptions horizontalCentered="1" verticalCentered="1"/>
  <pageMargins left="0" right="0" top="0" bottom="0" header="0" footer="0"/>
  <pageSetup scale="60" orientation="landscape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11</xdr:col>
                    <xdr:colOff>19050</xdr:colOff>
                    <xdr:row>43</xdr:row>
                    <xdr:rowOff>19050</xdr:rowOff>
                  </from>
                  <to>
                    <xdr:col>12</xdr:col>
                    <xdr:colOff>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3</xdr:col>
                    <xdr:colOff>619125</xdr:colOff>
                    <xdr:row>189</xdr:row>
                    <xdr:rowOff>38100</xdr:rowOff>
                  </from>
                  <to>
                    <xdr:col>4</xdr:col>
                    <xdr:colOff>152400</xdr:colOff>
                    <xdr:row>191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74A2-28B7-4677-9A9B-7FB3778AB155}">
  <dimension ref="A1:G40"/>
  <sheetViews>
    <sheetView workbookViewId="0"/>
  </sheetViews>
  <sheetFormatPr defaultColWidth="11.19921875" defaultRowHeight="15" x14ac:dyDescent="0.2"/>
  <cols>
    <col min="1" max="1" width="27.19921875" bestFit="1" customWidth="1"/>
    <col min="2" max="2" width="13.09765625" bestFit="1" customWidth="1"/>
    <col min="7" max="7" width="70.8984375" bestFit="1" customWidth="1"/>
  </cols>
  <sheetData>
    <row r="1" spans="1:7" x14ac:dyDescent="0.2">
      <c r="B1" s="151">
        <v>2022</v>
      </c>
      <c r="C1" s="151" t="s">
        <v>239</v>
      </c>
      <c r="D1" s="151" t="s">
        <v>238</v>
      </c>
    </row>
    <row r="2" spans="1:7" x14ac:dyDescent="0.2">
      <c r="A2" t="s">
        <v>95</v>
      </c>
      <c r="B2" s="113">
        <f>'MODELO VALORACIÓN SIMPLIFICADO'!B40</f>
        <v>0.18149999999999999</v>
      </c>
      <c r="C2" s="113">
        <f>'MODELO VALORACIÓN SIMPLIFICADO'!C40</f>
        <v>0.18149999999999999</v>
      </c>
    </row>
    <row r="3" spans="1:7" x14ac:dyDescent="0.2">
      <c r="G3" s="148" t="s">
        <v>237</v>
      </c>
    </row>
    <row r="4" spans="1:7" x14ac:dyDescent="0.2">
      <c r="A4" t="s">
        <v>236</v>
      </c>
      <c r="B4" s="113">
        <f>('MODELO VALORACIÓN SIMPLIFICADO'!B54+'MODELO VALORACIÓN SIMPLIFICADO'!B100)/'MODELO VALORACIÓN SIMPLIFICADO'!B48</f>
        <v>0.17728623741048427</v>
      </c>
      <c r="G4" s="148" t="s">
        <v>236</v>
      </c>
    </row>
    <row r="5" spans="1:7" x14ac:dyDescent="0.2">
      <c r="A5" t="s">
        <v>235</v>
      </c>
      <c r="G5" s="148" t="s">
        <v>234</v>
      </c>
    </row>
    <row r="6" spans="1:7" x14ac:dyDescent="0.2">
      <c r="A6" t="s">
        <v>233</v>
      </c>
      <c r="B6" t="e">
        <f>'MODELO VALORACIÓN SIMPLIFICADO'!B119/'MODELO VALORACIÓN SIMPLIFICADO'!B141</f>
        <v>#DIV/0!</v>
      </c>
      <c r="C6">
        <f>'MODELO VALORACIÓN SIMPLIFICADO'!C119/'MODELO VALORACIÓN SIMPLIFICADO'!C141</f>
        <v>-69</v>
      </c>
      <c r="G6" s="148" t="s">
        <v>232</v>
      </c>
    </row>
    <row r="7" spans="1:7" x14ac:dyDescent="0.2">
      <c r="A7" t="s">
        <v>225</v>
      </c>
      <c r="B7" s="113" t="e">
        <f>'MODELO VALORACIÓN SIMPLIFICADO'!B119/(-'MODELO VALORACIÓN SIMPLIFICADO'!B136-'MODELO VALORACIÓN SIMPLIFICADO'!B150)</f>
        <v>#DIV/0!</v>
      </c>
      <c r="C7" s="113">
        <f>'MODELO VALORACIÓN SIMPLIFICADO'!C119/(-'MODELO VALORACIÓN SIMPLIFICADO'!C136-'MODELO VALORACIÓN SIMPLIFICADO'!C150)</f>
        <v>-13.735005716664842</v>
      </c>
      <c r="G7" s="148" t="s">
        <v>194</v>
      </c>
    </row>
    <row r="8" spans="1:7" x14ac:dyDescent="0.2">
      <c r="B8" s="113"/>
      <c r="C8" s="113"/>
      <c r="G8" s="148" t="s">
        <v>231</v>
      </c>
    </row>
    <row r="9" spans="1:7" x14ac:dyDescent="0.2">
      <c r="A9" t="s">
        <v>230</v>
      </c>
      <c r="B9" s="113">
        <f>('MODELO VALORACIÓN SIMPLIFICADO'!B96-'MODELO VALORACIÓN SIMPLIFICADO'!B95)/'MODELO VALORACIÓN SIMPLIFICADO'!B96</f>
        <v>0.39426495160814534</v>
      </c>
      <c r="C9" s="113">
        <f>('MODELO VALORACIÓN SIMPLIFICADO'!C96-'MODELO VALORACIÓN SIMPLIFICADO'!C95)/'MODELO VALORACIÓN SIMPLIFICADO'!C96</f>
        <v>0.33286973231265865</v>
      </c>
      <c r="E9" s="176" t="s">
        <v>229</v>
      </c>
      <c r="F9" s="150"/>
      <c r="G9" s="148" t="s">
        <v>228</v>
      </c>
    </row>
    <row r="10" spans="1:7" x14ac:dyDescent="0.2">
      <c r="A10" t="s">
        <v>227</v>
      </c>
      <c r="B10" s="113">
        <f>'MODELO VALORACIÓN SIMPLIFICADO'!B95/'MODELO VALORACIÓN SIMPLIFICADO'!B96</f>
        <v>0.60573504839185466</v>
      </c>
      <c r="C10" s="113">
        <f>'MODELO VALORACIÓN SIMPLIFICADO'!C95/'MODELO VALORACIÓN SIMPLIFICADO'!C96</f>
        <v>0.66713026768734141</v>
      </c>
      <c r="E10" s="176"/>
      <c r="F10" s="150"/>
      <c r="G10" s="148" t="s">
        <v>226</v>
      </c>
    </row>
    <row r="11" spans="1:7" x14ac:dyDescent="0.2">
      <c r="G11" s="148" t="s">
        <v>225</v>
      </c>
    </row>
    <row r="12" spans="1:7" x14ac:dyDescent="0.2">
      <c r="A12" t="s">
        <v>224</v>
      </c>
      <c r="B12" s="144">
        <v>3.4299999999999997E-2</v>
      </c>
      <c r="C12" s="144">
        <v>3.4299999999999997E-2</v>
      </c>
      <c r="G12" s="148" t="s">
        <v>95</v>
      </c>
    </row>
    <row r="13" spans="1:7" x14ac:dyDescent="0.2">
      <c r="A13" t="s">
        <v>223</v>
      </c>
      <c r="B13" s="144">
        <v>2.6599999999999999E-2</v>
      </c>
      <c r="C13" s="144">
        <v>2.6599999999999999E-2</v>
      </c>
      <c r="G13" s="148" t="s">
        <v>222</v>
      </c>
    </row>
    <row r="14" spans="1:7" x14ac:dyDescent="0.2">
      <c r="A14" t="s">
        <v>221</v>
      </c>
      <c r="B14">
        <v>1.1459577381297801</v>
      </c>
      <c r="C14">
        <v>1.1459577381297801</v>
      </c>
      <c r="G14" t="s">
        <v>220</v>
      </c>
    </row>
    <row r="15" spans="1:7" x14ac:dyDescent="0.2">
      <c r="A15" t="s">
        <v>219</v>
      </c>
      <c r="B15" s="144">
        <v>3.8399999999999997E-2</v>
      </c>
      <c r="C15" s="144">
        <v>3.8399999999999997E-2</v>
      </c>
      <c r="G15" t="s">
        <v>218</v>
      </c>
    </row>
    <row r="16" spans="1:7" x14ac:dyDescent="0.2">
      <c r="A16" t="s">
        <v>217</v>
      </c>
      <c r="B16" s="144">
        <f>B12+B14*B13+B15</f>
        <v>0.10318247583425214</v>
      </c>
      <c r="C16" s="144">
        <f>C12+C14*C13+C15</f>
        <v>0.10318247583425214</v>
      </c>
      <c r="G16" t="s">
        <v>216</v>
      </c>
    </row>
    <row r="17" spans="1:7" x14ac:dyDescent="0.2">
      <c r="A17" t="s">
        <v>215</v>
      </c>
      <c r="B17" s="144">
        <f>(B2-B16*B10)/(B9*(1-'MODELO VALORACIÓN SIMPLIFICADO'!C14))</f>
        <v>0.46434513535190564</v>
      </c>
      <c r="C17" s="144">
        <f>(C2-C16*C10)/(C9*(1-'MODELO VALORACIÓN SIMPLIFICADO'!D14))</f>
        <v>0.52071119415119138</v>
      </c>
      <c r="G17" t="s">
        <v>214</v>
      </c>
    </row>
    <row r="18" spans="1:7" x14ac:dyDescent="0.2">
      <c r="G18" t="s">
        <v>213</v>
      </c>
    </row>
    <row r="19" spans="1:7" x14ac:dyDescent="0.2">
      <c r="A19" t="s">
        <v>212</v>
      </c>
      <c r="B19" s="149">
        <f>'MODELO VALORACIÓN SIMPLIFICADO'!B48</f>
        <v>90224.924508630007</v>
      </c>
      <c r="C19" s="149">
        <f>'MODELO VALORACIÓN SIMPLIFICADO'!C48</f>
        <v>76691.185832335497</v>
      </c>
      <c r="D19" s="149">
        <f>C19-B19</f>
        <v>-13533.73867629451</v>
      </c>
      <c r="G19" t="s">
        <v>211</v>
      </c>
    </row>
    <row r="20" spans="1:7" x14ac:dyDescent="0.2">
      <c r="A20" t="s">
        <v>135</v>
      </c>
      <c r="B20" s="149" t="e">
        <f>(('MODELO VALORACIÓN SIMPLIFICADO'!B119/'MODELO VALORACIÓN SIMPLIFICADO'!B136)-'MODELO VALORACIÓN SIMPLIFICADO'!$B$40)*'MODELO VALORACIÓN SIMPLIFICADO'!B136</f>
        <v>#DIV/0!</v>
      </c>
      <c r="C20" s="149">
        <f>(('MODELO VALORACIÓN SIMPLIFICADO'!C119/'MODELO VALORACIÓN SIMPLIFICADO'!C136)-'MODELO VALORACIÓN SIMPLIFICADO'!$C$40)*'MODELO VALORACIÓN SIMPLIFICADO'!C136</f>
        <v>8170.6894974478337</v>
      </c>
      <c r="D20" s="149"/>
      <c r="G20" s="148" t="s">
        <v>210</v>
      </c>
    </row>
    <row r="21" spans="1:7" x14ac:dyDescent="0.2">
      <c r="A21" t="s">
        <v>209</v>
      </c>
      <c r="B21" s="149" t="e">
        <f>(('MODELO VALORACIÓN SIMPLIFICADO'!B141/'MODELO VALORACIÓN SIMPLIFICADO'!B150)-'MODELO VALORACIÓN SIMPLIFICADO'!$B$40)*'MODELO VALORACIÓN SIMPLIFICADO'!B150</f>
        <v>#DIV/0!</v>
      </c>
      <c r="C21" s="149">
        <f>(('MODELO VALORACIÓN SIMPLIFICADO'!C141/'MODELO VALORACIÓN SIMPLIFICADO'!C150)-'MODELO VALORACIÓN SIMPLIFICADO'!$C$40)*'MODELO VALORACIÓN SIMPLIFICADO'!C150</f>
        <v>-144.3739793444424</v>
      </c>
      <c r="D21" s="149"/>
      <c r="G21" s="148" t="s">
        <v>208</v>
      </c>
    </row>
    <row r="22" spans="1:7" ht="15.75" thickBot="1" x14ac:dyDescent="0.25">
      <c r="A22" s="9" t="s">
        <v>207</v>
      </c>
      <c r="B22" s="147" t="e">
        <f>B20+B21</f>
        <v>#DIV/0!</v>
      </c>
      <c r="C22" s="147">
        <f>C20+C21</f>
        <v>8026.3155181033917</v>
      </c>
      <c r="D22" s="147" t="e">
        <f>C22-B22</f>
        <v>#DIV/0!</v>
      </c>
      <c r="G22" t="s">
        <v>206</v>
      </c>
    </row>
    <row r="23" spans="1:7" ht="15.75" thickTop="1" x14ac:dyDescent="0.2">
      <c r="A23" t="s">
        <v>205</v>
      </c>
      <c r="B23" s="113" t="e">
        <f>B22/B19</f>
        <v>#DIV/0!</v>
      </c>
      <c r="C23" s="113">
        <f>C22/C19</f>
        <v>0.10465760088324565</v>
      </c>
      <c r="D23" s="113" t="e">
        <f>C23-B23</f>
        <v>#DIV/0!</v>
      </c>
    </row>
    <row r="24" spans="1:7" x14ac:dyDescent="0.2">
      <c r="A24" t="s">
        <v>204</v>
      </c>
      <c r="C24" s="113">
        <f>D19/C19</f>
        <v>-0.17647058823529424</v>
      </c>
    </row>
    <row r="25" spans="1:7" x14ac:dyDescent="0.2">
      <c r="A25" t="s">
        <v>203</v>
      </c>
      <c r="C25" t="e">
        <f>C28+C29</f>
        <v>#DIV/0!</v>
      </c>
    </row>
    <row r="27" spans="1:7" x14ac:dyDescent="0.2">
      <c r="D27" t="s">
        <v>202</v>
      </c>
    </row>
    <row r="28" spans="1:7" x14ac:dyDescent="0.2">
      <c r="A28" t="s">
        <v>201</v>
      </c>
      <c r="B28">
        <v>0</v>
      </c>
      <c r="C28" s="144">
        <f>C23*C24</f>
        <v>-1.8468988391161009E-2</v>
      </c>
      <c r="D28" t="e">
        <f>C28/$C$25</f>
        <v>#DIV/0!</v>
      </c>
    </row>
    <row r="29" spans="1:7" x14ac:dyDescent="0.2">
      <c r="A29" t="s">
        <v>200</v>
      </c>
      <c r="B29">
        <v>0</v>
      </c>
      <c r="C29" s="144" t="e">
        <f>D23</f>
        <v>#DIV/0!</v>
      </c>
      <c r="D29" t="e">
        <f>C29/$C$25</f>
        <v>#DIV/0!</v>
      </c>
    </row>
    <row r="32" spans="1:7" x14ac:dyDescent="0.2">
      <c r="A32" t="s">
        <v>199</v>
      </c>
      <c r="B32" s="113">
        <f>'MODELO VALORACIÓN SIMPLIFICADO'!B61/'MODELO VALORACIÓN SIMPLIFICADO'!B95</f>
        <v>0.47222098816997643</v>
      </c>
      <c r="C32" s="113">
        <f>'MODELO VALORACIÓN SIMPLIFICADO'!C61/'MODELO VALORACIÓN SIMPLIFICADO'!C95</f>
        <v>0.32328104442050526</v>
      </c>
    </row>
    <row r="33" spans="1:3" x14ac:dyDescent="0.2">
      <c r="A33" t="s">
        <v>198</v>
      </c>
      <c r="B33" s="113">
        <f>'MODELO VALORACIÓN SIMPLIFICADO'!B61/'MODELO VALORACIÓN SIMPLIFICADO'!B81</f>
        <v>0.28604080312079011</v>
      </c>
      <c r="C33" s="113">
        <f>'MODELO VALORACIÓN SIMPLIFICADO'!C61/'MODELO VALORACIÓN SIMPLIFICADO'!C81</f>
        <v>0.21567056970249496</v>
      </c>
    </row>
    <row r="34" spans="1:3" x14ac:dyDescent="0.2">
      <c r="A34" t="s">
        <v>197</v>
      </c>
      <c r="B34" s="146">
        <v>1</v>
      </c>
      <c r="C34" s="146">
        <v>1</v>
      </c>
    </row>
    <row r="35" spans="1:3" x14ac:dyDescent="0.2">
      <c r="A35" t="s">
        <v>196</v>
      </c>
      <c r="B35" s="113">
        <f>(B33*B34)/(1-(B33*B34))</f>
        <v>0.40064026679830489</v>
      </c>
      <c r="C35" s="113">
        <f>(C33*C34)/(1-(C33*C34))</f>
        <v>0.27497447038381395</v>
      </c>
    </row>
    <row r="36" spans="1:3" x14ac:dyDescent="0.2">
      <c r="A36" t="s">
        <v>195</v>
      </c>
      <c r="B36" s="113">
        <f>(B32*B34)/(1-(B32*B34))</f>
        <v>0.89473241183387531</v>
      </c>
      <c r="C36" s="113">
        <f>(C32*C34)/(1-(C32*C34))</f>
        <v>0.47771832273217463</v>
      </c>
    </row>
    <row r="38" spans="1:3" x14ac:dyDescent="0.2">
      <c r="A38" t="s">
        <v>194</v>
      </c>
      <c r="B38" s="145">
        <v>0.7</v>
      </c>
      <c r="C38" s="145">
        <v>0.7</v>
      </c>
    </row>
    <row r="40" spans="1:3" x14ac:dyDescent="0.2">
      <c r="A40" t="s">
        <v>193</v>
      </c>
      <c r="B40" s="113">
        <f>'MODELO VALORACIÓN SIMPLIFICADO'!B81/'MODELO VALORACIÓN SIMPLIFICADO'!B48</f>
        <v>0.41580028999685664</v>
      </c>
      <c r="C40" s="113">
        <f>'MODELO VALORACIÓN SIMPLIFICADO'!C81/'MODELO VALORACIÓN SIMPLIFICADO'!C48</f>
        <v>0.49186126853715467</v>
      </c>
    </row>
  </sheetData>
  <mergeCells count="1"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 VALORACIÓN SIMPLIFICADO</vt:lpstr>
      <vt:lpstr>KPI's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Juan Camilo Escobar Gonzalez</cp:lastModifiedBy>
  <cp:lastPrinted>2018-06-07T20:03:38Z</cp:lastPrinted>
  <dcterms:created xsi:type="dcterms:W3CDTF">2011-01-01T22:12:31Z</dcterms:created>
  <dcterms:modified xsi:type="dcterms:W3CDTF">2023-04-26T03:42:23Z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