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NIGOJ\OneDrive\Desktop\NICO\MAF\Semestre 2\Administración y Valoración Financiera\Trabajo Final\"/>
    </mc:Choice>
  </mc:AlternateContent>
  <xr:revisionPtr revIDLastSave="0" documentId="13_ncr:1_{10D1D0D2-E855-464E-B4B8-E11BFE7DE88C}" xr6:coauthVersionLast="47" xr6:coauthVersionMax="47" xr10:uidLastSave="{00000000-0000-0000-0000-000000000000}"/>
  <bookViews>
    <workbookView xWindow="-108" yWindow="-108" windowWidth="23256" windowHeight="12456" tabRatio="902" firstSheet="2" activeTab="8" xr2:uid="{3CF2CE5B-43D7-4358-B9B9-2D0E19DA167E}"/>
  </bookViews>
  <sheets>
    <sheet name="ESF 2021-2020" sheetId="2" r:id="rId1"/>
    <sheet name="ER 2021-2020 " sheetId="1" r:id="rId2"/>
    <sheet name="EVA 2021-2022" sheetId="5" r:id="rId3"/>
    <sheet name="ESF 2022-2021" sheetId="3" r:id="rId4"/>
    <sheet name="ER 2022-2021 " sheetId="4" r:id="rId5"/>
    <sheet name="VALORACIÓN ALUICA" sheetId="7" r:id="rId6"/>
    <sheet name="Hoja2" sheetId="11" r:id="rId7"/>
    <sheet name="EEFF" sheetId="9" r:id="rId8"/>
    <sheet name="Slides Valuation" sheetId="10" r:id="rId9"/>
    <sheet name="KPIs" sheetId="8"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0" localSheetId="4">#REF!</definedName>
    <definedName name="\0" localSheetId="3">#REF!</definedName>
    <definedName name="\0">#REF!</definedName>
    <definedName name="\a" localSheetId="4">#REF!</definedName>
    <definedName name="\a" localSheetId="3">#REF!</definedName>
    <definedName name="\a">#REF!</definedName>
    <definedName name="\m" localSheetId="4">#REF!</definedName>
    <definedName name="\m" localSheetId="3">#REF!</definedName>
    <definedName name="\m">#REF!</definedName>
    <definedName name="\q" localSheetId="4">#REF!</definedName>
    <definedName name="\q" localSheetId="3">#REF!</definedName>
    <definedName name="\q">#REF!</definedName>
    <definedName name="\v" localSheetId="4">#REF!</definedName>
    <definedName name="\v" localSheetId="3">#REF!</definedName>
    <definedName name="\v">#REF!</definedName>
    <definedName name="____act1" localSheetId="4">#REF!</definedName>
    <definedName name="____act1" localSheetId="3">#REF!</definedName>
    <definedName name="____act1">#REF!</definedName>
    <definedName name="____act2" localSheetId="4">#REF!</definedName>
    <definedName name="____act2" localSheetId="3">#REF!</definedName>
    <definedName name="____act2">#REF!</definedName>
    <definedName name="____act3" localSheetId="4">#REF!</definedName>
    <definedName name="____act3" localSheetId="3">#REF!</definedName>
    <definedName name="____act3">#REF!</definedName>
    <definedName name="____apf1" localSheetId="4">#REF!</definedName>
    <definedName name="____apf1" localSheetId="3">#REF!</definedName>
    <definedName name="____apf1">#REF!</definedName>
    <definedName name="____arp1" localSheetId="4">#REF!</definedName>
    <definedName name="____arp1" localSheetId="3">#REF!</definedName>
    <definedName name="____arp1">#REF!</definedName>
    <definedName name="____cmd1" localSheetId="4">#REF!</definedName>
    <definedName name="____cmd1" localSheetId="3">#REF!</definedName>
    <definedName name="____cmd1">#REF!</definedName>
    <definedName name="____END1" localSheetId="4">#REF!</definedName>
    <definedName name="____END1" localSheetId="3">#REF!</definedName>
    <definedName name="____END1">#REF!</definedName>
    <definedName name="____gas1" localSheetId="4">#REF!</definedName>
    <definedName name="____gas1" localSheetId="3">#REF!</definedName>
    <definedName name="____gas1">#REF!</definedName>
    <definedName name="____gas2" localSheetId="4">#REF!</definedName>
    <definedName name="____gas2" localSheetId="3">#REF!</definedName>
    <definedName name="____gas2">#REF!</definedName>
    <definedName name="____gas3" localSheetId="4">#REF!</definedName>
    <definedName name="____gas3" localSheetId="3">#REF!</definedName>
    <definedName name="____gas3">#REF!</definedName>
    <definedName name="____gas4" localSheetId="4">#REF!</definedName>
    <definedName name="____gas4" localSheetId="3">#REF!</definedName>
    <definedName name="____gas4">#REF!</definedName>
    <definedName name="____gas5" localSheetId="4">#REF!</definedName>
    <definedName name="____gas5" localSheetId="3">#REF!</definedName>
    <definedName name="____gas5">#REF!</definedName>
    <definedName name="____GND1" localSheetId="4">#REF!</definedName>
    <definedName name="____GND1" localSheetId="3">#REF!</definedName>
    <definedName name="____GND1">#REF!</definedName>
    <definedName name="____GND2" localSheetId="4">#REF!</definedName>
    <definedName name="____GND2" localSheetId="3">#REF!</definedName>
    <definedName name="____GND2">#REF!</definedName>
    <definedName name="____GND3" localSheetId="4">#REF!</definedName>
    <definedName name="____GND3" localSheetId="3">#REF!</definedName>
    <definedName name="____GND3">#REF!</definedName>
    <definedName name="____GND4" localSheetId="4">#REF!</definedName>
    <definedName name="____GND4" localSheetId="3">#REF!</definedName>
    <definedName name="____GND4">#REF!</definedName>
    <definedName name="____GND5" localSheetId="4">#REF!</definedName>
    <definedName name="____GND5" localSheetId="3">#REF!</definedName>
    <definedName name="____GND5">#REF!</definedName>
    <definedName name="____GTO1" localSheetId="4">#REF!</definedName>
    <definedName name="____GTO1" localSheetId="3">#REF!</definedName>
    <definedName name="____GTO1">#REF!</definedName>
    <definedName name="____IMP1" localSheetId="4">#REF!</definedName>
    <definedName name="____IMP1" localSheetId="3">#REF!</definedName>
    <definedName name="____IMP1">#REF!</definedName>
    <definedName name="____ing1" localSheetId="4">#REF!</definedName>
    <definedName name="____ing1" localSheetId="3">#REF!</definedName>
    <definedName name="____ing1">#REF!</definedName>
    <definedName name="____ing2" localSheetId="4">#REF!</definedName>
    <definedName name="____ing2" localSheetId="3">#REF!</definedName>
    <definedName name="____ing2">#REF!</definedName>
    <definedName name="____ing3" localSheetId="4">#REF!</definedName>
    <definedName name="____ing3" localSheetId="3">#REF!</definedName>
    <definedName name="____ing3">#REF!</definedName>
    <definedName name="____pas1" localSheetId="4">#REF!</definedName>
    <definedName name="____pas1" localSheetId="3">#REF!</definedName>
    <definedName name="____pas1">#REF!</definedName>
    <definedName name="____pas2" localSheetId="4">#REF!</definedName>
    <definedName name="____pas2" localSheetId="3">#REF!</definedName>
    <definedName name="____pas2">#REF!</definedName>
    <definedName name="____pat1" localSheetId="4">#REF!</definedName>
    <definedName name="____pat1" localSheetId="3">#REF!</definedName>
    <definedName name="____pat1">#REF!</definedName>
    <definedName name="____PF1" localSheetId="4">#REF!</definedName>
    <definedName name="____PF1" localSheetId="3">#REF!</definedName>
    <definedName name="____PF1">#REF!</definedName>
    <definedName name="____PF2" localSheetId="4">#REF!</definedName>
    <definedName name="____PF2" localSheetId="3">#REF!</definedName>
    <definedName name="____PF2">#REF!</definedName>
    <definedName name="____PF3" localSheetId="4">#REF!</definedName>
    <definedName name="____PF3" localSheetId="3">#REF!</definedName>
    <definedName name="____PF3">#REF!</definedName>
    <definedName name="____PF4" localSheetId="4">#REF!</definedName>
    <definedName name="____PF4" localSheetId="3">#REF!</definedName>
    <definedName name="____PF4">#REF!</definedName>
    <definedName name="____PF5" localSheetId="4">#REF!</definedName>
    <definedName name="____PF5" localSheetId="3">#REF!</definedName>
    <definedName name="____PF5">#REF!</definedName>
    <definedName name="____TR10" localSheetId="4">#REF!</definedName>
    <definedName name="____TR10" localSheetId="3">#REF!</definedName>
    <definedName name="____TR10">#REF!</definedName>
    <definedName name="____TR11" localSheetId="4">#REF!</definedName>
    <definedName name="____TR11" localSheetId="3">#REF!</definedName>
    <definedName name="____TR11">#REF!</definedName>
    <definedName name="____TR12" localSheetId="4">#REF!</definedName>
    <definedName name="____TR12" localSheetId="3">#REF!</definedName>
    <definedName name="____TR12">#REF!</definedName>
    <definedName name="____TR13" localSheetId="4">#REF!</definedName>
    <definedName name="____TR13" localSheetId="3">#REF!</definedName>
    <definedName name="____TR13">#REF!</definedName>
    <definedName name="____TR14" localSheetId="4">#REF!</definedName>
    <definedName name="____TR14" localSheetId="3">#REF!</definedName>
    <definedName name="____TR14">#REF!</definedName>
    <definedName name="____TR15" localSheetId="4">#REF!</definedName>
    <definedName name="____TR15" localSheetId="3">#REF!</definedName>
    <definedName name="____TR15">#REF!</definedName>
    <definedName name="____TR16" localSheetId="4">#REF!</definedName>
    <definedName name="____TR16" localSheetId="3">#REF!</definedName>
    <definedName name="____TR16">#REF!</definedName>
    <definedName name="____XX1" localSheetId="4">#REF!</definedName>
    <definedName name="____XX1" localSheetId="3">#REF!</definedName>
    <definedName name="____XX1">#REF!</definedName>
    <definedName name="____XX10" localSheetId="4">#REF!</definedName>
    <definedName name="____XX10" localSheetId="3">#REF!</definedName>
    <definedName name="____XX10">#REF!</definedName>
    <definedName name="____XX11" localSheetId="4">#REF!</definedName>
    <definedName name="____XX11" localSheetId="3">#REF!</definedName>
    <definedName name="____XX11">#REF!</definedName>
    <definedName name="____XX12" localSheetId="4">#REF!</definedName>
    <definedName name="____XX12" localSheetId="3">#REF!</definedName>
    <definedName name="____XX12">#REF!</definedName>
    <definedName name="____XX2" localSheetId="4">#REF!</definedName>
    <definedName name="____XX2" localSheetId="3">#REF!</definedName>
    <definedName name="____XX2">#REF!</definedName>
    <definedName name="____XX3" localSheetId="4">#REF!</definedName>
    <definedName name="____XX3" localSheetId="3">#REF!</definedName>
    <definedName name="____XX3">#REF!</definedName>
    <definedName name="____XX4" localSheetId="4">#REF!</definedName>
    <definedName name="____XX4" localSheetId="3">#REF!</definedName>
    <definedName name="____XX4">#REF!</definedName>
    <definedName name="____XX5" localSheetId="4">#REF!</definedName>
    <definedName name="____XX5" localSheetId="3">#REF!</definedName>
    <definedName name="____XX5">#REF!</definedName>
    <definedName name="____XX6" localSheetId="4">#REF!</definedName>
    <definedName name="____XX6" localSheetId="3">#REF!</definedName>
    <definedName name="____XX6">#REF!</definedName>
    <definedName name="____XX7" localSheetId="4">#REF!</definedName>
    <definedName name="____XX7" localSheetId="3">#REF!</definedName>
    <definedName name="____XX7">#REF!</definedName>
    <definedName name="____XX8" localSheetId="4">#REF!</definedName>
    <definedName name="____XX8" localSheetId="3">#REF!</definedName>
    <definedName name="____XX8">#REF!</definedName>
    <definedName name="____XX9" localSheetId="4">#REF!</definedName>
    <definedName name="____XX9" localSheetId="3">#REF!</definedName>
    <definedName name="____XX9">#REF!</definedName>
    <definedName name="___act1" localSheetId="4">#REF!</definedName>
    <definedName name="___act1" localSheetId="3">#REF!</definedName>
    <definedName name="___act1">#REF!</definedName>
    <definedName name="___act2" localSheetId="4">#REF!</definedName>
    <definedName name="___act2" localSheetId="3">#REF!</definedName>
    <definedName name="___act2">#REF!</definedName>
    <definedName name="___act3" localSheetId="4">#REF!</definedName>
    <definedName name="___act3" localSheetId="3">#REF!</definedName>
    <definedName name="___act3">#REF!</definedName>
    <definedName name="___apf1" localSheetId="4">#REF!</definedName>
    <definedName name="___apf1" localSheetId="3">#REF!</definedName>
    <definedName name="___apf1">#REF!</definedName>
    <definedName name="___arp1" localSheetId="4">#REF!</definedName>
    <definedName name="___arp1" localSheetId="3">#REF!</definedName>
    <definedName name="___arp1">#REF!</definedName>
    <definedName name="___cmd1" localSheetId="4">#REF!</definedName>
    <definedName name="___cmd1" localSheetId="3">#REF!</definedName>
    <definedName name="___cmd1">#REF!</definedName>
    <definedName name="___END1" localSheetId="4">#REF!</definedName>
    <definedName name="___END1" localSheetId="3">#REF!</definedName>
    <definedName name="___END1">#REF!</definedName>
    <definedName name="___gas1" localSheetId="4">#REF!</definedName>
    <definedName name="___gas1" localSheetId="3">#REF!</definedName>
    <definedName name="___gas1">#REF!</definedName>
    <definedName name="___gas2" localSheetId="4">#REF!</definedName>
    <definedName name="___gas2" localSheetId="3">#REF!</definedName>
    <definedName name="___gas2">#REF!</definedName>
    <definedName name="___gas3" localSheetId="4">#REF!</definedName>
    <definedName name="___gas3" localSheetId="3">#REF!</definedName>
    <definedName name="___gas3">#REF!</definedName>
    <definedName name="___gas4" localSheetId="4">#REF!</definedName>
    <definedName name="___gas4" localSheetId="3">#REF!</definedName>
    <definedName name="___gas4">#REF!</definedName>
    <definedName name="___gas5" localSheetId="4">#REF!</definedName>
    <definedName name="___gas5" localSheetId="3">#REF!</definedName>
    <definedName name="___gas5">#REF!</definedName>
    <definedName name="___GND1" localSheetId="4">#REF!</definedName>
    <definedName name="___GND1" localSheetId="3">#REF!</definedName>
    <definedName name="___GND1">#REF!</definedName>
    <definedName name="___GND2" localSheetId="4">#REF!</definedName>
    <definedName name="___GND2" localSheetId="3">#REF!</definedName>
    <definedName name="___GND2">#REF!</definedName>
    <definedName name="___GND3" localSheetId="4">#REF!</definedName>
    <definedName name="___GND3" localSheetId="3">#REF!</definedName>
    <definedName name="___GND3">#REF!</definedName>
    <definedName name="___GND4" localSheetId="4">#REF!</definedName>
    <definedName name="___GND4" localSheetId="3">#REF!</definedName>
    <definedName name="___GND4">#REF!</definedName>
    <definedName name="___GND5" localSheetId="4">#REF!</definedName>
    <definedName name="___GND5" localSheetId="3">#REF!</definedName>
    <definedName name="___GND5">#REF!</definedName>
    <definedName name="___GTO1" localSheetId="4">#REF!</definedName>
    <definedName name="___GTO1" localSheetId="3">#REF!</definedName>
    <definedName name="___GTO1">#REF!</definedName>
    <definedName name="___IMP1" localSheetId="4">#REF!</definedName>
    <definedName name="___IMP1" localSheetId="3">#REF!</definedName>
    <definedName name="___IMP1">#REF!</definedName>
    <definedName name="___ing1" localSheetId="4">#REF!</definedName>
    <definedName name="___ing1" localSheetId="3">#REF!</definedName>
    <definedName name="___ing1">#REF!</definedName>
    <definedName name="___ing2" localSheetId="4">#REF!</definedName>
    <definedName name="___ing2" localSheetId="3">#REF!</definedName>
    <definedName name="___ing2">#REF!</definedName>
    <definedName name="___ing3" localSheetId="4">#REF!</definedName>
    <definedName name="___ing3" localSheetId="3">#REF!</definedName>
    <definedName name="___ing3">#REF!</definedName>
    <definedName name="___pas1" localSheetId="4">#REF!</definedName>
    <definedName name="___pas1" localSheetId="3">#REF!</definedName>
    <definedName name="___pas1">#REF!</definedName>
    <definedName name="___pas2" localSheetId="4">#REF!</definedName>
    <definedName name="___pas2" localSheetId="3">#REF!</definedName>
    <definedName name="___pas2">#REF!</definedName>
    <definedName name="___pat1" localSheetId="4">#REF!</definedName>
    <definedName name="___pat1" localSheetId="3">#REF!</definedName>
    <definedName name="___pat1">#REF!</definedName>
    <definedName name="___PF1" localSheetId="4">#REF!</definedName>
    <definedName name="___PF1" localSheetId="3">#REF!</definedName>
    <definedName name="___PF1">#REF!</definedName>
    <definedName name="___PF2" localSheetId="4">#REF!</definedName>
    <definedName name="___PF2" localSheetId="3">#REF!</definedName>
    <definedName name="___PF2">#REF!</definedName>
    <definedName name="___PF3" localSheetId="4">#REF!</definedName>
    <definedName name="___PF3" localSheetId="3">#REF!</definedName>
    <definedName name="___PF3">#REF!</definedName>
    <definedName name="___PF4" localSheetId="4">#REF!</definedName>
    <definedName name="___PF4" localSheetId="3">#REF!</definedName>
    <definedName name="___PF4">#REF!</definedName>
    <definedName name="___PF5" localSheetId="4">#REF!</definedName>
    <definedName name="___PF5" localSheetId="3">#REF!</definedName>
    <definedName name="___PF5">#REF!</definedName>
    <definedName name="___TR10" localSheetId="4">#REF!</definedName>
    <definedName name="___TR10" localSheetId="3">#REF!</definedName>
    <definedName name="___TR10">#REF!</definedName>
    <definedName name="___TR11" localSheetId="4">#REF!</definedName>
    <definedName name="___TR11" localSheetId="3">#REF!</definedName>
    <definedName name="___TR11">#REF!</definedName>
    <definedName name="___TR12" localSheetId="4">#REF!</definedName>
    <definedName name="___TR12" localSheetId="3">#REF!</definedName>
    <definedName name="___TR12">#REF!</definedName>
    <definedName name="___TR13" localSheetId="4">#REF!</definedName>
    <definedName name="___TR13" localSheetId="3">#REF!</definedName>
    <definedName name="___TR13">#REF!</definedName>
    <definedName name="___TR14" localSheetId="4">#REF!</definedName>
    <definedName name="___TR14" localSheetId="3">#REF!</definedName>
    <definedName name="___TR14">#REF!</definedName>
    <definedName name="___TR15" localSheetId="4">#REF!</definedName>
    <definedName name="___TR15" localSheetId="3">#REF!</definedName>
    <definedName name="___TR15">#REF!</definedName>
    <definedName name="___TR16" localSheetId="4">#REF!</definedName>
    <definedName name="___TR16" localSheetId="3">#REF!</definedName>
    <definedName name="___TR16">#REF!</definedName>
    <definedName name="___XX1" localSheetId="4">#REF!</definedName>
    <definedName name="___XX1" localSheetId="3">#REF!</definedName>
    <definedName name="___XX1">#REF!</definedName>
    <definedName name="___XX10" localSheetId="4">#REF!</definedName>
    <definedName name="___XX10" localSheetId="3">#REF!</definedName>
    <definedName name="___XX10">#REF!</definedName>
    <definedName name="___XX11" localSheetId="4">#REF!</definedName>
    <definedName name="___XX11" localSheetId="3">#REF!</definedName>
    <definedName name="___XX11">#REF!</definedName>
    <definedName name="___XX12" localSheetId="4">#REF!</definedName>
    <definedName name="___XX12" localSheetId="3">#REF!</definedName>
    <definedName name="___XX12">#REF!</definedName>
    <definedName name="___XX2" localSheetId="4">#REF!</definedName>
    <definedName name="___XX2" localSheetId="3">#REF!</definedName>
    <definedName name="___XX2">#REF!</definedName>
    <definedName name="___XX3" localSheetId="4">#REF!</definedName>
    <definedName name="___XX3" localSheetId="3">#REF!</definedName>
    <definedName name="___XX3">#REF!</definedName>
    <definedName name="___XX4" localSheetId="4">#REF!</definedName>
    <definedName name="___XX4" localSheetId="3">#REF!</definedName>
    <definedName name="___XX4">#REF!</definedName>
    <definedName name="___XX5" localSheetId="4">#REF!</definedName>
    <definedName name="___XX5" localSheetId="3">#REF!</definedName>
    <definedName name="___XX5">#REF!</definedName>
    <definedName name="___XX6" localSheetId="4">#REF!</definedName>
    <definedName name="___XX6" localSheetId="3">#REF!</definedName>
    <definedName name="___XX6">#REF!</definedName>
    <definedName name="___XX7" localSheetId="4">#REF!</definedName>
    <definedName name="___XX7" localSheetId="3">#REF!</definedName>
    <definedName name="___XX7">#REF!</definedName>
    <definedName name="___XX8" localSheetId="4">#REF!</definedName>
    <definedName name="___XX8" localSheetId="3">#REF!</definedName>
    <definedName name="___XX8">#REF!</definedName>
    <definedName name="___XX9" localSheetId="4">#REF!</definedName>
    <definedName name="___XX9" localSheetId="3">#REF!</definedName>
    <definedName name="___XX9">#REF!</definedName>
    <definedName name="__act1" localSheetId="4">#REF!</definedName>
    <definedName name="__act1" localSheetId="3">#REF!</definedName>
    <definedName name="__act1">#REF!</definedName>
    <definedName name="__act2" localSheetId="4">#REF!</definedName>
    <definedName name="__act2" localSheetId="3">#REF!</definedName>
    <definedName name="__act2">#REF!</definedName>
    <definedName name="__act3" localSheetId="4">#REF!</definedName>
    <definedName name="__act3" localSheetId="3">#REF!</definedName>
    <definedName name="__act3">#REF!</definedName>
    <definedName name="__apf1" localSheetId="4">#REF!</definedName>
    <definedName name="__apf1" localSheetId="3">#REF!</definedName>
    <definedName name="__apf1">#REF!</definedName>
    <definedName name="__arp1" localSheetId="4">#REF!</definedName>
    <definedName name="__arp1" localSheetId="3">#REF!</definedName>
    <definedName name="__arp1">#REF!</definedName>
    <definedName name="__cmd1" localSheetId="4">#REF!</definedName>
    <definedName name="__cmd1" localSheetId="3">#REF!</definedName>
    <definedName name="__cmd1">#REF!</definedName>
    <definedName name="__END1" localSheetId="4">#REF!</definedName>
    <definedName name="__END1" localSheetId="3">#REF!</definedName>
    <definedName name="__END1">#REF!</definedName>
    <definedName name="__gas1" localSheetId="4">#REF!</definedName>
    <definedName name="__gas1" localSheetId="3">#REF!</definedName>
    <definedName name="__gas1">#REF!</definedName>
    <definedName name="__gas2" localSheetId="4">#REF!</definedName>
    <definedName name="__gas2" localSheetId="3">#REF!</definedName>
    <definedName name="__gas2">#REF!</definedName>
    <definedName name="__gas3" localSheetId="4">#REF!</definedName>
    <definedName name="__gas3" localSheetId="3">#REF!</definedName>
    <definedName name="__gas3">#REF!</definedName>
    <definedName name="__gas4" localSheetId="4">#REF!</definedName>
    <definedName name="__gas4" localSheetId="3">#REF!</definedName>
    <definedName name="__gas4">#REF!</definedName>
    <definedName name="__gas5" localSheetId="4">#REF!</definedName>
    <definedName name="__gas5" localSheetId="3">#REF!</definedName>
    <definedName name="__gas5">#REF!</definedName>
    <definedName name="__GND1" localSheetId="4">#REF!</definedName>
    <definedName name="__GND1" localSheetId="3">#REF!</definedName>
    <definedName name="__GND1">#REF!</definedName>
    <definedName name="__GND2" localSheetId="4">#REF!</definedName>
    <definedName name="__GND2" localSheetId="3">#REF!</definedName>
    <definedName name="__GND2">#REF!</definedName>
    <definedName name="__GND3" localSheetId="4">#REF!</definedName>
    <definedName name="__GND3" localSheetId="3">#REF!</definedName>
    <definedName name="__GND3">#REF!</definedName>
    <definedName name="__GND4" localSheetId="4">#REF!</definedName>
    <definedName name="__GND4" localSheetId="3">#REF!</definedName>
    <definedName name="__GND4">#REF!</definedName>
    <definedName name="__GND5" localSheetId="4">#REF!</definedName>
    <definedName name="__GND5" localSheetId="3">#REF!</definedName>
    <definedName name="__GND5">#REF!</definedName>
    <definedName name="__GTO1" localSheetId="4">#REF!</definedName>
    <definedName name="__GTO1" localSheetId="3">#REF!</definedName>
    <definedName name="__GTO1">#REF!</definedName>
    <definedName name="__IMP1" localSheetId="4">#REF!</definedName>
    <definedName name="__IMP1" localSheetId="3">#REF!</definedName>
    <definedName name="__IMP1">#REF!</definedName>
    <definedName name="__ing1" localSheetId="4">#REF!</definedName>
    <definedName name="__ing1" localSheetId="3">#REF!</definedName>
    <definedName name="__ing1">#REF!</definedName>
    <definedName name="__ing2" localSheetId="4">#REF!</definedName>
    <definedName name="__ing2" localSheetId="3">#REF!</definedName>
    <definedName name="__ing2">#REF!</definedName>
    <definedName name="__ing3" localSheetId="4">#REF!</definedName>
    <definedName name="__ing3" localSheetId="3">#REF!</definedName>
    <definedName name="__ing3">#REF!</definedName>
    <definedName name="__pas1" localSheetId="4">#REF!</definedName>
    <definedName name="__pas1" localSheetId="3">#REF!</definedName>
    <definedName name="__pas1">#REF!</definedName>
    <definedName name="__pas2" localSheetId="4">#REF!</definedName>
    <definedName name="__pas2" localSheetId="3">#REF!</definedName>
    <definedName name="__pas2">#REF!</definedName>
    <definedName name="__pat1" localSheetId="4">#REF!</definedName>
    <definedName name="__pat1" localSheetId="3">#REF!</definedName>
    <definedName name="__pat1">#REF!</definedName>
    <definedName name="__PF1" localSheetId="4">#REF!</definedName>
    <definedName name="__PF1" localSheetId="3">#REF!</definedName>
    <definedName name="__PF1">#REF!</definedName>
    <definedName name="__PF2" localSheetId="4">#REF!</definedName>
    <definedName name="__PF2" localSheetId="3">#REF!</definedName>
    <definedName name="__PF2">#REF!</definedName>
    <definedName name="__PF3" localSheetId="4">#REF!</definedName>
    <definedName name="__PF3" localSheetId="3">#REF!</definedName>
    <definedName name="__PF3">#REF!</definedName>
    <definedName name="__PF4" localSheetId="4">#REF!</definedName>
    <definedName name="__PF4" localSheetId="3">#REF!</definedName>
    <definedName name="__PF4">#REF!</definedName>
    <definedName name="__PF5" localSheetId="4">#REF!</definedName>
    <definedName name="__PF5" localSheetId="3">#REF!</definedName>
    <definedName name="__PF5">#REF!</definedName>
    <definedName name="__RAN1" localSheetId="4">#REF!</definedName>
    <definedName name="__RAN1" localSheetId="3">#REF!</definedName>
    <definedName name="__RAN1">#REF!</definedName>
    <definedName name="__RAN10" localSheetId="4">#REF!</definedName>
    <definedName name="__RAN10" localSheetId="3">#REF!</definedName>
    <definedName name="__RAN10">#REF!</definedName>
    <definedName name="__RAN11" localSheetId="4">#REF!</definedName>
    <definedName name="__RAN11" localSheetId="3">#REF!</definedName>
    <definedName name="__RAN11">#REF!</definedName>
    <definedName name="__RAN12" localSheetId="4">#REF!</definedName>
    <definedName name="__RAN12" localSheetId="3">#REF!</definedName>
    <definedName name="__RAN12">#REF!</definedName>
    <definedName name="__RAN13" localSheetId="4">#REF!</definedName>
    <definedName name="__RAN13" localSheetId="3">#REF!</definedName>
    <definedName name="__RAN13">#REF!</definedName>
    <definedName name="__RAN14" localSheetId="4">#REF!</definedName>
    <definedName name="__RAN14" localSheetId="3">#REF!</definedName>
    <definedName name="__RAN14">#REF!</definedName>
    <definedName name="__RAN15" localSheetId="4">#REF!</definedName>
    <definedName name="__RAN15" localSheetId="3">#REF!</definedName>
    <definedName name="__RAN15">#REF!</definedName>
    <definedName name="__RAN16" localSheetId="4">#REF!</definedName>
    <definedName name="__RAN16" localSheetId="3">#REF!</definedName>
    <definedName name="__RAN16">#REF!</definedName>
    <definedName name="__RAN17" localSheetId="4">#REF!</definedName>
    <definedName name="__RAN17" localSheetId="3">#REF!</definedName>
    <definedName name="__RAN17">#REF!</definedName>
    <definedName name="__RAN18" localSheetId="4">#REF!</definedName>
    <definedName name="__RAN18" localSheetId="3">#REF!</definedName>
    <definedName name="__RAN18">#REF!</definedName>
    <definedName name="__RAN19" localSheetId="4">#REF!</definedName>
    <definedName name="__RAN19" localSheetId="3">#REF!</definedName>
    <definedName name="__RAN19">#REF!</definedName>
    <definedName name="__RAN2" localSheetId="4">#REF!</definedName>
    <definedName name="__RAN2" localSheetId="3">#REF!</definedName>
    <definedName name="__RAN2">#REF!</definedName>
    <definedName name="__RAN20" localSheetId="4">#REF!</definedName>
    <definedName name="__RAN20" localSheetId="3">#REF!</definedName>
    <definedName name="__RAN20">#REF!</definedName>
    <definedName name="__RAN21" localSheetId="4">#REF!</definedName>
    <definedName name="__RAN21" localSheetId="3">#REF!</definedName>
    <definedName name="__RAN21">#REF!</definedName>
    <definedName name="__RAN22" localSheetId="4">#REF!</definedName>
    <definedName name="__RAN22" localSheetId="3">#REF!</definedName>
    <definedName name="__RAN22">#REF!</definedName>
    <definedName name="__RAN23" localSheetId="4">#REF!</definedName>
    <definedName name="__RAN23" localSheetId="3">#REF!</definedName>
    <definedName name="__RAN23">#REF!</definedName>
    <definedName name="__RAN24" localSheetId="4">#REF!</definedName>
    <definedName name="__RAN24" localSheetId="3">#REF!</definedName>
    <definedName name="__RAN24">#REF!</definedName>
    <definedName name="__RAN25" localSheetId="4">#REF!</definedName>
    <definedName name="__RAN25" localSheetId="3">#REF!</definedName>
    <definedName name="__RAN25">#REF!</definedName>
    <definedName name="__RAN26" localSheetId="4">#REF!</definedName>
    <definedName name="__RAN26" localSheetId="3">#REF!</definedName>
    <definedName name="__RAN26">#REF!</definedName>
    <definedName name="__RAN27" localSheetId="4">#REF!</definedName>
    <definedName name="__RAN27" localSheetId="3">#REF!</definedName>
    <definedName name="__RAN27">#REF!</definedName>
    <definedName name="__RAN28" localSheetId="4">#REF!</definedName>
    <definedName name="__RAN28" localSheetId="3">#REF!</definedName>
    <definedName name="__RAN28">#REF!</definedName>
    <definedName name="__RAN29" localSheetId="4">#REF!</definedName>
    <definedName name="__RAN29" localSheetId="3">#REF!</definedName>
    <definedName name="__RAN29">#REF!</definedName>
    <definedName name="__RAN3" localSheetId="4">#REF!</definedName>
    <definedName name="__RAN3" localSheetId="3">#REF!</definedName>
    <definedName name="__RAN3">#REF!</definedName>
    <definedName name="__RAN30" localSheetId="4">#REF!</definedName>
    <definedName name="__RAN30" localSheetId="3">#REF!</definedName>
    <definedName name="__RAN30">#REF!</definedName>
    <definedName name="__RAN4" localSheetId="4">#REF!</definedName>
    <definedName name="__RAN4" localSheetId="3">#REF!</definedName>
    <definedName name="__RAN4">#REF!</definedName>
    <definedName name="__RAN5" localSheetId="4">#REF!</definedName>
    <definedName name="__RAN5" localSheetId="3">#REF!</definedName>
    <definedName name="__RAN5">#REF!</definedName>
    <definedName name="__RAN6" localSheetId="4">#REF!</definedName>
    <definedName name="__RAN6" localSheetId="3">#REF!</definedName>
    <definedName name="__RAN6">#REF!</definedName>
    <definedName name="__RAN7" localSheetId="4">#REF!</definedName>
    <definedName name="__RAN7" localSheetId="3">#REF!</definedName>
    <definedName name="__RAN7">#REF!</definedName>
    <definedName name="__RAN8" localSheetId="4">#REF!</definedName>
    <definedName name="__RAN8" localSheetId="3">#REF!</definedName>
    <definedName name="__RAN8">#REF!</definedName>
    <definedName name="__RAN9" localSheetId="4">#REF!</definedName>
    <definedName name="__RAN9" localSheetId="3">#REF!</definedName>
    <definedName name="__RAN9">#REF!</definedName>
    <definedName name="__TR10" localSheetId="4">#REF!</definedName>
    <definedName name="__TR10" localSheetId="3">#REF!</definedName>
    <definedName name="__TR10">#REF!</definedName>
    <definedName name="__TR11" localSheetId="4">#REF!</definedName>
    <definedName name="__TR11" localSheetId="3">#REF!</definedName>
    <definedName name="__TR11">#REF!</definedName>
    <definedName name="__TR12" localSheetId="4">#REF!</definedName>
    <definedName name="__TR12" localSheetId="3">#REF!</definedName>
    <definedName name="__TR12">#REF!</definedName>
    <definedName name="__TR13" localSheetId="4">#REF!</definedName>
    <definedName name="__TR13" localSheetId="3">#REF!</definedName>
    <definedName name="__TR13">#REF!</definedName>
    <definedName name="__TR14" localSheetId="4">#REF!</definedName>
    <definedName name="__TR14" localSheetId="3">#REF!</definedName>
    <definedName name="__TR14">#REF!</definedName>
    <definedName name="__TR15" localSheetId="4">#REF!</definedName>
    <definedName name="__TR15" localSheetId="3">#REF!</definedName>
    <definedName name="__TR15">#REF!</definedName>
    <definedName name="__TR16" localSheetId="4">#REF!</definedName>
    <definedName name="__TR16" localSheetId="3">#REF!</definedName>
    <definedName name="__TR16">#REF!</definedName>
    <definedName name="__XX1" localSheetId="4">#REF!</definedName>
    <definedName name="__XX1" localSheetId="3">#REF!</definedName>
    <definedName name="__XX1">#REF!</definedName>
    <definedName name="__XX10" localSheetId="4">#REF!</definedName>
    <definedName name="__XX10" localSheetId="3">#REF!</definedName>
    <definedName name="__XX10">#REF!</definedName>
    <definedName name="__XX11" localSheetId="4">#REF!</definedName>
    <definedName name="__XX11" localSheetId="3">#REF!</definedName>
    <definedName name="__XX11">#REF!</definedName>
    <definedName name="__XX12" localSheetId="4">#REF!</definedName>
    <definedName name="__XX12" localSheetId="3">#REF!</definedName>
    <definedName name="__XX12">#REF!</definedName>
    <definedName name="__XX2" localSheetId="4">#REF!</definedName>
    <definedName name="__XX2" localSheetId="3">#REF!</definedName>
    <definedName name="__XX2">#REF!</definedName>
    <definedName name="__XX3" localSheetId="4">#REF!</definedName>
    <definedName name="__XX3" localSheetId="3">#REF!</definedName>
    <definedName name="__XX3">#REF!</definedName>
    <definedName name="__XX4" localSheetId="4">#REF!</definedName>
    <definedName name="__XX4" localSheetId="3">#REF!</definedName>
    <definedName name="__XX4">#REF!</definedName>
    <definedName name="__XX5" localSheetId="4">#REF!</definedName>
    <definedName name="__XX5" localSheetId="3">#REF!</definedName>
    <definedName name="__XX5">#REF!</definedName>
    <definedName name="__XX6" localSheetId="4">#REF!</definedName>
    <definedName name="__XX6" localSheetId="3">#REF!</definedName>
    <definedName name="__XX6">#REF!</definedName>
    <definedName name="__XX7" localSheetId="4">#REF!</definedName>
    <definedName name="__XX7" localSheetId="3">#REF!</definedName>
    <definedName name="__XX7">#REF!</definedName>
    <definedName name="__XX8" localSheetId="4">#REF!</definedName>
    <definedName name="__XX8" localSheetId="3">#REF!</definedName>
    <definedName name="__XX8">#REF!</definedName>
    <definedName name="__XX9" localSheetId="4">#REF!</definedName>
    <definedName name="__XX9" localSheetId="3">#REF!</definedName>
    <definedName name="__XX9">#REF!</definedName>
    <definedName name="_1" localSheetId="4">#REF!</definedName>
    <definedName name="_1" localSheetId="3">#REF!</definedName>
    <definedName name="_1">#REF!</definedName>
    <definedName name="_A100000" localSheetId="4">#REF!</definedName>
    <definedName name="_A100000" localSheetId="3">#REF!</definedName>
    <definedName name="_A100000">#REF!</definedName>
    <definedName name="_act1" localSheetId="4">#REF!</definedName>
    <definedName name="_act1" localSheetId="3">#REF!</definedName>
    <definedName name="_act1">#REF!</definedName>
    <definedName name="_act2" localSheetId="4">#REF!</definedName>
    <definedName name="_act2" localSheetId="3">#REF!</definedName>
    <definedName name="_act2">#REF!</definedName>
    <definedName name="_act3" localSheetId="4">#REF!</definedName>
    <definedName name="_act3" localSheetId="3">#REF!</definedName>
    <definedName name="_act3">#REF!</definedName>
    <definedName name="_apf1" localSheetId="4">#REF!</definedName>
    <definedName name="_apf1" localSheetId="3">#REF!</definedName>
    <definedName name="_apf1">#REF!</definedName>
    <definedName name="_arp1" localSheetId="4">#REF!</definedName>
    <definedName name="_arp1" localSheetId="3">#REF!</definedName>
    <definedName name="_arp1">#REF!</definedName>
    <definedName name="_cmd1" localSheetId="4">#REF!</definedName>
    <definedName name="_cmd1" localSheetId="3">#REF!</definedName>
    <definedName name="_cmd1">#REF!</definedName>
    <definedName name="_END1" localSheetId="4">#REF!</definedName>
    <definedName name="_END1" localSheetId="3">#REF!</definedName>
    <definedName name="_END1">#REF!</definedName>
    <definedName name="_Fill" localSheetId="4" hidden="1">#REF!</definedName>
    <definedName name="_Fill" localSheetId="3" hidden="1">#REF!</definedName>
    <definedName name="_Fill" hidden="1">#REF!</definedName>
    <definedName name="_gas1" localSheetId="4">#REF!</definedName>
    <definedName name="_gas1" localSheetId="3">#REF!</definedName>
    <definedName name="_gas1">#REF!</definedName>
    <definedName name="_gas2" localSheetId="4">#REF!</definedName>
    <definedName name="_gas2" localSheetId="3">#REF!</definedName>
    <definedName name="_gas2">#REF!</definedName>
    <definedName name="_gas3" localSheetId="4">#REF!</definedName>
    <definedName name="_gas3" localSheetId="3">#REF!</definedName>
    <definedName name="_gas3">#REF!</definedName>
    <definedName name="_gas4" localSheetId="4">#REF!</definedName>
    <definedName name="_gas4" localSheetId="3">#REF!</definedName>
    <definedName name="_gas4">#REF!</definedName>
    <definedName name="_gas5" localSheetId="4">#REF!</definedName>
    <definedName name="_gas5" localSheetId="3">#REF!</definedName>
    <definedName name="_gas5">#REF!</definedName>
    <definedName name="_GND1" localSheetId="4">#REF!</definedName>
    <definedName name="_GND1" localSheetId="3">#REF!</definedName>
    <definedName name="_GND1">#REF!</definedName>
    <definedName name="_GND2" localSheetId="4">#REF!</definedName>
    <definedName name="_GND2" localSheetId="3">#REF!</definedName>
    <definedName name="_GND2">#REF!</definedName>
    <definedName name="_GND3" localSheetId="4">#REF!</definedName>
    <definedName name="_GND3" localSheetId="3">#REF!</definedName>
    <definedName name="_GND3">#REF!</definedName>
    <definedName name="_GND4" localSheetId="4">#REF!</definedName>
    <definedName name="_GND4" localSheetId="3">#REF!</definedName>
    <definedName name="_GND4">#REF!</definedName>
    <definedName name="_GND5" localSheetId="4">#REF!</definedName>
    <definedName name="_GND5" localSheetId="3">#REF!</definedName>
    <definedName name="_GND5">#REF!</definedName>
    <definedName name="_GTO1" localSheetId="4">#REF!</definedName>
    <definedName name="_GTO1" localSheetId="3">#REF!</definedName>
    <definedName name="_GTO1">#REF!</definedName>
    <definedName name="_IMP1" localSheetId="4">#REF!</definedName>
    <definedName name="_IMP1" localSheetId="3">#REF!</definedName>
    <definedName name="_IMP1">#REF!</definedName>
    <definedName name="_ing1" localSheetId="4">#REF!</definedName>
    <definedName name="_ing1" localSheetId="3">#REF!</definedName>
    <definedName name="_ing1">#REF!</definedName>
    <definedName name="_ing2" localSheetId="4">#REF!</definedName>
    <definedName name="_ing2" localSheetId="3">#REF!</definedName>
    <definedName name="_ing2">#REF!</definedName>
    <definedName name="_ing3" localSheetId="4">#REF!</definedName>
    <definedName name="_ing3" localSheetId="3">#REF!</definedName>
    <definedName name="_ing3">#REF!</definedName>
    <definedName name="_IVA35">[1]Formulario!$U$59</definedName>
    <definedName name="_Parse_Out" localSheetId="4" hidden="1">#REF!</definedName>
    <definedName name="_Parse_Out" localSheetId="3" hidden="1">#REF!</definedName>
    <definedName name="_Parse_Out" hidden="1">#REF!</definedName>
    <definedName name="_pas1" localSheetId="4">#REF!</definedName>
    <definedName name="_pas1" localSheetId="3">#REF!</definedName>
    <definedName name="_pas1">#REF!</definedName>
    <definedName name="_pas2" localSheetId="4">#REF!</definedName>
    <definedName name="_pas2" localSheetId="3">#REF!</definedName>
    <definedName name="_pas2">#REF!</definedName>
    <definedName name="_pat1" localSheetId="4">#REF!</definedName>
    <definedName name="_pat1" localSheetId="3">#REF!</definedName>
    <definedName name="_pat1">#REF!</definedName>
    <definedName name="_PF1" localSheetId="4">#REF!</definedName>
    <definedName name="_PF1" localSheetId="3">#REF!</definedName>
    <definedName name="_PF1">#REF!</definedName>
    <definedName name="_PF2" localSheetId="4">#REF!</definedName>
    <definedName name="_PF2" localSheetId="3">#REF!</definedName>
    <definedName name="_PF2">#REF!</definedName>
    <definedName name="_PF3" localSheetId="4">#REF!</definedName>
    <definedName name="_PF3" localSheetId="3">#REF!</definedName>
    <definedName name="_PF3">#REF!</definedName>
    <definedName name="_PF4" localSheetId="4">#REF!</definedName>
    <definedName name="_PF4" localSheetId="3">#REF!</definedName>
    <definedName name="_PF4">#REF!</definedName>
    <definedName name="_PF5" localSheetId="4">#REF!</definedName>
    <definedName name="_PF5" localSheetId="3">#REF!</definedName>
    <definedName name="_PF5">#REF!</definedName>
    <definedName name="_RAN1" localSheetId="4">#REF!</definedName>
    <definedName name="_RAN1" localSheetId="3">#REF!</definedName>
    <definedName name="_RAN1">#REF!</definedName>
    <definedName name="_RAN10" localSheetId="4">#REF!</definedName>
    <definedName name="_RAN10" localSheetId="3">#REF!</definedName>
    <definedName name="_RAN10">#REF!</definedName>
    <definedName name="_RAN11" localSheetId="4">#REF!</definedName>
    <definedName name="_RAN11" localSheetId="3">#REF!</definedName>
    <definedName name="_RAN11">#REF!</definedName>
    <definedName name="_RAN12" localSheetId="4">#REF!</definedName>
    <definedName name="_RAN12" localSheetId="3">#REF!</definedName>
    <definedName name="_RAN12">#REF!</definedName>
    <definedName name="_RAN13" localSheetId="4">#REF!</definedName>
    <definedName name="_RAN13" localSheetId="3">#REF!</definedName>
    <definedName name="_RAN13">#REF!</definedName>
    <definedName name="_RAN14" localSheetId="4">#REF!</definedName>
    <definedName name="_RAN14" localSheetId="3">#REF!</definedName>
    <definedName name="_RAN14">#REF!</definedName>
    <definedName name="_RAN15" localSheetId="4">#REF!</definedName>
    <definedName name="_RAN15" localSheetId="3">#REF!</definedName>
    <definedName name="_RAN15">#REF!</definedName>
    <definedName name="_RAN16" localSheetId="4">#REF!</definedName>
    <definedName name="_RAN16" localSheetId="3">#REF!</definedName>
    <definedName name="_RAN16">#REF!</definedName>
    <definedName name="_RAN17" localSheetId="4">#REF!</definedName>
    <definedName name="_RAN17" localSheetId="3">#REF!</definedName>
    <definedName name="_RAN17">#REF!</definedName>
    <definedName name="_RAN18" localSheetId="4">#REF!</definedName>
    <definedName name="_RAN18" localSheetId="3">#REF!</definedName>
    <definedName name="_RAN18">#REF!</definedName>
    <definedName name="_RAN19" localSheetId="4">#REF!</definedName>
    <definedName name="_RAN19" localSheetId="3">#REF!</definedName>
    <definedName name="_RAN19">#REF!</definedName>
    <definedName name="_RAN2" localSheetId="4">#REF!</definedName>
    <definedName name="_RAN2" localSheetId="3">#REF!</definedName>
    <definedName name="_RAN2">#REF!</definedName>
    <definedName name="_RAN20" localSheetId="4">#REF!</definedName>
    <definedName name="_RAN20" localSheetId="3">#REF!</definedName>
    <definedName name="_RAN20">#REF!</definedName>
    <definedName name="_RAN21" localSheetId="4">#REF!</definedName>
    <definedName name="_RAN21" localSheetId="3">#REF!</definedName>
    <definedName name="_RAN21">#REF!</definedName>
    <definedName name="_RAN22" localSheetId="4">#REF!</definedName>
    <definedName name="_RAN22" localSheetId="3">#REF!</definedName>
    <definedName name="_RAN22">#REF!</definedName>
    <definedName name="_RAN23" localSheetId="4">#REF!</definedName>
    <definedName name="_RAN23" localSheetId="3">#REF!</definedName>
    <definedName name="_RAN23">#REF!</definedName>
    <definedName name="_RAN24" localSheetId="4">#REF!</definedName>
    <definedName name="_RAN24" localSheetId="3">#REF!</definedName>
    <definedName name="_RAN24">#REF!</definedName>
    <definedName name="_RAN25" localSheetId="4">#REF!</definedName>
    <definedName name="_RAN25" localSheetId="3">#REF!</definedName>
    <definedName name="_RAN25">#REF!</definedName>
    <definedName name="_RAN26" localSheetId="4">#REF!</definedName>
    <definedName name="_RAN26" localSheetId="3">#REF!</definedName>
    <definedName name="_RAN26">#REF!</definedName>
    <definedName name="_RAN27" localSheetId="4">#REF!</definedName>
    <definedName name="_RAN27" localSheetId="3">#REF!</definedName>
    <definedName name="_RAN27">#REF!</definedName>
    <definedName name="_RAN28" localSheetId="4">#REF!</definedName>
    <definedName name="_RAN28" localSheetId="3">#REF!</definedName>
    <definedName name="_RAN28">#REF!</definedName>
    <definedName name="_RAN29" localSheetId="4">#REF!</definedName>
    <definedName name="_RAN29" localSheetId="3">#REF!</definedName>
    <definedName name="_RAN29">#REF!</definedName>
    <definedName name="_RAN3" localSheetId="4">#REF!</definedName>
    <definedName name="_RAN3" localSheetId="3">#REF!</definedName>
    <definedName name="_RAN3">#REF!</definedName>
    <definedName name="_RAN30" localSheetId="4">#REF!</definedName>
    <definedName name="_RAN30" localSheetId="3">#REF!</definedName>
    <definedName name="_RAN30">#REF!</definedName>
    <definedName name="_RAN4" localSheetId="4">#REF!</definedName>
    <definedName name="_RAN4" localSheetId="3">#REF!</definedName>
    <definedName name="_RAN4">#REF!</definedName>
    <definedName name="_RAN5" localSheetId="4">#REF!</definedName>
    <definedName name="_RAN5" localSheetId="3">#REF!</definedName>
    <definedName name="_RAN5">#REF!</definedName>
    <definedName name="_RAN6" localSheetId="4">#REF!</definedName>
    <definedName name="_RAN6" localSheetId="3">#REF!</definedName>
    <definedName name="_RAN6">#REF!</definedName>
    <definedName name="_RAN7" localSheetId="4">#REF!</definedName>
    <definedName name="_RAN7" localSheetId="3">#REF!</definedName>
    <definedName name="_RAN7">#REF!</definedName>
    <definedName name="_RAN8" localSheetId="4">#REF!</definedName>
    <definedName name="_RAN8" localSheetId="3">#REF!</definedName>
    <definedName name="_RAN8">#REF!</definedName>
    <definedName name="_RAN9" localSheetId="4">#REF!</definedName>
    <definedName name="_RAN9" localSheetId="3">#REF!</definedName>
    <definedName name="_RAN9">#REF!</definedName>
    <definedName name="_Regression_Int" hidden="1">1</definedName>
    <definedName name="_TR10" localSheetId="4">#REF!</definedName>
    <definedName name="_TR10" localSheetId="3">#REF!</definedName>
    <definedName name="_TR10">#REF!</definedName>
    <definedName name="_TR11" localSheetId="4">#REF!</definedName>
    <definedName name="_TR11" localSheetId="3">#REF!</definedName>
    <definedName name="_TR11">#REF!</definedName>
    <definedName name="_TR12" localSheetId="4">#REF!</definedName>
    <definedName name="_TR12" localSheetId="3">#REF!</definedName>
    <definedName name="_TR12">#REF!</definedName>
    <definedName name="_TR13" localSheetId="4">#REF!</definedName>
    <definedName name="_TR13" localSheetId="3">#REF!</definedName>
    <definedName name="_TR13">#REF!</definedName>
    <definedName name="_TR14" localSheetId="4">#REF!</definedName>
    <definedName name="_TR14" localSheetId="3">#REF!</definedName>
    <definedName name="_TR14">#REF!</definedName>
    <definedName name="_TR15" localSheetId="4">#REF!</definedName>
    <definedName name="_TR15" localSheetId="3">#REF!</definedName>
    <definedName name="_TR15">#REF!</definedName>
    <definedName name="_TR16" localSheetId="4">#REF!</definedName>
    <definedName name="_TR16" localSheetId="3">#REF!</definedName>
    <definedName name="_TR16">#REF!</definedName>
    <definedName name="_XX1" localSheetId="4">#REF!</definedName>
    <definedName name="_XX1" localSheetId="3">#REF!</definedName>
    <definedName name="_XX1">#REF!</definedName>
    <definedName name="_XX10" localSheetId="4">#REF!</definedName>
    <definedName name="_XX10" localSheetId="3">#REF!</definedName>
    <definedName name="_XX10">#REF!</definedName>
    <definedName name="_XX11" localSheetId="4">#REF!</definedName>
    <definedName name="_XX11" localSheetId="3">#REF!</definedName>
    <definedName name="_XX11">#REF!</definedName>
    <definedName name="_XX12" localSheetId="4">#REF!</definedName>
    <definedName name="_XX12" localSheetId="3">#REF!</definedName>
    <definedName name="_XX12">#REF!</definedName>
    <definedName name="_XX2" localSheetId="4">#REF!</definedName>
    <definedName name="_XX2" localSheetId="3">#REF!</definedName>
    <definedName name="_XX2">#REF!</definedName>
    <definedName name="_XX3" localSheetId="4">#REF!</definedName>
    <definedName name="_XX3" localSheetId="3">#REF!</definedName>
    <definedName name="_XX3">#REF!</definedName>
    <definedName name="_XX4" localSheetId="4">#REF!</definedName>
    <definedName name="_XX4" localSheetId="3">#REF!</definedName>
    <definedName name="_XX4">#REF!</definedName>
    <definedName name="_XX5" localSheetId="4">#REF!</definedName>
    <definedName name="_XX5" localSheetId="3">#REF!</definedName>
    <definedName name="_XX5">#REF!</definedName>
    <definedName name="_XX6" localSheetId="4">#REF!</definedName>
    <definedName name="_XX6" localSheetId="3">#REF!</definedName>
    <definedName name="_XX6">#REF!</definedName>
    <definedName name="_XX7" localSheetId="4">#REF!</definedName>
    <definedName name="_XX7" localSheetId="3">#REF!</definedName>
    <definedName name="_XX7">#REF!</definedName>
    <definedName name="_XX8" localSheetId="4">#REF!</definedName>
    <definedName name="_XX8" localSheetId="3">#REF!</definedName>
    <definedName name="_XX8">#REF!</definedName>
    <definedName name="_XX9" localSheetId="4">#REF!</definedName>
    <definedName name="_XX9" localSheetId="3">#REF!</definedName>
    <definedName name="_XX9">#REF!</definedName>
    <definedName name="_zz1">'[2]Estados Financieros'!#REF!</definedName>
    <definedName name="A" localSheetId="4">#REF!</definedName>
    <definedName name="A" localSheetId="3">#REF!</definedName>
    <definedName name="A">#REF!</definedName>
    <definedName name="A_IMPRESIÓN_IM" localSheetId="4">#REF!</definedName>
    <definedName name="A_IMPRESIÓN_IM" localSheetId="3">#REF!</definedName>
    <definedName name="A_IMPRESIÓN_IM">#REF!</definedName>
    <definedName name="ABRIL" localSheetId="4">#REF!</definedName>
    <definedName name="ABRIL" localSheetId="3">#REF!</definedName>
    <definedName name="ABRIL">#REF!</definedName>
    <definedName name="AccessDatabase" hidden="1">"F:\AndersonLegal\Modificado\ANEXOC2000 PARA SOCIEDADES.mdb"</definedName>
    <definedName name="ACT" localSheetId="4">#REF!</definedName>
    <definedName name="ACT" localSheetId="3">#REF!</definedName>
    <definedName name="ACT">#REF!</definedName>
    <definedName name="ACTIVO" localSheetId="4">#REF!</definedName>
    <definedName name="ACTIVO" localSheetId="3">#REF!</definedName>
    <definedName name="ACTIVO">#REF!</definedName>
    <definedName name="ACTIVO1" localSheetId="4">#REF!</definedName>
    <definedName name="ACTIVO1" localSheetId="3">#REF!</definedName>
    <definedName name="ACTIVO1">#REF!</definedName>
    <definedName name="ACTIVO1A" localSheetId="4">#REF!</definedName>
    <definedName name="ACTIVO1A" localSheetId="3">#REF!</definedName>
    <definedName name="ACTIVO1A">#REF!</definedName>
    <definedName name="ACTIVOA" localSheetId="4">#REF!</definedName>
    <definedName name="ACTIVOA" localSheetId="3">#REF!</definedName>
    <definedName name="ACTIVOA">#REF!</definedName>
    <definedName name="af" localSheetId="4">#REF!</definedName>
    <definedName name="af" localSheetId="3">#REF!</definedName>
    <definedName name="af">#REF!</definedName>
    <definedName name="af_1" localSheetId="4">#REF!</definedName>
    <definedName name="af_1" localSheetId="3">#REF!</definedName>
    <definedName name="af_1">#REF!</definedName>
    <definedName name="af_2" localSheetId="4">#REF!</definedName>
    <definedName name="af_2" localSheetId="3">#REF!</definedName>
    <definedName name="af_2">#REF!</definedName>
    <definedName name="an">'[3]Anticipo al 2006'!$G$3:$H$6</definedName>
    <definedName name="ANAIVA" localSheetId="4">#REF!</definedName>
    <definedName name="ANAIVA" localSheetId="3">#REF!</definedName>
    <definedName name="ANAIVA">#REF!</definedName>
    <definedName name="andres" localSheetId="4">#REF!</definedName>
    <definedName name="andres" localSheetId="3">#REF!</definedName>
    <definedName name="andres">#REF!</definedName>
    <definedName name="ANEXO" localSheetId="4">#REF!</definedName>
    <definedName name="ANEXO" localSheetId="3">#REF!</definedName>
    <definedName name="ANEXO">#REF!</definedName>
    <definedName name="ANEXO_No._1" localSheetId="4">#REF!</definedName>
    <definedName name="ANEXO_No._1" localSheetId="3">#REF!</definedName>
    <definedName name="ANEXO_No._1">#REF!</definedName>
    <definedName name="ANEXO_No._2" localSheetId="4">#REF!</definedName>
    <definedName name="ANEXO_No._2" localSheetId="3">#REF!</definedName>
    <definedName name="ANEXO_No._2">#REF!</definedName>
    <definedName name="ANEXO_No._3" localSheetId="4">#REF!</definedName>
    <definedName name="ANEXO_No._3" localSheetId="3">#REF!</definedName>
    <definedName name="ANEXO_No._3">#REF!</definedName>
    <definedName name="ANEXO21" localSheetId="4">#REF!</definedName>
    <definedName name="ANEXO21" localSheetId="3">#REF!</definedName>
    <definedName name="ANEXO21">#REF!</definedName>
    <definedName name="ANEXOC2000_PARA_SOCIEDADES_Hoja1_Lista" localSheetId="4">#REF!</definedName>
    <definedName name="ANEXOC2000_PARA_SOCIEDADES_Hoja1_Lista" localSheetId="3">#REF!</definedName>
    <definedName name="ANEXOC2000_PARA_SOCIEDADES_Hoja1_Lista">#REF!</definedName>
    <definedName name="ANEXOS" localSheetId="4">#REF!</definedName>
    <definedName name="ANEXOS" localSheetId="3">#REF!</definedName>
    <definedName name="ANEXOS">#REF!</definedName>
    <definedName name="ANEXOS4" localSheetId="4">#REF!</definedName>
    <definedName name="ANEXOS4" localSheetId="3">#REF!</definedName>
    <definedName name="ANEXOS4">#REF!</definedName>
    <definedName name="anticipanteriorA">'[4]1- DATOS INICIALES'!$C$68</definedName>
    <definedName name="ANTICIPO" localSheetId="4">#REF!</definedName>
    <definedName name="ANTICIPO" localSheetId="3">#REF!</definedName>
    <definedName name="ANTICIPO">#REF!</definedName>
    <definedName name="ANTICIPO1" localSheetId="4">#REF!</definedName>
    <definedName name="ANTICIPO1" localSheetId="3">#REF!</definedName>
    <definedName name="ANTICIPO1">#REF!</definedName>
    <definedName name="anticipoC">'[4]4 CÁLCULOS PRESUNT-ANTICIP.'!$D$45</definedName>
    <definedName name="AÑO" localSheetId="4">#REF!</definedName>
    <definedName name="AÑO" localSheetId="3">#REF!</definedName>
    <definedName name="AÑO">#REF!</definedName>
    <definedName name="_xlnm.Print_Area" localSheetId="1">'ER 2021-2020 '!$A$1:$J$42</definedName>
    <definedName name="_xlnm.Print_Area" localSheetId="4">'ER 2022-2021 '!$A$1:$J$42</definedName>
    <definedName name="_xlnm.Print_Area" localSheetId="0">'ESF 2021-2020'!$A$1:$I$60</definedName>
    <definedName name="_xlnm.Print_Area" localSheetId="3">'ESF 2022-2021'!$A$1:$I$63</definedName>
    <definedName name="_xlnm.Print_Area">[5]PYG0003!$A$54:$J$89</definedName>
    <definedName name="arp" localSheetId="4">#REF!</definedName>
    <definedName name="arp" localSheetId="3">#REF!</definedName>
    <definedName name="arp">#REF!</definedName>
    <definedName name="ASFASGH" localSheetId="4">#REF!</definedName>
    <definedName name="ASFASGH" localSheetId="3">#REF!</definedName>
    <definedName name="ASFASGH">#REF!</definedName>
    <definedName name="asfasghh" localSheetId="4">#REF!</definedName>
    <definedName name="asfasghh" localSheetId="3">#REF!</definedName>
    <definedName name="asfasghh">#REF!</definedName>
    <definedName name="AXEXOS" localSheetId="4">#REF!</definedName>
    <definedName name="AXEXOS" localSheetId="3">#REF!</definedName>
    <definedName name="AXEXOS">#REF!</definedName>
    <definedName name="axipat" localSheetId="4">#REF!</definedName>
    <definedName name="axipat" localSheetId="3">#REF!</definedName>
    <definedName name="axipat">#REF!</definedName>
    <definedName name="AYUDA" localSheetId="4">#REF!</definedName>
    <definedName name="AYUDA" localSheetId="3">#REF!</definedName>
    <definedName name="AYUDA">#REF!</definedName>
    <definedName name="B">[6]RESULTADOS!#REF!</definedName>
    <definedName name="BALANCE1" localSheetId="4">#REF!</definedName>
    <definedName name="BALANCE1" localSheetId="3">#REF!</definedName>
    <definedName name="BALANCE1">#REF!</definedName>
    <definedName name="BASE">'[7]Anexo pagos exterior'!#REF!</definedName>
    <definedName name="_xlnm.Database" localSheetId="4">#REF!</definedName>
    <definedName name="_xlnm.Database" localSheetId="3">#REF!</definedName>
    <definedName name="_xlnm.Database">#REF!</definedName>
    <definedName name="BAUCHER" localSheetId="4">#REF!</definedName>
    <definedName name="BAUCHER" localSheetId="3">#REF!</definedName>
    <definedName name="BAUCHER">#REF!</definedName>
    <definedName name="BORRAR" localSheetId="4">#REF!</definedName>
    <definedName name="BORRAR" localSheetId="3">#REF!</definedName>
    <definedName name="BORRAR">#REF!</definedName>
    <definedName name="BOYACA" localSheetId="4">#REF!</definedName>
    <definedName name="BOYACA" localSheetId="3">#REF!</definedName>
    <definedName name="BOYACA">#REF!</definedName>
    <definedName name="Button_1">"ANEXOC2000_PARA_SOCIEDADES_Hoja1_Lista"</definedName>
    <definedName name="C_" localSheetId="4">#REF!</definedName>
    <definedName name="C_" localSheetId="3">#REF!</definedName>
    <definedName name="C_">#REF!</definedName>
    <definedName name="CANT" localSheetId="4">#REF!</definedName>
    <definedName name="CANT" localSheetId="3">#REF!</definedName>
    <definedName name="CANT">#REF!</definedName>
    <definedName name="CAPI" localSheetId="4">#REF!</definedName>
    <definedName name="CAPI" localSheetId="3">#REF!</definedName>
    <definedName name="CAPI">#REF!</definedName>
    <definedName name="CARTERA_SEP05" localSheetId="4">#REF!</definedName>
    <definedName name="CARTERA_SEP05" localSheetId="3">#REF!</definedName>
    <definedName name="CARTERA_SEP05">#REF!</definedName>
    <definedName name="CATORCE" localSheetId="4">#REF!</definedName>
    <definedName name="CATORCE" localSheetId="3">#REF!</definedName>
    <definedName name="CATORCE">#REF!</definedName>
    <definedName name="CC">[8]Hoja1!$A$2:$B$44</definedName>
    <definedName name="CCOSTO">[9]Hoja1!$A$2:$B$44</definedName>
    <definedName name="CEDED" localSheetId="4">#REF!</definedName>
    <definedName name="CEDED" localSheetId="3">#REF!</definedName>
    <definedName name="CEDED">#REF!</definedName>
    <definedName name="CERO" localSheetId="4">#REF!</definedName>
    <definedName name="CERO" localSheetId="3">#REF!</definedName>
    <definedName name="CERO">#REF!</definedName>
    <definedName name="CERTS" localSheetId="4">#REF!</definedName>
    <definedName name="CERTS" localSheetId="3">#REF!</definedName>
    <definedName name="CERTS">#REF!</definedName>
    <definedName name="CERTS1" localSheetId="4">'[10]Datos de entrada'!#REF!</definedName>
    <definedName name="CERTS1" localSheetId="3">'[10]Datos de entrada'!#REF!</definedName>
    <definedName name="CERTS1">'[10]Datos de entrada'!#REF!</definedName>
    <definedName name="CERTS11" localSheetId="4">'[11]Datos de entrada'!#REF!</definedName>
    <definedName name="CERTS11" localSheetId="3">'[11]Datos de entrada'!#REF!</definedName>
    <definedName name="CERTS11">'[11]Datos de entrada'!#REF!</definedName>
    <definedName name="CERTS2" localSheetId="4">#REF!</definedName>
    <definedName name="CERTS2" localSheetId="3">#REF!</definedName>
    <definedName name="CERTS2">#REF!</definedName>
    <definedName name="cm" localSheetId="4">#REF!</definedName>
    <definedName name="cm" localSheetId="3">#REF!</definedName>
    <definedName name="cm">#REF!</definedName>
    <definedName name="CMD" localSheetId="4">#REF!</definedName>
    <definedName name="CMD" localSheetId="3">#REF!</definedName>
    <definedName name="CMD">#REF!</definedName>
    <definedName name="COMBINAR" localSheetId="4">#REF!</definedName>
    <definedName name="COMBINAR" localSheetId="3">#REF!</definedName>
    <definedName name="COMBINAR">#REF!</definedName>
    <definedName name="COMBINAR1" localSheetId="4">#REF!</definedName>
    <definedName name="COMBINAR1" localSheetId="3">#REF!</definedName>
    <definedName name="COMBINAR1">#REF!</definedName>
    <definedName name="COMPUTADORES" localSheetId="4">#REF!</definedName>
    <definedName name="COMPUTADORES" localSheetId="3">#REF!</definedName>
    <definedName name="COMPUTADORES">#REF!</definedName>
    <definedName name="CONCILIA">'[10]Conc. Renta'!#REF!</definedName>
    <definedName name="CONCILIA11">'[11]Conc. Renta'!#REF!</definedName>
    <definedName name="concilia2">'[10]Conc. Renta'!#REF!</definedName>
    <definedName name="concilia21">'[11]Conc. Renta'!#REF!</definedName>
    <definedName name="concilia3">'[10]Conc. Renta'!#REF!</definedName>
    <definedName name="concilia31">'[11]Conc. Renta'!#REF!</definedName>
    <definedName name="CONCILIAPCPF1" localSheetId="4">#REF!</definedName>
    <definedName name="CONCILIAPCPF1" localSheetId="3">#REF!</definedName>
    <definedName name="CONCILIAPCPF1">#REF!</definedName>
    <definedName name="CONCILIAPCPF2" localSheetId="4">#REF!</definedName>
    <definedName name="CONCILIAPCPF2" localSheetId="3">#REF!</definedName>
    <definedName name="CONCILIAPCPF2">#REF!</definedName>
    <definedName name="CONCILIARCRF" localSheetId="4">#REF!</definedName>
    <definedName name="CONCILIARCRF" localSheetId="3">#REF!</definedName>
    <definedName name="CONCILIARCRF">#REF!</definedName>
    <definedName name="CONCILIPFPC1" localSheetId="4">#REF!</definedName>
    <definedName name="CONCILIPFPC1" localSheetId="3">#REF!</definedName>
    <definedName name="CONCILIPFPC1">#REF!</definedName>
    <definedName name="CONSUL" localSheetId="4">#REF!</definedName>
    <definedName name="CONSUL" localSheetId="3">#REF!</definedName>
    <definedName name="CONSUL">#REF!</definedName>
    <definedName name="CONSUL4" localSheetId="4">#REF!</definedName>
    <definedName name="CONSUL4" localSheetId="3">#REF!</definedName>
    <definedName name="CONSUL4">#REF!</definedName>
    <definedName name="CONSULTA" localSheetId="4">#REF!</definedName>
    <definedName name="CONSULTA" localSheetId="3">#REF!</definedName>
    <definedName name="CONSULTA">#REF!</definedName>
    <definedName name="CONTRA" localSheetId="4">#REF!</definedName>
    <definedName name="CONTRA" localSheetId="3">#REF!</definedName>
    <definedName name="CONTRA">#REF!</definedName>
    <definedName name="CONTROL" localSheetId="4">#REF!</definedName>
    <definedName name="CONTROL" localSheetId="3">#REF!</definedName>
    <definedName name="CONTROL">#REF!</definedName>
    <definedName name="COPY" localSheetId="4">#REF!</definedName>
    <definedName name="COPY" localSheetId="3">#REF!</definedName>
    <definedName name="COPY">#REF!</definedName>
    <definedName name="costo2">[12]RETENCION!#REF!</definedName>
    <definedName name="COSTOS" localSheetId="4">#REF!</definedName>
    <definedName name="COSTOS" localSheetId="3">#REF!</definedName>
    <definedName name="COSTOS">#REF!</definedName>
    <definedName name="costos_1" localSheetId="4">#REF!</definedName>
    <definedName name="costos_1" localSheetId="3">#REF!</definedName>
    <definedName name="costos_1">#REF!</definedName>
    <definedName name="COSTOS1" localSheetId="4">#REF!</definedName>
    <definedName name="COSTOS1" localSheetId="3">#REF!</definedName>
    <definedName name="COSTOS1">#REF!</definedName>
    <definedName name="COSTOS1A" localSheetId="4">#REF!</definedName>
    <definedName name="COSTOS1A" localSheetId="3">#REF!</definedName>
    <definedName name="COSTOS1A">#REF!</definedName>
    <definedName name="COSTOS1B" localSheetId="4">#REF!</definedName>
    <definedName name="COSTOS1B" localSheetId="3">#REF!</definedName>
    <definedName name="COSTOS1B">#REF!</definedName>
    <definedName name="COSTOSA" localSheetId="4">#REF!</definedName>
    <definedName name="COSTOSA" localSheetId="3">#REF!</definedName>
    <definedName name="COSTOSA">#REF!</definedName>
    <definedName name="COSTOSB" localSheetId="4">#REF!</definedName>
    <definedName name="COSTOSB" localSheetId="3">#REF!</definedName>
    <definedName name="COSTOSB">#REF!</definedName>
    <definedName name="costoventaB">'[4]1- DATOS INICIALES'!$F$194</definedName>
    <definedName name="CR20_" localSheetId="4">#REF!</definedName>
    <definedName name="CR20_" localSheetId="3">#REF!</definedName>
    <definedName name="CR20_">#REF!</definedName>
    <definedName name="CR21_" localSheetId="4">#REF!</definedName>
    <definedName name="CR21_" localSheetId="3">#REF!</definedName>
    <definedName name="CR21_">#REF!</definedName>
    <definedName name="CR22_" localSheetId="4">#REF!</definedName>
    <definedName name="CR22_" localSheetId="3">#REF!</definedName>
    <definedName name="CR22_">#REF!</definedName>
    <definedName name="CR23_" localSheetId="4">#REF!</definedName>
    <definedName name="CR23_" localSheetId="3">#REF!</definedName>
    <definedName name="CR23_">#REF!</definedName>
    <definedName name="CR24_" localSheetId="4">#REF!</definedName>
    <definedName name="CR24_" localSheetId="3">#REF!</definedName>
    <definedName name="CR24_">#REF!</definedName>
    <definedName name="CR25_" localSheetId="4">#REF!</definedName>
    <definedName name="CR25_" localSheetId="3">#REF!</definedName>
    <definedName name="CR25_">#REF!</definedName>
    <definedName name="CR26_" localSheetId="4">#REF!</definedName>
    <definedName name="CR26_" localSheetId="3">#REF!</definedName>
    <definedName name="CR26_">#REF!</definedName>
    <definedName name="CR27_" localSheetId="4">#REF!</definedName>
    <definedName name="CR27_" localSheetId="3">#REF!</definedName>
    <definedName name="CR27_">#REF!</definedName>
    <definedName name="CR28_" localSheetId="4">#REF!</definedName>
    <definedName name="CR28_" localSheetId="3">#REF!</definedName>
    <definedName name="CR28_">#REF!</definedName>
    <definedName name="CRCM" localSheetId="4">#REF!</definedName>
    <definedName name="CRCM" localSheetId="3">#REF!</definedName>
    <definedName name="CRCM">#REF!</definedName>
    <definedName name="CRUCE" localSheetId="4">#REF!</definedName>
    <definedName name="CRUCE" localSheetId="3">#REF!</definedName>
    <definedName name="CRUCE">#REF!</definedName>
    <definedName name="CUNDINAMARCA" localSheetId="4">#REF!</definedName>
    <definedName name="CUNDINAMARCA" localSheetId="3">#REF!</definedName>
    <definedName name="CUNDINAMARCA">#REF!</definedName>
    <definedName name="DATOS" localSheetId="4">#REF!</definedName>
    <definedName name="DATOS" localSheetId="3">#REF!</definedName>
    <definedName name="DATOS">#REF!</definedName>
    <definedName name="DATOS0" localSheetId="4">#REF!</definedName>
    <definedName name="DATOS0" localSheetId="3">#REF!</definedName>
    <definedName name="DATOS0">#REF!</definedName>
    <definedName name="DATOS02">'[7]Reserva de cartera'!#REF!</definedName>
    <definedName name="DATOS03">'[7]Reserva de cartera'!#REF!</definedName>
    <definedName name="DATOS1" localSheetId="4">#REF!</definedName>
    <definedName name="DATOS1" localSheetId="3">#REF!</definedName>
    <definedName name="DATOS1">#REF!</definedName>
    <definedName name="DATOS1A" localSheetId="4">#REF!</definedName>
    <definedName name="DATOS1A" localSheetId="3">#REF!</definedName>
    <definedName name="DATOS1A">#REF!</definedName>
    <definedName name="DBCM" localSheetId="4">#REF!</definedName>
    <definedName name="DBCM" localSheetId="3">#REF!</definedName>
    <definedName name="DBCM">#REF!</definedName>
    <definedName name="dd" localSheetId="4">#REF!</definedName>
    <definedName name="dd" localSheetId="3">#REF!</definedName>
    <definedName name="dd">#REF!</definedName>
    <definedName name="DEDT" localSheetId="4">#REF!</definedName>
    <definedName name="DEDT" localSheetId="3">#REF!</definedName>
    <definedName name="DEDT">#REF!</definedName>
    <definedName name="DEDUCCIONES" localSheetId="4">#REF!</definedName>
    <definedName name="DEDUCCIONES" localSheetId="3">#REF!</definedName>
    <definedName name="DEDUCCIONES">#REF!</definedName>
    <definedName name="DEDUCCIONES1" localSheetId="4">#REF!</definedName>
    <definedName name="DEDUCCIONES1" localSheetId="3">#REF!</definedName>
    <definedName name="DEDUCCIONES1">#REF!</definedName>
    <definedName name="DEDUCCIONES1A" localSheetId="4">#REF!</definedName>
    <definedName name="DEDUCCIONES1A" localSheetId="3">#REF!</definedName>
    <definedName name="DEDUCCIONES1A">#REF!</definedName>
    <definedName name="DEDUCCIONES1B" localSheetId="4">#REF!</definedName>
    <definedName name="DEDUCCIONES1B" localSheetId="3">#REF!</definedName>
    <definedName name="DEDUCCIONES1B">#REF!</definedName>
    <definedName name="DEDUCCIONES1C" localSheetId="4">#REF!</definedName>
    <definedName name="DEDUCCIONES1C" localSheetId="3">#REF!</definedName>
    <definedName name="DEDUCCIONES1C">#REF!</definedName>
    <definedName name="DEDUCCIONES1D" localSheetId="4">#REF!</definedName>
    <definedName name="DEDUCCIONES1D" localSheetId="3">#REF!</definedName>
    <definedName name="DEDUCCIONES1D">#REF!</definedName>
    <definedName name="deducciones2">[12]RETENCION!#REF!</definedName>
    <definedName name="DEDUCCIONESA" localSheetId="4">#REF!</definedName>
    <definedName name="DEDUCCIONESA" localSheetId="3">#REF!</definedName>
    <definedName name="DEDUCCIONESA">#REF!</definedName>
    <definedName name="DEDUCCIONESB" localSheetId="4">#REF!</definedName>
    <definedName name="DEDUCCIONESB" localSheetId="3">#REF!</definedName>
    <definedName name="DEDUCCIONESB">#REF!</definedName>
    <definedName name="DEDUCCIONESC" localSheetId="4">#REF!</definedName>
    <definedName name="DEDUCCIONESC" localSheetId="3">#REF!</definedName>
    <definedName name="DEDUCCIONESC">#REF!</definedName>
    <definedName name="deduccionesx" localSheetId="4">#REF!</definedName>
    <definedName name="deduccionesx" localSheetId="3">#REF!</definedName>
    <definedName name="deduccionesx">#REF!</definedName>
    <definedName name="DEDUCCIONESY" localSheetId="4">#REF!</definedName>
    <definedName name="DEDUCCIONESY" localSheetId="3">#REF!</definedName>
    <definedName name="DEDUCCIONESY">#REF!</definedName>
    <definedName name="deduccionx" localSheetId="4">#REF!</definedName>
    <definedName name="deduccionx" localSheetId="3">#REF!</definedName>
    <definedName name="deduccionx">#REF!</definedName>
    <definedName name="DESCUENTOS" localSheetId="4">#REF!</definedName>
    <definedName name="DESCUENTOS" localSheetId="3">#REF!</definedName>
    <definedName name="DESCUENTOS">#REF!</definedName>
    <definedName name="dfdfd">'[13]Conc. Renta'!#REF!</definedName>
    <definedName name="DIEZ" localSheetId="4">#REF!</definedName>
    <definedName name="DIEZ" localSheetId="3">#REF!</definedName>
    <definedName name="DIEZ">#REF!</definedName>
    <definedName name="DIEZYNUEVE" localSheetId="4">#REF!</definedName>
    <definedName name="DIEZYNUEVE" localSheetId="3">#REF!</definedName>
    <definedName name="DIEZYNUEVE">#REF!</definedName>
    <definedName name="DIEZYOCHO" localSheetId="4">#REF!</definedName>
    <definedName name="DIEZYOCHO" localSheetId="3">#REF!</definedName>
    <definedName name="DIEZYOCHO">#REF!</definedName>
    <definedName name="DIEZYSEIS" localSheetId="4">#REF!</definedName>
    <definedName name="DIEZYSEIS" localSheetId="3">#REF!</definedName>
    <definedName name="DIEZYSEIS">#REF!</definedName>
    <definedName name="DIEZYSIETE" localSheetId="4">#REF!</definedName>
    <definedName name="DIEZYSIETE" localSheetId="3">#REF!</definedName>
    <definedName name="DIEZYSIETE">#REF!</definedName>
    <definedName name="DIFERIDOS" localSheetId="4">#REF!</definedName>
    <definedName name="DIFERIDOS" localSheetId="3">#REF!</definedName>
    <definedName name="DIFERIDOS">#REF!</definedName>
    <definedName name="DLOCAL2017" localSheetId="4">#REF!</definedName>
    <definedName name="DLOCAL2017" localSheetId="3">#REF!</definedName>
    <definedName name="DLOCAL2017">#REF!</definedName>
    <definedName name="DOCE" localSheetId="4">#REF!</definedName>
    <definedName name="DOCE" localSheetId="3">#REF!</definedName>
    <definedName name="DOCE">#REF!</definedName>
    <definedName name="DON" localSheetId="4">#REF!</definedName>
    <definedName name="DON" localSheetId="3">#REF!</definedName>
    <definedName name="DON">#REF!</definedName>
    <definedName name="dos" localSheetId="4">#REF!</definedName>
    <definedName name="dos" localSheetId="3">#REF!</definedName>
    <definedName name="dos">#REF!</definedName>
    <definedName name="DR20_" localSheetId="4">#REF!</definedName>
    <definedName name="DR20_" localSheetId="3">#REF!</definedName>
    <definedName name="DR20_">#REF!</definedName>
    <definedName name="DR21_" localSheetId="4">#REF!</definedName>
    <definedName name="DR21_" localSheetId="3">#REF!</definedName>
    <definedName name="DR21_">#REF!</definedName>
    <definedName name="DR22_" localSheetId="4">#REF!</definedName>
    <definedName name="DR22_" localSheetId="3">#REF!</definedName>
    <definedName name="DR22_">#REF!</definedName>
    <definedName name="DR23_" localSheetId="4">#REF!</definedName>
    <definedName name="DR23_" localSheetId="3">#REF!</definedName>
    <definedName name="DR23_">#REF!</definedName>
    <definedName name="DR24_" localSheetId="4">#REF!</definedName>
    <definedName name="DR24_" localSheetId="3">#REF!</definedName>
    <definedName name="DR24_">#REF!</definedName>
    <definedName name="DR25_" localSheetId="4">#REF!</definedName>
    <definedName name="DR25_" localSheetId="3">#REF!</definedName>
    <definedName name="DR25_">#REF!</definedName>
    <definedName name="DR26_" localSheetId="4">#REF!</definedName>
    <definedName name="DR26_" localSheetId="3">#REF!</definedName>
    <definedName name="DR26_">#REF!</definedName>
    <definedName name="DR27_" localSheetId="4">#REF!</definedName>
    <definedName name="DR27_" localSheetId="3">#REF!</definedName>
    <definedName name="DR27_">#REF!</definedName>
    <definedName name="DR28_" localSheetId="4">#REF!</definedName>
    <definedName name="DR28_" localSheetId="3">#REF!</definedName>
    <definedName name="DR28_">#REF!</definedName>
    <definedName name="DRTA" localSheetId="4">#REF!</definedName>
    <definedName name="DRTA" localSheetId="3">#REF!</definedName>
    <definedName name="DRTA">#REF!</definedName>
    <definedName name="DRTA0" localSheetId="4">#REF!</definedName>
    <definedName name="DRTA0" localSheetId="3">#REF!</definedName>
    <definedName name="DRTA0">#REF!</definedName>
    <definedName name="DRTA1" localSheetId="4">#REF!</definedName>
    <definedName name="DRTA1" localSheetId="3">#REF!</definedName>
    <definedName name="DRTA1">#REF!</definedName>
    <definedName name="DRTA2" localSheetId="4">#REF!</definedName>
    <definedName name="DRTA2" localSheetId="3">#REF!</definedName>
    <definedName name="DRTA2">#REF!</definedName>
    <definedName name="DRTA3" localSheetId="4">#REF!</definedName>
    <definedName name="DRTA3" localSheetId="3">#REF!</definedName>
    <definedName name="DRTA3">#REF!</definedName>
    <definedName name="DRTA4" localSheetId="4">#REF!</definedName>
    <definedName name="DRTA4" localSheetId="3">#REF!</definedName>
    <definedName name="DRTA4">#REF!</definedName>
    <definedName name="DRTA5" localSheetId="4">#REF!</definedName>
    <definedName name="DRTA5" localSheetId="3">#REF!</definedName>
    <definedName name="DRTA5">#REF!</definedName>
    <definedName name="drta8" localSheetId="4">#REF!</definedName>
    <definedName name="drta8" localSheetId="3">#REF!</definedName>
    <definedName name="drta8">#REF!</definedName>
    <definedName name="drta88" localSheetId="4">#REF!</definedName>
    <definedName name="drta88" localSheetId="3">#REF!</definedName>
    <definedName name="drta88">#REF!</definedName>
    <definedName name="DRTA88A" localSheetId="4">#REF!</definedName>
    <definedName name="DRTA88A" localSheetId="3">#REF!</definedName>
    <definedName name="DRTA88A">#REF!</definedName>
    <definedName name="DRTA88B" localSheetId="4">#REF!</definedName>
    <definedName name="DRTA88B" localSheetId="3">#REF!</definedName>
    <definedName name="DRTA88B">#REF!</definedName>
    <definedName name="DRTAAB" localSheetId="4">#REF!</definedName>
    <definedName name="DRTAAB" localSheetId="3">#REF!</definedName>
    <definedName name="DRTAAB">#REF!</definedName>
    <definedName name="DRTAD" localSheetId="4">#REF!</definedName>
    <definedName name="DRTAD" localSheetId="3">#REF!</definedName>
    <definedName name="DRTAD">#REF!</definedName>
    <definedName name="DRTERT" localSheetId="4">#REF!</definedName>
    <definedName name="DRTERT" localSheetId="3">#REF!</definedName>
    <definedName name="DRTERT">#REF!</definedName>
    <definedName name="DT" localSheetId="4">#REF!</definedName>
    <definedName name="DT" localSheetId="3">#REF!</definedName>
    <definedName name="DT">#REF!</definedName>
    <definedName name="DTM" localSheetId="4">#REF!</definedName>
    <definedName name="DTM" localSheetId="3">#REF!</definedName>
    <definedName name="DTM">#REF!</definedName>
    <definedName name="DYND" localSheetId="4">#REF!</definedName>
    <definedName name="DYND" localSheetId="3">#REF!</definedName>
    <definedName name="DYND">#REF!</definedName>
    <definedName name="DYND1" localSheetId="4">#REF!</definedName>
    <definedName name="DYND1" localSheetId="3">#REF!</definedName>
    <definedName name="DYND1">#REF!</definedName>
    <definedName name="E">'[14]GASTOS EN EL EXTERIOR'!#REF!</definedName>
    <definedName name="EDADES" localSheetId="4">#REF!</definedName>
    <definedName name="EDADES" localSheetId="3">#REF!</definedName>
    <definedName name="EDADES">#REF!</definedName>
    <definedName name="EFECTIVO">'[6]BCE GENERAL'!$C$10</definedName>
    <definedName name="EFECTIVO99">'[6]BCE GENERAL'!$E$10</definedName>
    <definedName name="EMPRE" localSheetId="4">#REF!</definedName>
    <definedName name="EMPRE" localSheetId="3">#REF!</definedName>
    <definedName name="EMPRE">#REF!</definedName>
    <definedName name="EMPRESA" localSheetId="4">#REF!</definedName>
    <definedName name="EMPRESA" localSheetId="3">#REF!</definedName>
    <definedName name="EMPRESA">#REF!</definedName>
    <definedName name="EMPRESA1" localSheetId="4">#REF!</definedName>
    <definedName name="EMPRESA1" localSheetId="3">#REF!</definedName>
    <definedName name="EMPRESA1">#REF!</definedName>
    <definedName name="EMPRESA5C" localSheetId="4">'[10]Datos de entrada'!#REF!</definedName>
    <definedName name="EMPRESA5C" localSheetId="3">'[10]Datos de entrada'!#REF!</definedName>
    <definedName name="EMPRESA5C">'[10]Datos de entrada'!#REF!</definedName>
    <definedName name="EMPRESA5C1" localSheetId="4">'[11]Datos de entrada'!#REF!</definedName>
    <definedName name="EMPRESA5C1" localSheetId="3">'[11]Datos de entrada'!#REF!</definedName>
    <definedName name="EMPRESA5C1">'[11]Datos de entrada'!#REF!</definedName>
    <definedName name="EMPRESA5D" localSheetId="4">'[10]Datos de entrada'!#REF!</definedName>
    <definedName name="EMPRESA5D" localSheetId="3">'[10]Datos de entrada'!#REF!</definedName>
    <definedName name="EMPRESA5D">'[10]Datos de entrada'!#REF!</definedName>
    <definedName name="EMPRESAA" localSheetId="4">#REF!</definedName>
    <definedName name="EMPRESAA" localSheetId="3">#REF!</definedName>
    <definedName name="EMPRESAA">#REF!</definedName>
    <definedName name="EMPRESAIVA" localSheetId="4">'[10]Datos de entrada'!#REF!</definedName>
    <definedName name="EMPRESAIVA" localSheetId="3">'[10]Datos de entrada'!#REF!</definedName>
    <definedName name="EMPRESAIVA">'[10]Datos de entrada'!#REF!</definedName>
    <definedName name="END" localSheetId="4">#REF!</definedName>
    <definedName name="END" localSheetId="3">#REF!</definedName>
    <definedName name="END">#REF!</definedName>
    <definedName name="ENTER" localSheetId="4">#REF!</definedName>
    <definedName name="ENTER" localSheetId="3">#REF!</definedName>
    <definedName name="ENTER">#REF!</definedName>
    <definedName name="ENTER1" localSheetId="4">#REF!</definedName>
    <definedName name="ENTER1" localSheetId="3">#REF!</definedName>
    <definedName name="ENTER1">#REF!</definedName>
    <definedName name="ENTRA" localSheetId="4">#REF!</definedName>
    <definedName name="ENTRA" localSheetId="3">#REF!</definedName>
    <definedName name="ENTRA">#REF!</definedName>
    <definedName name="ERROR" localSheetId="4">#REF!</definedName>
    <definedName name="ERROR" localSheetId="3">#REF!</definedName>
    <definedName name="ERROR">#REF!</definedName>
    <definedName name="ESTADO" localSheetId="4">#REF!</definedName>
    <definedName name="ESTADO" localSheetId="3">#REF!</definedName>
    <definedName name="ESTADO">#REF!</definedName>
    <definedName name="fdfdf" localSheetId="4">#REF!</definedName>
    <definedName name="fdfdf" localSheetId="3">#REF!</definedName>
    <definedName name="fdfdf">#REF!</definedName>
    <definedName name="FILA" localSheetId="4">#REF!</definedName>
    <definedName name="FILA" localSheetId="3">#REF!</definedName>
    <definedName name="FILA">#REF!</definedName>
    <definedName name="FORMA" localSheetId="4">#REF!</definedName>
    <definedName name="FORMA" localSheetId="3">#REF!</definedName>
    <definedName name="FORMA">#REF!</definedName>
    <definedName name="GASTOSF100">[6]RESULTADOS!#REF!</definedName>
    <definedName name="GASTOSF99">[6]RESULTADOS!#REF!</definedName>
    <definedName name="GNDOD" localSheetId="4">#REF!</definedName>
    <definedName name="GNDOD" localSheetId="3">#REF!</definedName>
    <definedName name="GNDOD">#REF!</definedName>
    <definedName name="GNDOD1" localSheetId="4">#REF!</definedName>
    <definedName name="GNDOD1" localSheetId="3">#REF!</definedName>
    <definedName name="GNDOD1">#REF!</definedName>
    <definedName name="GNDODA" localSheetId="4">#REF!</definedName>
    <definedName name="GNDODA" localSheetId="3">#REF!</definedName>
    <definedName name="GNDODA">#REF!</definedName>
    <definedName name="GNDODA1" localSheetId="4">#REF!</definedName>
    <definedName name="GNDODA1" localSheetId="3">#REF!</definedName>
    <definedName name="GNDODA1">#REF!</definedName>
    <definedName name="GNDODA2" localSheetId="4">#REF!</definedName>
    <definedName name="GNDODA2" localSheetId="3">#REF!</definedName>
    <definedName name="GNDODA2">#REF!</definedName>
    <definedName name="GNDODA3" localSheetId="4">#REF!</definedName>
    <definedName name="GNDODA3" localSheetId="3">#REF!</definedName>
    <definedName name="GNDODA3">#REF!</definedName>
    <definedName name="GNDOND" localSheetId="4">#REF!</definedName>
    <definedName name="GNDOND" localSheetId="3">#REF!</definedName>
    <definedName name="GNDOND">#REF!</definedName>
    <definedName name="GRABAR" localSheetId="4">#REF!</definedName>
    <definedName name="GRABAR" localSheetId="3">#REF!</definedName>
    <definedName name="GRABAR">#REF!</definedName>
    <definedName name="GTO" localSheetId="4">#REF!</definedName>
    <definedName name="GTO" localSheetId="3">#REF!</definedName>
    <definedName name="GTO">#REF!</definedName>
    <definedName name="GTOSF">[6]RESULTADOS!#REF!</definedName>
    <definedName name="GUIA1">'[10]Borrador formulario oficial'!#REF!</definedName>
    <definedName name="GUIA2">'[10]Borrador formulario oficial'!#REF!</definedName>
    <definedName name="GUIA3">'[10]Borrador formulario oficial'!#REF!</definedName>
    <definedName name="HARDWARE" localSheetId="4">#REF!</definedName>
    <definedName name="HARDWARE" localSheetId="3">#REF!</definedName>
    <definedName name="HARDWARE">#REF!</definedName>
    <definedName name="HOJA" localSheetId="4">#REF!</definedName>
    <definedName name="HOJA" localSheetId="3">#REF!</definedName>
    <definedName name="HOJA">#REF!</definedName>
    <definedName name="HOJA1" localSheetId="4">#REF!</definedName>
    <definedName name="HOJA1" localSheetId="3">#REF!</definedName>
    <definedName name="HOJA1">#REF!</definedName>
    <definedName name="HOJA10" localSheetId="4">#REF!</definedName>
    <definedName name="HOJA10" localSheetId="3">#REF!</definedName>
    <definedName name="HOJA10">#REF!</definedName>
    <definedName name="HOJA10A" localSheetId="4">#REF!</definedName>
    <definedName name="HOJA10A" localSheetId="3">#REF!</definedName>
    <definedName name="HOJA10A">#REF!</definedName>
    <definedName name="HOJA10B" localSheetId="4">#REF!</definedName>
    <definedName name="HOJA10B" localSheetId="3">#REF!</definedName>
    <definedName name="HOJA10B">#REF!</definedName>
    <definedName name="HOJA11" localSheetId="4">#REF!</definedName>
    <definedName name="HOJA11" localSheetId="3">#REF!</definedName>
    <definedName name="HOJA11">#REF!</definedName>
    <definedName name="HOJA11A" localSheetId="4">#REF!</definedName>
    <definedName name="HOJA11A" localSheetId="3">#REF!</definedName>
    <definedName name="HOJA11A">#REF!</definedName>
    <definedName name="HOJA11B" localSheetId="4">#REF!</definedName>
    <definedName name="HOJA11B" localSheetId="3">#REF!</definedName>
    <definedName name="HOJA11B">#REF!</definedName>
    <definedName name="HOJA12" localSheetId="4">#REF!</definedName>
    <definedName name="HOJA12" localSheetId="3">#REF!</definedName>
    <definedName name="HOJA12">#REF!</definedName>
    <definedName name="HOJA12A" localSheetId="4">#REF!</definedName>
    <definedName name="HOJA12A" localSheetId="3">#REF!</definedName>
    <definedName name="HOJA12A">#REF!</definedName>
    <definedName name="HOJA12B" localSheetId="4">#REF!</definedName>
    <definedName name="HOJA12B" localSheetId="3">#REF!</definedName>
    <definedName name="HOJA12B">#REF!</definedName>
    <definedName name="HOJA13" localSheetId="4">#REF!</definedName>
    <definedName name="HOJA13" localSheetId="3">#REF!</definedName>
    <definedName name="HOJA13">#REF!</definedName>
    <definedName name="HOJA13A" localSheetId="4">#REF!</definedName>
    <definedName name="HOJA13A" localSheetId="3">#REF!</definedName>
    <definedName name="HOJA13A">#REF!</definedName>
    <definedName name="HOJA13B" localSheetId="4">#REF!</definedName>
    <definedName name="HOJA13B" localSheetId="3">#REF!</definedName>
    <definedName name="HOJA13B">#REF!</definedName>
    <definedName name="HOJA14" localSheetId="4">#REF!</definedName>
    <definedName name="HOJA14" localSheetId="3">#REF!</definedName>
    <definedName name="HOJA14">#REF!</definedName>
    <definedName name="HOJA14A" localSheetId="4">#REF!</definedName>
    <definedName name="HOJA14A" localSheetId="3">#REF!</definedName>
    <definedName name="HOJA14A">#REF!</definedName>
    <definedName name="HOJA14B" localSheetId="4">#REF!</definedName>
    <definedName name="HOJA14B" localSheetId="3">#REF!</definedName>
    <definedName name="HOJA14B">#REF!</definedName>
    <definedName name="HOJA15" localSheetId="4">#REF!</definedName>
    <definedName name="HOJA15" localSheetId="3">#REF!</definedName>
    <definedName name="HOJA15">#REF!</definedName>
    <definedName name="HOJA15A" localSheetId="4">#REF!</definedName>
    <definedName name="HOJA15A" localSheetId="3">#REF!</definedName>
    <definedName name="HOJA15A">#REF!</definedName>
    <definedName name="HOJA15B" localSheetId="4">#REF!</definedName>
    <definedName name="HOJA15B" localSheetId="3">#REF!</definedName>
    <definedName name="HOJA15B">#REF!</definedName>
    <definedName name="HOJA16" localSheetId="4">#REF!</definedName>
    <definedName name="HOJA16" localSheetId="3">#REF!</definedName>
    <definedName name="HOJA16">#REF!</definedName>
    <definedName name="HOJA16A" localSheetId="4">#REF!</definedName>
    <definedName name="HOJA16A" localSheetId="3">#REF!</definedName>
    <definedName name="HOJA16A">#REF!</definedName>
    <definedName name="HOJA16B" localSheetId="4">#REF!</definedName>
    <definedName name="HOJA16B" localSheetId="3">#REF!</definedName>
    <definedName name="HOJA16B">#REF!</definedName>
    <definedName name="HOJA17" localSheetId="4">#REF!</definedName>
    <definedName name="HOJA17" localSheetId="3">#REF!</definedName>
    <definedName name="HOJA17">#REF!</definedName>
    <definedName name="HOJA17A" localSheetId="4">#REF!</definedName>
    <definedName name="HOJA17A" localSheetId="3">#REF!</definedName>
    <definedName name="HOJA17A">#REF!</definedName>
    <definedName name="HOJA17B" localSheetId="4">#REF!</definedName>
    <definedName name="HOJA17B" localSheetId="3">#REF!</definedName>
    <definedName name="HOJA17B">#REF!</definedName>
    <definedName name="HOJA1A" localSheetId="4">#REF!</definedName>
    <definedName name="HOJA1A" localSheetId="3">#REF!</definedName>
    <definedName name="HOJA1A">#REF!</definedName>
    <definedName name="HOJA1B" localSheetId="4">#REF!</definedName>
    <definedName name="HOJA1B" localSheetId="3">#REF!</definedName>
    <definedName name="HOJA1B">#REF!</definedName>
    <definedName name="HOJA2" localSheetId="4">#REF!</definedName>
    <definedName name="HOJA2" localSheetId="3">#REF!</definedName>
    <definedName name="HOJA2">#REF!</definedName>
    <definedName name="HOJA2A" localSheetId="4">#REF!</definedName>
    <definedName name="HOJA2A" localSheetId="3">#REF!</definedName>
    <definedName name="HOJA2A">#REF!</definedName>
    <definedName name="HOJA2B" localSheetId="4">#REF!</definedName>
    <definedName name="HOJA2B" localSheetId="3">#REF!</definedName>
    <definedName name="HOJA2B">#REF!</definedName>
    <definedName name="HOJA3" localSheetId="4">#REF!</definedName>
    <definedName name="HOJA3" localSheetId="3">#REF!</definedName>
    <definedName name="HOJA3">#REF!</definedName>
    <definedName name="HOJA3A" localSheetId="4">#REF!</definedName>
    <definedName name="HOJA3A" localSheetId="3">#REF!</definedName>
    <definedName name="HOJA3A">#REF!</definedName>
    <definedName name="HOJA3B" localSheetId="4">#REF!</definedName>
    <definedName name="HOJA3B" localSheetId="3">#REF!</definedName>
    <definedName name="HOJA3B">#REF!</definedName>
    <definedName name="HOJA4" localSheetId="4">#REF!</definedName>
    <definedName name="HOJA4" localSheetId="3">#REF!</definedName>
    <definedName name="HOJA4">#REF!</definedName>
    <definedName name="HOJA5" localSheetId="4">#REF!</definedName>
    <definedName name="HOJA5" localSheetId="3">#REF!</definedName>
    <definedName name="HOJA5">#REF!</definedName>
    <definedName name="HOJA5A" localSheetId="4">#REF!</definedName>
    <definedName name="HOJA5A" localSheetId="3">#REF!</definedName>
    <definedName name="HOJA5A">#REF!</definedName>
    <definedName name="HOJA5B" localSheetId="4">#REF!</definedName>
    <definedName name="HOJA5B" localSheetId="3">#REF!</definedName>
    <definedName name="HOJA5B">#REF!</definedName>
    <definedName name="HOJA6" localSheetId="4">#REF!</definedName>
    <definedName name="HOJA6" localSheetId="3">#REF!</definedName>
    <definedName name="HOJA6">#REF!</definedName>
    <definedName name="HOJA6A" localSheetId="4">#REF!</definedName>
    <definedName name="HOJA6A" localSheetId="3">#REF!</definedName>
    <definedName name="HOJA6A">#REF!</definedName>
    <definedName name="HOJA6B" localSheetId="4">#REF!</definedName>
    <definedName name="HOJA6B" localSheetId="3">#REF!</definedName>
    <definedName name="HOJA6B">#REF!</definedName>
    <definedName name="HOJA7" localSheetId="4">#REF!</definedName>
    <definedName name="HOJA7" localSheetId="3">#REF!</definedName>
    <definedName name="HOJA7">#REF!</definedName>
    <definedName name="HOJA8" localSheetId="4">#REF!</definedName>
    <definedName name="HOJA8" localSheetId="3">#REF!</definedName>
    <definedName name="HOJA8">#REF!</definedName>
    <definedName name="HOJA8A" localSheetId="4">#REF!</definedName>
    <definedName name="HOJA8A" localSheetId="3">#REF!</definedName>
    <definedName name="HOJA8A">#REF!</definedName>
    <definedName name="HOJA8B" localSheetId="4">#REF!</definedName>
    <definedName name="HOJA8B" localSheetId="3">#REF!</definedName>
    <definedName name="HOJA8B">#REF!</definedName>
    <definedName name="HOJA9" localSheetId="4">#REF!</definedName>
    <definedName name="HOJA9" localSheetId="3">#REF!</definedName>
    <definedName name="HOJA9">#REF!</definedName>
    <definedName name="HORA" localSheetId="4">#REF!</definedName>
    <definedName name="HORA" localSheetId="3">#REF!</definedName>
    <definedName name="HORA">#REF!</definedName>
    <definedName name="hugo" localSheetId="4">#REF!</definedName>
    <definedName name="hugo" localSheetId="3">#REF!</definedName>
    <definedName name="hugo">#REF!</definedName>
    <definedName name="HUGO2" localSheetId="4">#REF!</definedName>
    <definedName name="HUGO2" localSheetId="3">#REF!</definedName>
    <definedName name="HUGO2">#REF!</definedName>
    <definedName name="i">[8]Hoja1!$A$2:$B$44</definedName>
    <definedName name="IMP" localSheetId="4">#REF!</definedName>
    <definedName name="IMP" localSheetId="3">#REF!</definedName>
    <definedName name="IMP">#REF!</definedName>
    <definedName name="IMPRESION" localSheetId="4">#REF!</definedName>
    <definedName name="IMPRESION" localSheetId="3">#REF!</definedName>
    <definedName name="IMPRESION">#REF!</definedName>
    <definedName name="IMPRESION1" localSheetId="4">#REF!</definedName>
    <definedName name="IMPRESION1" localSheetId="3">#REF!</definedName>
    <definedName name="IMPRESION1">#REF!</definedName>
    <definedName name="INCRNGO" localSheetId="4">#REF!</definedName>
    <definedName name="INCRNGO" localSheetId="3">#REF!</definedName>
    <definedName name="INCRNGO">#REF!</definedName>
    <definedName name="INCRNGO1" localSheetId="4">#REF!</definedName>
    <definedName name="INCRNGO1" localSheetId="3">#REF!</definedName>
    <definedName name="INCRNGO1">#REF!</definedName>
    <definedName name="INCRNGOA" localSheetId="4">#REF!</definedName>
    <definedName name="INCRNGOA" localSheetId="3">#REF!</definedName>
    <definedName name="INCRNGOA">#REF!</definedName>
    <definedName name="INCRNGOY" localSheetId="4">#REF!</definedName>
    <definedName name="INCRNGOY" localSheetId="3">#REF!</definedName>
    <definedName name="INCRNGOY">#REF!</definedName>
    <definedName name="INCRNGOZ" localSheetId="4">#REF!</definedName>
    <definedName name="INCRNGOZ" localSheetId="3">#REF!</definedName>
    <definedName name="INCRNGOZ">#REF!</definedName>
    <definedName name="INDEM" localSheetId="4">#REF!</definedName>
    <definedName name="INDEM" localSheetId="3">#REF!</definedName>
    <definedName name="INDEM">#REF!</definedName>
    <definedName name="ING" localSheetId="4">#REF!</definedName>
    <definedName name="ING" localSheetId="3">#REF!</definedName>
    <definedName name="ING">#REF!</definedName>
    <definedName name="ingres_1" localSheetId="4">#REF!</definedName>
    <definedName name="ingres_1" localSheetId="3">#REF!</definedName>
    <definedName name="ingres_1">#REF!</definedName>
    <definedName name="ingreso" localSheetId="4">#REF!</definedName>
    <definedName name="ingreso" localSheetId="3">#REF!</definedName>
    <definedName name="ingreso">#REF!</definedName>
    <definedName name="INGRESOS1" localSheetId="4">#REF!</definedName>
    <definedName name="INGRESOS1" localSheetId="3">#REF!</definedName>
    <definedName name="INGRESOS1">#REF!</definedName>
    <definedName name="INGRESOS1A" localSheetId="4">#REF!</definedName>
    <definedName name="INGRESOS1A" localSheetId="3">#REF!</definedName>
    <definedName name="INGRESOS1A">#REF!</definedName>
    <definedName name="INGRESOS1B" localSheetId="4">#REF!</definedName>
    <definedName name="INGRESOS1B" localSheetId="3">#REF!</definedName>
    <definedName name="INGRESOS1B">#REF!</definedName>
    <definedName name="INGRESOSA" localSheetId="4">#REF!</definedName>
    <definedName name="INGRESOSA" localSheetId="3">#REF!</definedName>
    <definedName name="INGRESOSA">#REF!</definedName>
    <definedName name="INGRESOSB" localSheetId="4">#REF!</definedName>
    <definedName name="INGRESOSB" localSheetId="3">#REF!</definedName>
    <definedName name="INGRESOSB">#REF!</definedName>
    <definedName name="ingresosnetos1">[12]RETENCION!#REF!</definedName>
    <definedName name="INI" localSheetId="4">#REF!</definedName>
    <definedName name="INI" localSheetId="3">#REF!</definedName>
    <definedName name="INI">#REF!</definedName>
    <definedName name="INMUEBLE" localSheetId="4">#REF!</definedName>
    <definedName name="INMUEBLE" localSheetId="3">#REF!</definedName>
    <definedName name="INMUEBLE">#REF!</definedName>
    <definedName name="INTERESP" localSheetId="4">#REF!</definedName>
    <definedName name="INTERESP" localSheetId="3">#REF!</definedName>
    <definedName name="INTERESP">#REF!</definedName>
    <definedName name="INTPRE" localSheetId="4">'[14]GASTOS EN EL EXTERIOR'!#REF!</definedName>
    <definedName name="INTPRE" localSheetId="3">'[14]GASTOS EN EL EXTERIOR'!#REF!</definedName>
    <definedName name="INTPRE">'[14]GASTOS EN EL EXTERIOR'!#REF!</definedName>
    <definedName name="ISLRG" localSheetId="4">#REF!</definedName>
    <definedName name="ISLRG" localSheetId="3">#REF!</definedName>
    <definedName name="ISLRG">#REF!</definedName>
    <definedName name="IVA" localSheetId="4">'[15]planil. Iva'!#REF!</definedName>
    <definedName name="IVA" localSheetId="3">'[15]planil. Iva'!#REF!</definedName>
    <definedName name="IVA">'[15]planil. Iva'!#REF!</definedName>
    <definedName name="IVA_DES" localSheetId="4">#REF!</definedName>
    <definedName name="IVA_DES" localSheetId="3">#REF!</definedName>
    <definedName name="IVA_DES">#REF!</definedName>
    <definedName name="IVA1.6">[1]Formulario!$U$51</definedName>
    <definedName name="JORGE" localSheetId="4">#REF!</definedName>
    <definedName name="JORGE" localSheetId="3">#REF!</definedName>
    <definedName name="JORGE">#REF!</definedName>
    <definedName name="K" localSheetId="4">#REF!</definedName>
    <definedName name="K" localSheetId="3">#REF!</definedName>
    <definedName name="K">#REF!</definedName>
    <definedName name="KKKKK" localSheetId="4">#REF!</definedName>
    <definedName name="KKKKK" localSheetId="3">#REF!</definedName>
    <definedName name="KKKKK">#REF!</definedName>
    <definedName name="LIMITE" localSheetId="4">#REF!</definedName>
    <definedName name="LIMITE" localSheetId="3">#REF!</definedName>
    <definedName name="LIMITE">#REF!</definedName>
    <definedName name="LLLLL">[6]RESULTADOS!#REF!</definedName>
    <definedName name="llllll" localSheetId="4">#REF!</definedName>
    <definedName name="llllll" localSheetId="3">#REF!</definedName>
    <definedName name="llllll">#REF!</definedName>
    <definedName name="LLLLLLLLLLLL">[6]RESULTADOS!#REF!</definedName>
    <definedName name="MACRO" localSheetId="4">#REF!</definedName>
    <definedName name="MACRO" localSheetId="3">#REF!</definedName>
    <definedName name="MACRO">#REF!</definedName>
    <definedName name="MACRO1" localSheetId="4">#REF!</definedName>
    <definedName name="MACRO1" localSheetId="3">#REF!</definedName>
    <definedName name="MACRO1">#REF!</definedName>
    <definedName name="MENSAJE" localSheetId="4">#REF!</definedName>
    <definedName name="MENSAJE" localSheetId="3">#REF!</definedName>
    <definedName name="MENSAJE">#REF!</definedName>
    <definedName name="MENU0" localSheetId="4">#REF!</definedName>
    <definedName name="MENU0" localSheetId="3">#REF!</definedName>
    <definedName name="MENU0">#REF!</definedName>
    <definedName name="MENU1" localSheetId="4">#REF!</definedName>
    <definedName name="MENU1" localSheetId="3">#REF!</definedName>
    <definedName name="MENU1">#REF!</definedName>
    <definedName name="MENU1A">'[7]Reserva de cartera'!#REF!</definedName>
    <definedName name="MENU1A1" localSheetId="4">#REF!</definedName>
    <definedName name="MENU1A1" localSheetId="3">#REF!</definedName>
    <definedName name="MENU1A1">#REF!</definedName>
    <definedName name="MENU1C" localSheetId="4">#REF!</definedName>
    <definedName name="MENU1C" localSheetId="3">#REF!</definedName>
    <definedName name="MENU1C">#REF!</definedName>
    <definedName name="MENU1D" localSheetId="4">#REF!</definedName>
    <definedName name="MENU1D" localSheetId="3">#REF!</definedName>
    <definedName name="MENU1D">#REF!</definedName>
    <definedName name="MENU1G" localSheetId="4">#REF!</definedName>
    <definedName name="MENU1G" localSheetId="3">#REF!</definedName>
    <definedName name="MENU1G">#REF!</definedName>
    <definedName name="MENU2" localSheetId="4">#REF!</definedName>
    <definedName name="MENU2" localSheetId="3">#REF!</definedName>
    <definedName name="MENU2">#REF!</definedName>
    <definedName name="MENU2A" localSheetId="4">#REF!</definedName>
    <definedName name="MENU2A" localSheetId="3">#REF!</definedName>
    <definedName name="MENU2A">#REF!</definedName>
    <definedName name="MENU2B" localSheetId="4">#REF!</definedName>
    <definedName name="MENU2B" localSheetId="3">#REF!</definedName>
    <definedName name="MENU2B">#REF!</definedName>
    <definedName name="MENU3A" localSheetId="4">#REF!</definedName>
    <definedName name="MENU3A" localSheetId="3">#REF!</definedName>
    <definedName name="MENU3A">#REF!</definedName>
    <definedName name="MENU3B" localSheetId="4">#REF!</definedName>
    <definedName name="MENU3B" localSheetId="3">#REF!</definedName>
    <definedName name="MENU3B">#REF!</definedName>
    <definedName name="MENU3C" localSheetId="4">#REF!</definedName>
    <definedName name="MENU3C" localSheetId="3">#REF!</definedName>
    <definedName name="MENU3C">#REF!</definedName>
    <definedName name="MENU4" localSheetId="4">#REF!</definedName>
    <definedName name="MENU4" localSheetId="3">#REF!</definedName>
    <definedName name="MENU4">#REF!</definedName>
    <definedName name="MENU5" localSheetId="4">#REF!</definedName>
    <definedName name="MENU5" localSheetId="3">#REF!</definedName>
    <definedName name="MENU5">#REF!</definedName>
    <definedName name="MENUIB" localSheetId="4">#REF!</definedName>
    <definedName name="MENUIB" localSheetId="3">#REF!</definedName>
    <definedName name="MENUIB">#REF!</definedName>
    <definedName name="MICROCOMPUTADORES" localSheetId="4">#REF!</definedName>
    <definedName name="MICROCOMPUTADORES" localSheetId="3">#REF!</definedName>
    <definedName name="MICROCOMPUTADORES">#REF!</definedName>
    <definedName name="MONICA" localSheetId="4">#REF!</definedName>
    <definedName name="MONICA" localSheetId="3">#REF!</definedName>
    <definedName name="MONICA">#REF!</definedName>
    <definedName name="MONICA2" localSheetId="4">#REF!</definedName>
    <definedName name="MONICA2" localSheetId="3">#REF!</definedName>
    <definedName name="MONICA2">#REF!</definedName>
    <definedName name="MONICA3" localSheetId="4">#REF!</definedName>
    <definedName name="MONICA3" localSheetId="3">#REF!</definedName>
    <definedName name="MONICA3">#REF!</definedName>
    <definedName name="monica5" localSheetId="4">#REF!</definedName>
    <definedName name="monica5" localSheetId="3">#REF!</definedName>
    <definedName name="monica5">#REF!</definedName>
    <definedName name="NOTA10" localSheetId="4">#REF!</definedName>
    <definedName name="NOTA10" localSheetId="3">#REF!</definedName>
    <definedName name="NOTA10">#REF!</definedName>
    <definedName name="NUEVE" localSheetId="4">#REF!</definedName>
    <definedName name="NUEVE" localSheetId="3">#REF!</definedName>
    <definedName name="NUEVE">#REF!</definedName>
    <definedName name="O_DESC" localSheetId="4">#REF!</definedName>
    <definedName name="O_DESC" localSheetId="3">#REF!</definedName>
    <definedName name="O_DESC">#REF!</definedName>
    <definedName name="occidente" localSheetId="4">#REF!</definedName>
    <definedName name="occidente" localSheetId="3">#REF!</definedName>
    <definedName name="occidente">#REF!</definedName>
    <definedName name="OCHO" localSheetId="4">#REF!</definedName>
    <definedName name="OCHO" localSheetId="3">#REF!</definedName>
    <definedName name="OCHO">#REF!</definedName>
    <definedName name="ok">'[16]cruce diciembre sandra'!#REF!</definedName>
    <definedName name="ONCE" localSheetId="4">#REF!</definedName>
    <definedName name="ONCE" localSheetId="3">#REF!</definedName>
    <definedName name="ONCE">#REF!</definedName>
    <definedName name="otrasexentasD">'[4]1- DATOS INICIALES'!$E$430</definedName>
    <definedName name="OTRASVAL4" localSheetId="4">#REF!</definedName>
    <definedName name="OTRASVAL4" localSheetId="3">#REF!</definedName>
    <definedName name="OTRASVAL4">#REF!</definedName>
    <definedName name="P1_" localSheetId="4">#REF!</definedName>
    <definedName name="P1_" localSheetId="3">#REF!</definedName>
    <definedName name="P1_">#REF!</definedName>
    <definedName name="paag" localSheetId="4">#REF!</definedName>
    <definedName name="paag" localSheetId="3">#REF!</definedName>
    <definedName name="paag">#REF!</definedName>
    <definedName name="page4" localSheetId="4">#REF!</definedName>
    <definedName name="page4" localSheetId="3">#REF!</definedName>
    <definedName name="page4">#REF!</definedName>
    <definedName name="page5">'[10]Datos de entrada'!#REF!</definedName>
    <definedName name="pagosB">'[4]1- DATOS INICIALES'!$E$302</definedName>
    <definedName name="pagosF">'[4]1- DATOS INICIALES'!$E$306</definedName>
    <definedName name="PAS" localSheetId="4">#REF!</definedName>
    <definedName name="PAS" localSheetId="3">#REF!</definedName>
    <definedName name="PAS">#REF!</definedName>
    <definedName name="PASIVO" localSheetId="4">#REF!</definedName>
    <definedName name="PASIVO" localSheetId="3">#REF!</definedName>
    <definedName name="PASIVO">#REF!</definedName>
    <definedName name="PASIVO1" localSheetId="4">#REF!</definedName>
    <definedName name="PASIVO1" localSheetId="3">#REF!</definedName>
    <definedName name="PASIVO1">#REF!</definedName>
    <definedName name="PASIVO1A" localSheetId="4">#REF!</definedName>
    <definedName name="PASIVO1A" localSheetId="3">#REF!</definedName>
    <definedName name="PASIVO1A">#REF!</definedName>
    <definedName name="PASIVOA" localSheetId="4">#REF!</definedName>
    <definedName name="PASIVOA" localSheetId="3">#REF!</definedName>
    <definedName name="PASIVOA">#REF!</definedName>
    <definedName name="PAT" localSheetId="4">#REF!</definedName>
    <definedName name="PAT" localSheetId="3">#REF!</definedName>
    <definedName name="PAT">#REF!</definedName>
    <definedName name="PATANTE" localSheetId="4">#REF!</definedName>
    <definedName name="PATANTE" localSheetId="3">#REF!</definedName>
    <definedName name="PATANTE">#REF!</definedName>
    <definedName name="PATRI" localSheetId="4">#REF!</definedName>
    <definedName name="PATRI" localSheetId="3">#REF!</definedName>
    <definedName name="PATRI">#REF!</definedName>
    <definedName name="PATRI1" localSheetId="4">#REF!</definedName>
    <definedName name="PATRI1" localSheetId="3">#REF!</definedName>
    <definedName name="PATRI1">#REF!</definedName>
    <definedName name="PATRICI" localSheetId="4">#REF!</definedName>
    <definedName name="PATRICI" localSheetId="3">#REF!</definedName>
    <definedName name="PATRICI">#REF!</definedName>
    <definedName name="PATRILIQ" localSheetId="4">#REF!</definedName>
    <definedName name="PATRILIQ" localSheetId="3">#REF!</definedName>
    <definedName name="PATRILIQ">#REF!</definedName>
    <definedName name="PATRIMONIO" localSheetId="4">#REF!</definedName>
    <definedName name="PATRIMONIO" localSheetId="3">#REF!</definedName>
    <definedName name="PATRIMONIO">#REF!</definedName>
    <definedName name="PATRIMONIO1" localSheetId="4">#REF!</definedName>
    <definedName name="PATRIMONIO1" localSheetId="3">#REF!</definedName>
    <definedName name="PATRIMONIO1">#REF!</definedName>
    <definedName name="PATRIMONIO1A" localSheetId="4">#REF!</definedName>
    <definedName name="PATRIMONIO1A" localSheetId="3">#REF!</definedName>
    <definedName name="PATRIMONIO1A">#REF!</definedName>
    <definedName name="PATRIMONIOA" localSheetId="4">#REF!</definedName>
    <definedName name="PATRIMONIOA" localSheetId="3">#REF!</definedName>
    <definedName name="PATRIMONIOA">#REF!</definedName>
    <definedName name="PERDID" localSheetId="4">#REF!</definedName>
    <definedName name="PERDID" localSheetId="3">#REF!</definedName>
    <definedName name="PERDID">#REF!</definedName>
    <definedName name="PERDID1" localSheetId="4">#REF!</definedName>
    <definedName name="PERDID1" localSheetId="3">#REF!</definedName>
    <definedName name="PERDID1">#REF!</definedName>
    <definedName name="PERDID2" localSheetId="4">#REF!</definedName>
    <definedName name="PERDID2" localSheetId="3">#REF!</definedName>
    <definedName name="PERDID2">#REF!</definedName>
    <definedName name="PERDIDAND" localSheetId="4">#REF!</definedName>
    <definedName name="PERDIDAND" localSheetId="3">#REF!</definedName>
    <definedName name="PERDIDAND">#REF!</definedName>
    <definedName name="PERDIDAS" localSheetId="4">#REF!</definedName>
    <definedName name="PERDIDAS" localSheetId="3">#REF!</definedName>
    <definedName name="PERDIDAS">#REF!</definedName>
    <definedName name="perdidasf" localSheetId="4">#REF!</definedName>
    <definedName name="perdidasf" localSheetId="3">#REF!</definedName>
    <definedName name="perdidasf">#REF!</definedName>
    <definedName name="PF" localSheetId="4">#REF!</definedName>
    <definedName name="PF" localSheetId="3">#REF!</definedName>
    <definedName name="PF">#REF!</definedName>
    <definedName name="PLANTAAB2003">[17]Hoja1!$A$2:$B$44</definedName>
    <definedName name="PORTADA" localSheetId="4">#REF!</definedName>
    <definedName name="PORTADA" localSheetId="3">#REF!</definedName>
    <definedName name="PORTADA">#REF!</definedName>
    <definedName name="PREGUNTA" localSheetId="4">#REF!</definedName>
    <definedName name="PREGUNTA" localSheetId="3">#REF!</definedName>
    <definedName name="PREGUNTA">#REF!</definedName>
    <definedName name="presuntivaB">'[4]4 CÁLCULOS PRESUNT-ANTICIP.'!$D$23</definedName>
    <definedName name="Print_Area_MI" localSheetId="4">#REF!</definedName>
    <definedName name="Print_Area_MI" localSheetId="3">#REF!</definedName>
    <definedName name="Print_Area_MI">#REF!</definedName>
    <definedName name="Print_Titles_MI" localSheetId="4">#REF!</definedName>
    <definedName name="Print_Titles_MI" localSheetId="3">#REF!</definedName>
    <definedName name="Print_Titles_MI">#REF!</definedName>
    <definedName name="PROBLEMA" localSheetId="4">#REF!</definedName>
    <definedName name="PROBLEMA" localSheetId="3">#REF!</definedName>
    <definedName name="PROBLEMA">#REF!</definedName>
    <definedName name="PROV" localSheetId="4">[18]Hoja2!#REF!</definedName>
    <definedName name="PROV" localSheetId="3">[18]Hoja2!#REF!</definedName>
    <definedName name="PROV">[18]Hoja2!#REF!</definedName>
    <definedName name="provee" localSheetId="4">'[16]cruce diciembre sandra'!#REF!</definedName>
    <definedName name="provee" localSheetId="3">'[16]cruce diciembre sandra'!#REF!</definedName>
    <definedName name="provee">'[16]cruce diciembre sandra'!#REF!</definedName>
    <definedName name="proveed" localSheetId="4">'[16]cruce diciembre sandra'!#REF!</definedName>
    <definedName name="proveed" localSheetId="3">'[16]cruce diciembre sandra'!#REF!</definedName>
    <definedName name="proveed">'[16]cruce diciembre sandra'!#REF!</definedName>
    <definedName name="PROVISION" localSheetId="4">#REF!</definedName>
    <definedName name="PROVISION" localSheetId="3">#REF!</definedName>
    <definedName name="PROVISION">#REF!</definedName>
    <definedName name="PROVISION1" localSheetId="4">#REF!</definedName>
    <definedName name="PROVISION1" localSheetId="3">#REF!</definedName>
    <definedName name="PROVISION1">#REF!</definedName>
    <definedName name="PROVITRAN" localSheetId="4">#REF!</definedName>
    <definedName name="PROVITRAN" localSheetId="3">#REF!</definedName>
    <definedName name="PROVITRAN">#REF!</definedName>
    <definedName name="PUC" localSheetId="4">#REF!</definedName>
    <definedName name="PUC" localSheetId="3">#REF!</definedName>
    <definedName name="PUC">#REF!</definedName>
    <definedName name="PYG" localSheetId="4">#REF!</definedName>
    <definedName name="PYG" localSheetId="3">#REF!</definedName>
    <definedName name="PYG">#REF!</definedName>
    <definedName name="PYGA" localSheetId="4">#REF!</definedName>
    <definedName name="PYGA" localSheetId="3">#REF!</definedName>
    <definedName name="PYGA">#REF!</definedName>
    <definedName name="PYGA1" localSheetId="4">#REF!</definedName>
    <definedName name="PYGA1" localSheetId="3">#REF!</definedName>
    <definedName name="PYGA1">#REF!</definedName>
    <definedName name="Q" localSheetId="4">#REF!</definedName>
    <definedName name="Q" localSheetId="3">#REF!</definedName>
    <definedName name="Q">#REF!</definedName>
    <definedName name="QUINCE" localSheetId="4">#REF!</definedName>
    <definedName name="QUINCE" localSheetId="3">#REF!</definedName>
    <definedName name="QUINCE">#REF!</definedName>
    <definedName name="RANGO" localSheetId="4">#REF!</definedName>
    <definedName name="RANGO" localSheetId="3">#REF!</definedName>
    <definedName name="RANGO">#REF!</definedName>
    <definedName name="RECLAS" localSheetId="4">#REF!</definedName>
    <definedName name="RECLAS" localSheetId="3">#REF!</definedName>
    <definedName name="RECLAS">#REF!</definedName>
    <definedName name="RECLASI" localSheetId="4">#REF!</definedName>
    <definedName name="RECLASI" localSheetId="3">#REF!</definedName>
    <definedName name="RECLASI">#REF!</definedName>
    <definedName name="RECLASI1" localSheetId="4">#REF!</definedName>
    <definedName name="RECLASI1" localSheetId="3">#REF!</definedName>
    <definedName name="RECLASI1">#REF!</definedName>
    <definedName name="RECLASI2" localSheetId="4">#REF!</definedName>
    <definedName name="RECLASI2" localSheetId="3">#REF!</definedName>
    <definedName name="RECLASI2">#REF!</definedName>
    <definedName name="remesas" localSheetId="4">#REF!</definedName>
    <definedName name="remesas" localSheetId="3">#REF!</definedName>
    <definedName name="remesas">#REF!</definedName>
    <definedName name="remesas1" localSheetId="4">#REF!</definedName>
    <definedName name="remesas1" localSheetId="3">#REF!</definedName>
    <definedName name="remesas1">#REF!</definedName>
    <definedName name="REMESAS2" localSheetId="4">#REF!</definedName>
    <definedName name="REMESAS2" localSheetId="3">#REF!</definedName>
    <definedName name="REMESAS2">#REF!</definedName>
    <definedName name="remesas3" localSheetId="4">#REF!</definedName>
    <definedName name="remesas3" localSheetId="3">#REF!</definedName>
    <definedName name="remesas3">#REF!</definedName>
    <definedName name="REMODELACIONES" localSheetId="4">#REF!</definedName>
    <definedName name="REMODELACIONES" localSheetId="3">#REF!</definedName>
    <definedName name="REMODELACIONES">#REF!</definedName>
    <definedName name="RENGLON1" localSheetId="4">#REF!</definedName>
    <definedName name="RENGLON1" localSheetId="3">#REF!</definedName>
    <definedName name="RENGLON1">#REF!</definedName>
    <definedName name="RENGLON10" localSheetId="4">#REF!</definedName>
    <definedName name="RENGLON10" localSheetId="3">#REF!</definedName>
    <definedName name="RENGLON10">#REF!</definedName>
    <definedName name="RENGLON11" localSheetId="4">#REF!</definedName>
    <definedName name="RENGLON11" localSheetId="3">#REF!</definedName>
    <definedName name="RENGLON11">#REF!</definedName>
    <definedName name="RENGLON12" localSheetId="4">#REF!</definedName>
    <definedName name="RENGLON12" localSheetId="3">#REF!</definedName>
    <definedName name="RENGLON12">#REF!</definedName>
    <definedName name="RENGLON13" localSheetId="4">#REF!</definedName>
    <definedName name="RENGLON13" localSheetId="3">#REF!</definedName>
    <definedName name="RENGLON13">#REF!</definedName>
    <definedName name="RENGLON14" localSheetId="4">#REF!</definedName>
    <definedName name="RENGLON14" localSheetId="3">#REF!</definedName>
    <definedName name="RENGLON14">#REF!</definedName>
    <definedName name="RENGLON15" localSheetId="4">#REF!</definedName>
    <definedName name="RENGLON15" localSheetId="3">#REF!</definedName>
    <definedName name="RENGLON15">#REF!</definedName>
    <definedName name="RENGLON16" localSheetId="4">#REF!</definedName>
    <definedName name="RENGLON16" localSheetId="3">#REF!</definedName>
    <definedName name="RENGLON16">#REF!</definedName>
    <definedName name="RENGLON17" localSheetId="4">#REF!</definedName>
    <definedName name="RENGLON17" localSheetId="3">#REF!</definedName>
    <definedName name="RENGLON17">#REF!</definedName>
    <definedName name="RENGLON19" localSheetId="4">#REF!</definedName>
    <definedName name="RENGLON19" localSheetId="3">#REF!</definedName>
    <definedName name="RENGLON19">#REF!</definedName>
    <definedName name="RENGLON2" localSheetId="4">#REF!</definedName>
    <definedName name="RENGLON2" localSheetId="3">#REF!</definedName>
    <definedName name="RENGLON2">#REF!</definedName>
    <definedName name="RENGLON20" localSheetId="4">#REF!</definedName>
    <definedName name="RENGLON20" localSheetId="3">#REF!</definedName>
    <definedName name="RENGLON20">#REF!</definedName>
    <definedName name="RENGLON21" localSheetId="4">#REF!</definedName>
    <definedName name="RENGLON21" localSheetId="3">#REF!</definedName>
    <definedName name="RENGLON21">#REF!</definedName>
    <definedName name="RENGLON22" localSheetId="4">#REF!</definedName>
    <definedName name="RENGLON22" localSheetId="3">#REF!</definedName>
    <definedName name="RENGLON22">#REF!</definedName>
    <definedName name="RENGLON23" localSheetId="4">#REF!</definedName>
    <definedName name="RENGLON23" localSheetId="3">#REF!</definedName>
    <definedName name="RENGLON23">#REF!</definedName>
    <definedName name="RENGLON24" localSheetId="4">#REF!</definedName>
    <definedName name="RENGLON24" localSheetId="3">#REF!</definedName>
    <definedName name="RENGLON24">#REF!</definedName>
    <definedName name="RENGLON25" localSheetId="4">#REF!</definedName>
    <definedName name="RENGLON25" localSheetId="3">#REF!</definedName>
    <definedName name="RENGLON25">#REF!</definedName>
    <definedName name="RENGLON26" localSheetId="4">#REF!</definedName>
    <definedName name="RENGLON26" localSheetId="3">#REF!</definedName>
    <definedName name="RENGLON26">#REF!</definedName>
    <definedName name="RENGLON27" localSheetId="4">#REF!</definedName>
    <definedName name="RENGLON27" localSheetId="3">#REF!</definedName>
    <definedName name="RENGLON27">#REF!</definedName>
    <definedName name="RENGLON28" localSheetId="4">#REF!</definedName>
    <definedName name="RENGLON28" localSheetId="3">#REF!</definedName>
    <definedName name="RENGLON28">#REF!</definedName>
    <definedName name="renglon3" localSheetId="4">#REF!</definedName>
    <definedName name="renglon3" localSheetId="3">#REF!</definedName>
    <definedName name="renglon3">#REF!</definedName>
    <definedName name="RENGLON34" localSheetId="4">#REF!</definedName>
    <definedName name="RENGLON34" localSheetId="3">#REF!</definedName>
    <definedName name="RENGLON34">#REF!</definedName>
    <definedName name="RENGLON4" localSheetId="4">#REF!</definedName>
    <definedName name="RENGLON4" localSheetId="3">#REF!</definedName>
    <definedName name="RENGLON4">#REF!</definedName>
    <definedName name="RENGLON41" localSheetId="4">#REF!</definedName>
    <definedName name="RENGLON41" localSheetId="3">#REF!</definedName>
    <definedName name="RENGLON41">#REF!</definedName>
    <definedName name="RENGLON5" localSheetId="4">#REF!</definedName>
    <definedName name="RENGLON5" localSheetId="3">#REF!</definedName>
    <definedName name="RENGLON5">#REF!</definedName>
    <definedName name="RENGLON6" localSheetId="4">#REF!</definedName>
    <definedName name="RENGLON6" localSheetId="3">#REF!</definedName>
    <definedName name="RENGLON6">#REF!</definedName>
    <definedName name="RENGLON7" localSheetId="4">#REF!</definedName>
    <definedName name="RENGLON7" localSheetId="3">#REF!</definedName>
    <definedName name="RENGLON7">#REF!</definedName>
    <definedName name="RENGLON8" localSheetId="4">#REF!</definedName>
    <definedName name="RENGLON8" localSheetId="3">#REF!</definedName>
    <definedName name="RENGLON8">#REF!</definedName>
    <definedName name="RENGLON9" localSheetId="4">#REF!</definedName>
    <definedName name="RENGLON9" localSheetId="3">#REF!</definedName>
    <definedName name="RENGLON9">#REF!</definedName>
    <definedName name="RENGOL29" localSheetId="4">#REF!</definedName>
    <definedName name="RENGOL29" localSheetId="3">#REF!</definedName>
    <definedName name="RENGOL29">#REF!</definedName>
    <definedName name="RENTAP" localSheetId="4">#REF!</definedName>
    <definedName name="RENTAP" localSheetId="3">#REF!</definedName>
    <definedName name="RENTAP">#REF!</definedName>
    <definedName name="RENTAP0" localSheetId="4">#REF!</definedName>
    <definedName name="RENTAP0" localSheetId="3">#REF!</definedName>
    <definedName name="RENTAP0">#REF!</definedName>
    <definedName name="RENTAP1" localSheetId="4">#REF!</definedName>
    <definedName name="RENTAP1" localSheetId="3">#REF!</definedName>
    <definedName name="RENTAP1">#REF!</definedName>
    <definedName name="RENTAP2" localSheetId="4">#REF!</definedName>
    <definedName name="RENTAP2" localSheetId="3">#REF!</definedName>
    <definedName name="RENTAP2">#REF!</definedName>
    <definedName name="RENTAPH" localSheetId="4">#REF!</definedName>
    <definedName name="RENTAPH" localSheetId="3">#REF!</definedName>
    <definedName name="RENTAPH">#REF!</definedName>
    <definedName name="REPARTO" localSheetId="4">#REF!</definedName>
    <definedName name="REPARTO" localSheetId="3">#REF!</definedName>
    <definedName name="REPARTO">#REF!</definedName>
    <definedName name="RETENCIONES" localSheetId="4">#REF!</definedName>
    <definedName name="RETENCIONES" localSheetId="3">#REF!</definedName>
    <definedName name="RETENCIONES">#REF!</definedName>
    <definedName name="rlíquidaB" localSheetId="4">#REF!</definedName>
    <definedName name="rlíquidaB" localSheetId="3">#REF!</definedName>
    <definedName name="rlíquidaB">#REF!</definedName>
    <definedName name="RP" localSheetId="4">#REF!</definedName>
    <definedName name="RP" localSheetId="3">#REF!</definedName>
    <definedName name="RP">#REF!</definedName>
    <definedName name="RPP" localSheetId="4">#REF!</definedName>
    <definedName name="RPP" localSheetId="3">#REF!</definedName>
    <definedName name="RPP">#REF!</definedName>
    <definedName name="RTAPP">'[10]Renta Presuntiva'!$J$70</definedName>
    <definedName name="RTEFTE">'[10]Datos de entrada'!#REF!</definedName>
    <definedName name="RWER" localSheetId="4">#REF!</definedName>
    <definedName name="RWER" localSheetId="3">#REF!</definedName>
    <definedName name="RWER">#REF!</definedName>
    <definedName name="S" localSheetId="4">#REF!</definedName>
    <definedName name="S" localSheetId="3">#REF!</definedName>
    <definedName name="S">#REF!</definedName>
    <definedName name="SALECONTRA" localSheetId="4">#REF!</definedName>
    <definedName name="SALECONTRA" localSheetId="3">#REF!</definedName>
    <definedName name="SALECONTRA">#REF!</definedName>
    <definedName name="sanciones4">'[4]1- DATOS INICIALES'!$E$305</definedName>
    <definedName name="SANDRA" localSheetId="4">#REF!</definedName>
    <definedName name="SANDRA" localSheetId="3">#REF!</definedName>
    <definedName name="SANDRA">#REF!</definedName>
    <definedName name="SEIS" localSheetId="4">#REF!</definedName>
    <definedName name="SEIS" localSheetId="3">#REF!</definedName>
    <definedName name="SEIS">#REF!</definedName>
    <definedName name="SEIS_A" localSheetId="4">#REF!</definedName>
    <definedName name="SEIS_A" localSheetId="3">#REF!</definedName>
    <definedName name="SEIS_A">#REF!</definedName>
    <definedName name="SEIS_B" localSheetId="4">#REF!</definedName>
    <definedName name="SEIS_B" localSheetId="3">#REF!</definedName>
    <definedName name="SEIS_B">#REF!</definedName>
    <definedName name="SEISA" localSheetId="4">#REF!</definedName>
    <definedName name="SEISA" localSheetId="3">#REF!</definedName>
    <definedName name="SEISA">#REF!</definedName>
    <definedName name="SEISB" localSheetId="4">#REF!</definedName>
    <definedName name="SEISB" localSheetId="3">#REF!</definedName>
    <definedName name="SEISB">#REF!</definedName>
    <definedName name="SETUP" localSheetId="4">#REF!</definedName>
    <definedName name="SETUP" localSheetId="3">#REF!</definedName>
    <definedName name="SETUP">#REF!</definedName>
    <definedName name="SIETE" localSheetId="4">#REF!</definedName>
    <definedName name="SIETE" localSheetId="3">#REF!</definedName>
    <definedName name="SIETE">#REF!</definedName>
    <definedName name="SINEB" localSheetId="4">#REF!</definedName>
    <definedName name="SINEB" localSheetId="3">#REF!</definedName>
    <definedName name="SINEB">#REF!</definedName>
    <definedName name="SOFTWARE" localSheetId="4">#REF!</definedName>
    <definedName name="SOFTWARE" localSheetId="3">#REF!</definedName>
    <definedName name="SOFTWARE">#REF!</definedName>
    <definedName name="SOPORTE" localSheetId="4">#REF!</definedName>
    <definedName name="SOPORTE" localSheetId="3">#REF!</definedName>
    <definedName name="SOPORTE">#REF!</definedName>
    <definedName name="sucuex">'[10]Datos de entrada'!$Q$19</definedName>
    <definedName name="susan" localSheetId="4">#REF!</definedName>
    <definedName name="susan" localSheetId="3">#REF!</definedName>
    <definedName name="susan">#REF!</definedName>
    <definedName name="sxa" localSheetId="4">#REF!</definedName>
    <definedName name="sxa" localSheetId="3">#REF!</definedName>
    <definedName name="sxa">#REF!</definedName>
    <definedName name="sxat" localSheetId="4">#REF!</definedName>
    <definedName name="sxat" localSheetId="3">#REF!</definedName>
    <definedName name="sxat">#REF!</definedName>
    <definedName name="TABLA" localSheetId="4">#REF!</definedName>
    <definedName name="TABLA" localSheetId="3">#REF!</definedName>
    <definedName name="TABLA">#REF!</definedName>
    <definedName name="TARIFA" localSheetId="4">#REF!</definedName>
    <definedName name="TARIFA" localSheetId="3">#REF!</definedName>
    <definedName name="TARIFA">#REF!</definedName>
    <definedName name="TARIFA30_" localSheetId="4">#REF!</definedName>
    <definedName name="TARIFA30_" localSheetId="3">#REF!</definedName>
    <definedName name="TARIFA30_">#REF!</definedName>
    <definedName name="temp" localSheetId="4">#REF!</definedName>
    <definedName name="temp" localSheetId="3">#REF!</definedName>
    <definedName name="temp">#REF!</definedName>
    <definedName name="TITULO" localSheetId="4">#REF!</definedName>
    <definedName name="TITULO" localSheetId="3">#REF!</definedName>
    <definedName name="TITULO">#REF!</definedName>
    <definedName name="_xlnm.Print_Titles" localSheetId="4">#REF!</definedName>
    <definedName name="_xlnm.Print_Titles" localSheetId="3">#REF!</definedName>
    <definedName name="_xlnm.Print_Titles">#REF!</definedName>
    <definedName name="Títulos_a_imprimir_IM">[5]PYG0003!$A$2:$IV$7</definedName>
    <definedName name="TITX" localSheetId="4">#REF!</definedName>
    <definedName name="TITX" localSheetId="3">#REF!</definedName>
    <definedName name="TITX">#REF!</definedName>
    <definedName name="TOTAL_COSTOS" localSheetId="4">#REF!</definedName>
    <definedName name="TOTAL_COSTOS" localSheetId="3">#REF!</definedName>
    <definedName name="TOTAL_COSTOS">#REF!</definedName>
    <definedName name="TOTAL_DEDUCCION" localSheetId="4">#REF!</definedName>
    <definedName name="TOTAL_DEDUCCION" localSheetId="3">#REF!</definedName>
    <definedName name="TOTAL_DEDUCCION">#REF!</definedName>
    <definedName name="TR18C" localSheetId="4">#REF!</definedName>
    <definedName name="TR18C" localSheetId="3">#REF!</definedName>
    <definedName name="TR18C">#REF!</definedName>
    <definedName name="TR18D" localSheetId="4">#REF!</definedName>
    <definedName name="TR18D" localSheetId="3">#REF!</definedName>
    <definedName name="TR18D">#REF!</definedName>
    <definedName name="TRECE" localSheetId="4">#REF!</definedName>
    <definedName name="TRECE" localSheetId="3">#REF!</definedName>
    <definedName name="TRECE">#REF!</definedName>
    <definedName name="U" localSheetId="4">#REF!</definedName>
    <definedName name="U" localSheetId="3">#REF!</definedName>
    <definedName name="U">#REF!</definedName>
    <definedName name="UNO" localSheetId="4">#REF!</definedName>
    <definedName name="UNO" localSheetId="3">#REF!</definedName>
    <definedName name="UNO">#REF!</definedName>
    <definedName name="UTILIDADAA" localSheetId="4">#REF!</definedName>
    <definedName name="UTILIDADAA" localSheetId="3">#REF!</definedName>
    <definedName name="UTILIDADAA">#REF!</definedName>
    <definedName name="uuuu" localSheetId="4">#REF!</definedName>
    <definedName name="uuuu" localSheetId="3">#REF!</definedName>
    <definedName name="uuuu">#REF!</definedName>
    <definedName name="VALACCIONES" localSheetId="4">#REF!</definedName>
    <definedName name="VALACCIONES" localSheetId="3">#REF!</definedName>
    <definedName name="VALACCIONES">#REF!</definedName>
    <definedName name="VALAGOTABLES" localSheetId="4">#REF!</definedName>
    <definedName name="VALAGOTABLES" localSheetId="3">#REF!</definedName>
    <definedName name="VALAGOTABLES">#REF!</definedName>
    <definedName name="VALAPORTES" localSheetId="4">#REF!</definedName>
    <definedName name="VALAPORTES" localSheetId="3">#REF!</definedName>
    <definedName name="VALAPORTES">#REF!</definedName>
    <definedName name="VALDEMASAF" localSheetId="4">#REF!</definedName>
    <definedName name="VALDEMASAF" localSheetId="3">#REF!</definedName>
    <definedName name="VALDEMASAF">#REF!</definedName>
    <definedName name="valida" localSheetId="4">#REF!</definedName>
    <definedName name="valida" localSheetId="3">#REF!</definedName>
    <definedName name="valida">#REF!</definedName>
    <definedName name="VALIDA1" localSheetId="4">#REF!</definedName>
    <definedName name="VALIDA1" localSheetId="3">#REF!</definedName>
    <definedName name="VALIDA1">#REF!</definedName>
    <definedName name="valida2" localSheetId="4">#REF!</definedName>
    <definedName name="valida2" localSheetId="3">#REF!</definedName>
    <definedName name="valida2">#REF!</definedName>
    <definedName name="VALIFGC" localSheetId="4">#REF!</definedName>
    <definedName name="VALIFGC" localSheetId="3">#REF!</definedName>
    <definedName name="VALIFGC">#REF!</definedName>
    <definedName name="VALPATEXEN" localSheetId="4">#REF!</definedName>
    <definedName name="VALPATEXEN" localSheetId="3">#REF!</definedName>
    <definedName name="VALPATEXEN">#REF!</definedName>
    <definedName name="VALTERRENOS" localSheetId="4">#REF!</definedName>
    <definedName name="VALTERRENOS" localSheetId="3">#REF!</definedName>
    <definedName name="VALTERRENOS">#REF!</definedName>
    <definedName name="VARPENJG" localSheetId="4">#REF!</definedName>
    <definedName name="VARPENJG" localSheetId="3">#REF!</definedName>
    <definedName name="VARPENJG">#REF!</definedName>
    <definedName name="VARPENJP" localSheetId="4">#REF!</definedName>
    <definedName name="VARPENJP" localSheetId="3">#REF!</definedName>
    <definedName name="VARPENJP">#REF!</definedName>
    <definedName name="w" localSheetId="4">#REF!</definedName>
    <definedName name="w" localSheetId="3">#REF!</definedName>
    <definedName name="w">#REF!</definedName>
    <definedName name="x" localSheetId="4">#REF!</definedName>
    <definedName name="x" localSheetId="3">#REF!</definedName>
    <definedName name="x">#REF!</definedName>
    <definedName name="X108_Agosto_Lista" localSheetId="4">#REF!</definedName>
    <definedName name="X108_Agosto_Lista" localSheetId="3">#REF!</definedName>
    <definedName name="X108_Agosto_Lista">#REF!</definedName>
    <definedName name="YY" localSheetId="4">#REF!</definedName>
    <definedName name="YY" localSheetId="3">#REF!</definedName>
    <definedName name="YY">#REF!</definedName>
    <definedName name="Z" localSheetId="4">#REF!</definedName>
    <definedName name="Z" localSheetId="3">#REF!</definedName>
    <definedName name="Z">#REF!</definedName>
    <definedName name="Z_C6ABAA50_ACBA_41F4_AD1E_122D43E47E61_.wvu.FilterData" localSheetId="4" hidden="1">#REF!</definedName>
    <definedName name="Z_C6ABAA50_ACBA_41F4_AD1E_122D43E47E61_.wvu.FilterData" localSheetId="3" hidden="1">#REF!</definedName>
    <definedName name="Z_C6ABAA50_ACBA_41F4_AD1E_122D43E47E61_.wvu.FilterData" hidden="1">#REF!</definedName>
    <definedName name="Z_C6ABAA50_ACBA_41F4_AD1E_122D43E47E61_.wvu.Rows" localSheetId="4" hidden="1">#REF!</definedName>
    <definedName name="Z_C6ABAA50_ACBA_41F4_AD1E_122D43E47E61_.wvu.Rows" localSheetId="3" hidden="1">#REF!</definedName>
    <definedName name="Z_C6ABAA50_ACBA_41F4_AD1E_122D43E47E61_.wvu.Rows" hidden="1">#REF!</definedName>
  </definedNames>
  <calcPr calcId="191029" iterate="1" iterateCount="100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0" i="7" l="1"/>
  <c r="E161" i="7"/>
  <c r="F252" i="7"/>
  <c r="G252" i="7" s="1"/>
  <c r="F251" i="7"/>
  <c r="F250" i="7"/>
  <c r="D252" i="7"/>
  <c r="E252" i="7" s="1"/>
  <c r="D251" i="7"/>
  <c r="E251" i="7" s="1"/>
  <c r="D250" i="7"/>
  <c r="E250" i="7"/>
  <c r="G250" i="7"/>
  <c r="G251" i="7"/>
  <c r="C2" i="11"/>
  <c r="D2" i="11" s="1"/>
  <c r="E2" i="11" s="1"/>
  <c r="F2" i="11" s="1"/>
  <c r="G2" i="11" s="1"/>
  <c r="AO155" i="9"/>
  <c r="AP164" i="9"/>
  <c r="AO164" i="9"/>
  <c r="AN164" i="9"/>
  <c r="AM164" i="9"/>
  <c r="AL164" i="9"/>
  <c r="AP163" i="9"/>
  <c r="AO163" i="9"/>
  <c r="AN163" i="9"/>
  <c r="AM163" i="9"/>
  <c r="AL163" i="9"/>
  <c r="AP162" i="9"/>
  <c r="AO162" i="9"/>
  <c r="AN162" i="9"/>
  <c r="AM162" i="9"/>
  <c r="AL162" i="9"/>
  <c r="AP161" i="9"/>
  <c r="AO161" i="9"/>
  <c r="AN161" i="9"/>
  <c r="AM161" i="9"/>
  <c r="AL161" i="9"/>
  <c r="AP160" i="9"/>
  <c r="AO160" i="9"/>
  <c r="AN160" i="9"/>
  <c r="AM160" i="9"/>
  <c r="AL160" i="9"/>
  <c r="AP159" i="9"/>
  <c r="AO159" i="9"/>
  <c r="AN159" i="9"/>
  <c r="AM159" i="9"/>
  <c r="AL159" i="9"/>
  <c r="AP157" i="9"/>
  <c r="AO157" i="9"/>
  <c r="AN157" i="9"/>
  <c r="AM157" i="9"/>
  <c r="AL157" i="9"/>
  <c r="AP156" i="9"/>
  <c r="AO156" i="9"/>
  <c r="AN156" i="9"/>
  <c r="AM156" i="9"/>
  <c r="AL156" i="9"/>
  <c r="AP151" i="9"/>
  <c r="AO151" i="9"/>
  <c r="AN151" i="9"/>
  <c r="AM151" i="9"/>
  <c r="AP150" i="9"/>
  <c r="AO150" i="9"/>
  <c r="AN150" i="9"/>
  <c r="AM150" i="9"/>
  <c r="AL151" i="9"/>
  <c r="AL150" i="9"/>
  <c r="AL144" i="9"/>
  <c r="AM144" i="9"/>
  <c r="AN144" i="9"/>
  <c r="AO144" i="9"/>
  <c r="AP144" i="9"/>
  <c r="AL145" i="9"/>
  <c r="AM145" i="9"/>
  <c r="AN145" i="9"/>
  <c r="AO145" i="9"/>
  <c r="AP145" i="9"/>
  <c r="AL147" i="9"/>
  <c r="AM147" i="9"/>
  <c r="AN147" i="9"/>
  <c r="AO147" i="9"/>
  <c r="AP147" i="9"/>
  <c r="AL148" i="9"/>
  <c r="AM148" i="9"/>
  <c r="AN148" i="9"/>
  <c r="AO148" i="9"/>
  <c r="AP148" i="9"/>
  <c r="AL149" i="9"/>
  <c r="AM149" i="9"/>
  <c r="AN149" i="9"/>
  <c r="AO149" i="9"/>
  <c r="AP149" i="9"/>
  <c r="AL152" i="9"/>
  <c r="AM152" i="9"/>
  <c r="AN152" i="9"/>
  <c r="AO152" i="9"/>
  <c r="AP152" i="9"/>
  <c r="AL143" i="9"/>
  <c r="AL155" i="9" s="1"/>
  <c r="AM143" i="9"/>
  <c r="AM155" i="9" s="1"/>
  <c r="AN143" i="9"/>
  <c r="AN155" i="9" s="1"/>
  <c r="AO143" i="9"/>
  <c r="AP143" i="9"/>
  <c r="AP155" i="9" s="1"/>
  <c r="O18" i="7"/>
  <c r="P18" i="7"/>
  <c r="Q18" i="7"/>
  <c r="N18" i="7"/>
  <c r="T40" i="10"/>
  <c r="T41" i="10"/>
  <c r="V25" i="10"/>
  <c r="W25" i="10" s="1"/>
  <c r="X25" i="10" s="1"/>
  <c r="Y25" i="10" s="1"/>
  <c r="E150" i="7"/>
  <c r="E151" i="7" s="1"/>
  <c r="AI124" i="9"/>
  <c r="AH124" i="9"/>
  <c r="AG124" i="9"/>
  <c r="AF124" i="9"/>
  <c r="AE124" i="9"/>
  <c r="AE102" i="9"/>
  <c r="AF102" i="9"/>
  <c r="AG102" i="9"/>
  <c r="AH102" i="9"/>
  <c r="AI102" i="9"/>
  <c r="AE108" i="9"/>
  <c r="AF108" i="9"/>
  <c r="AG108" i="9"/>
  <c r="AH108" i="9"/>
  <c r="AI108" i="9"/>
  <c r="AE117" i="9"/>
  <c r="AF117" i="9"/>
  <c r="AG117" i="9"/>
  <c r="AH117" i="9"/>
  <c r="AI117" i="9"/>
  <c r="AE133" i="9"/>
  <c r="AF133" i="9"/>
  <c r="AG133" i="9"/>
  <c r="AH133" i="9"/>
  <c r="AI133" i="9"/>
  <c r="AE134" i="9"/>
  <c r="AF134" i="9"/>
  <c r="AG134" i="9"/>
  <c r="AH134" i="9"/>
  <c r="AI134" i="9"/>
  <c r="AE135" i="9"/>
  <c r="AF135" i="9"/>
  <c r="AG135" i="9"/>
  <c r="AH135" i="9"/>
  <c r="AI135" i="9"/>
  <c r="AE136" i="9"/>
  <c r="AF136" i="9"/>
  <c r="AG136" i="9"/>
  <c r="AH136" i="9"/>
  <c r="AI136" i="9"/>
  <c r="AE137" i="9"/>
  <c r="AF137" i="9"/>
  <c r="AG137" i="9"/>
  <c r="AH137" i="9"/>
  <c r="AI137" i="9"/>
  <c r="K17" i="9"/>
  <c r="J17" i="9"/>
  <c r="K56" i="9"/>
  <c r="J56" i="9"/>
  <c r="K55" i="9"/>
  <c r="J55" i="9"/>
  <c r="K53" i="9"/>
  <c r="J53" i="9"/>
  <c r="K52" i="9"/>
  <c r="J52" i="9"/>
  <c r="K51" i="9"/>
  <c r="J51" i="9"/>
  <c r="K50" i="9"/>
  <c r="J50" i="9"/>
  <c r="K49" i="9"/>
  <c r="J49" i="9"/>
  <c r="K48" i="9"/>
  <c r="J48" i="9"/>
  <c r="K45" i="9"/>
  <c r="J45" i="9"/>
  <c r="K44" i="9"/>
  <c r="J44" i="9"/>
  <c r="K43" i="9"/>
  <c r="J43" i="9"/>
  <c r="K42" i="9"/>
  <c r="J42" i="9"/>
  <c r="K41" i="9"/>
  <c r="J41" i="9"/>
  <c r="K40" i="9"/>
  <c r="J40" i="9"/>
  <c r="K35" i="9"/>
  <c r="J35" i="9"/>
  <c r="K34" i="9"/>
  <c r="J34" i="9"/>
  <c r="K33" i="9"/>
  <c r="J33" i="9"/>
  <c r="K32" i="9"/>
  <c r="J32" i="9"/>
  <c r="K31" i="9"/>
  <c r="J31" i="9"/>
  <c r="K30" i="9"/>
  <c r="J30" i="9"/>
  <c r="K27" i="9"/>
  <c r="J27" i="9"/>
  <c r="K26" i="9"/>
  <c r="J26" i="9"/>
  <c r="K25" i="9"/>
  <c r="J25" i="9"/>
  <c r="K24" i="9"/>
  <c r="J24" i="9"/>
  <c r="K23" i="9"/>
  <c r="J23" i="9"/>
  <c r="K22" i="9"/>
  <c r="J22" i="9"/>
  <c r="K21" i="9"/>
  <c r="J21" i="9"/>
  <c r="AB94" i="9"/>
  <c r="AA94" i="9"/>
  <c r="Z94" i="9"/>
  <c r="Y94" i="9"/>
  <c r="AB87" i="9"/>
  <c r="AA87" i="9"/>
  <c r="Z87" i="9"/>
  <c r="Y87" i="9"/>
  <c r="X87" i="9"/>
  <c r="X94" i="9"/>
  <c r="P82" i="9"/>
  <c r="Q82" i="9"/>
  <c r="R82" i="9"/>
  <c r="S82" i="9"/>
  <c r="T82" i="9"/>
  <c r="U82" i="9"/>
  <c r="P83" i="9"/>
  <c r="Q83" i="9"/>
  <c r="R83" i="9"/>
  <c r="S83" i="9"/>
  <c r="T83" i="9"/>
  <c r="U83" i="9"/>
  <c r="P75" i="9"/>
  <c r="P76" i="9"/>
  <c r="O63" i="9"/>
  <c r="O62" i="9"/>
  <c r="O61" i="9"/>
  <c r="O67" i="9"/>
  <c r="O70" i="9"/>
  <c r="O69" i="9"/>
  <c r="O85" i="9"/>
  <c r="P85" i="9"/>
  <c r="P81" i="9"/>
  <c r="P80" i="9"/>
  <c r="P79" i="9"/>
  <c r="P78" i="9"/>
  <c r="P77" i="9"/>
  <c r="P74" i="9"/>
  <c r="P73" i="9"/>
  <c r="P72" i="9"/>
  <c r="P71" i="9"/>
  <c r="P70" i="9"/>
  <c r="P69" i="9"/>
  <c r="P67" i="9"/>
  <c r="P66" i="9"/>
  <c r="P65" i="9"/>
  <c r="P63" i="9"/>
  <c r="P62" i="9"/>
  <c r="P61" i="9"/>
  <c r="U85" i="9"/>
  <c r="T85" i="9"/>
  <c r="S85" i="9"/>
  <c r="R85" i="9"/>
  <c r="Q85" i="9"/>
  <c r="U84" i="9"/>
  <c r="T84" i="9"/>
  <c r="S84" i="9"/>
  <c r="R84" i="9"/>
  <c r="Q84" i="9"/>
  <c r="U81" i="9"/>
  <c r="T81" i="9"/>
  <c r="S81" i="9"/>
  <c r="R81" i="9"/>
  <c r="Q81" i="9"/>
  <c r="U80" i="9"/>
  <c r="T80" i="9"/>
  <c r="S80" i="9"/>
  <c r="R80" i="9"/>
  <c r="Q80" i="9"/>
  <c r="U79" i="9"/>
  <c r="T79" i="9"/>
  <c r="S79" i="9"/>
  <c r="R79" i="9"/>
  <c r="Q79" i="9"/>
  <c r="U78" i="9"/>
  <c r="T78" i="9"/>
  <c r="S78" i="9"/>
  <c r="R78" i="9"/>
  <c r="Q78" i="9"/>
  <c r="U71" i="9"/>
  <c r="T71" i="9"/>
  <c r="S71" i="9"/>
  <c r="R71" i="9"/>
  <c r="Q71" i="9"/>
  <c r="U70" i="9"/>
  <c r="T70" i="9"/>
  <c r="S70" i="9"/>
  <c r="R70" i="9"/>
  <c r="Q70" i="9"/>
  <c r="U69" i="9"/>
  <c r="T69" i="9"/>
  <c r="S69" i="9"/>
  <c r="R69" i="9"/>
  <c r="Q69" i="9"/>
  <c r="U67" i="9"/>
  <c r="T67" i="9"/>
  <c r="S67" i="9"/>
  <c r="R67" i="9"/>
  <c r="Q67" i="9"/>
  <c r="U66" i="9"/>
  <c r="T66" i="9"/>
  <c r="S66" i="9"/>
  <c r="R66" i="9"/>
  <c r="Q66" i="9"/>
  <c r="U65" i="9"/>
  <c r="T65" i="9"/>
  <c r="S65" i="9"/>
  <c r="R65" i="9"/>
  <c r="Q65" i="9"/>
  <c r="U63" i="9"/>
  <c r="T63" i="9"/>
  <c r="S63" i="9"/>
  <c r="R63" i="9"/>
  <c r="Q63" i="9"/>
  <c r="U62" i="9"/>
  <c r="T62" i="9"/>
  <c r="S62" i="9"/>
  <c r="R62" i="9"/>
  <c r="Q62" i="9"/>
  <c r="U60" i="9"/>
  <c r="T60" i="9"/>
  <c r="S60" i="9"/>
  <c r="R60" i="9"/>
  <c r="Q60" i="9"/>
  <c r="P59" i="9"/>
  <c r="P58" i="9"/>
  <c r="Q58" i="9" s="1"/>
  <c r="R58" i="9" s="1"/>
  <c r="S58" i="9" s="1"/>
  <c r="T58" i="9" s="1"/>
  <c r="U58" i="9" s="1"/>
  <c r="K20" i="9"/>
  <c r="J20" i="9"/>
  <c r="G15" i="9"/>
  <c r="D3" i="9"/>
  <c r="E3" i="9" s="1"/>
  <c r="F3" i="9"/>
  <c r="G3" i="9" s="1"/>
  <c r="D4" i="9"/>
  <c r="E4" i="9" s="1"/>
  <c r="F4" i="9"/>
  <c r="G4" i="9" s="1"/>
  <c r="D5" i="9"/>
  <c r="E5" i="9" s="1"/>
  <c r="F5" i="9"/>
  <c r="G5" i="9" s="1"/>
  <c r="D6" i="9"/>
  <c r="E6" i="9" s="1"/>
  <c r="F6" i="9"/>
  <c r="G6" i="9" s="1"/>
  <c r="D7" i="9"/>
  <c r="E7" i="9" s="1"/>
  <c r="F7" i="9"/>
  <c r="G7" i="9" s="1"/>
  <c r="D8" i="9"/>
  <c r="E8" i="9" s="1"/>
  <c r="F8" i="9"/>
  <c r="G8" i="9" s="1"/>
  <c r="D9" i="9"/>
  <c r="E9" i="9" s="1"/>
  <c r="F9" i="9"/>
  <c r="G9" i="9" s="1"/>
  <c r="D10" i="9"/>
  <c r="E10" i="9" s="1"/>
  <c r="F10" i="9"/>
  <c r="G10" i="9" s="1"/>
  <c r="D11" i="9"/>
  <c r="E11" i="9" s="1"/>
  <c r="F11" i="9"/>
  <c r="G11" i="9" s="1"/>
  <c r="D12" i="9"/>
  <c r="E12" i="9" s="1"/>
  <c r="F12" i="9"/>
  <c r="G12" i="9" s="1"/>
  <c r="D13" i="9"/>
  <c r="E13" i="9" s="1"/>
  <c r="F13" i="9"/>
  <c r="G13" i="9" s="1"/>
  <c r="D14" i="9"/>
  <c r="E14" i="9" s="1"/>
  <c r="F14" i="9"/>
  <c r="G14" i="9" s="1"/>
  <c r="D15" i="9"/>
  <c r="E15" i="9" s="1"/>
  <c r="F15" i="9"/>
  <c r="D2" i="9"/>
  <c r="F2" i="9"/>
  <c r="B38" i="8"/>
  <c r="B35" i="8"/>
  <c r="B33" i="8"/>
  <c r="B32" i="8"/>
  <c r="B36" i="8" s="1"/>
  <c r="B21" i="8"/>
  <c r="B9" i="8"/>
  <c r="B8" i="8"/>
  <c r="J39" i="9" l="1"/>
  <c r="K39" i="9"/>
  <c r="C18" i="8"/>
  <c r="B18" i="8"/>
  <c r="B11" i="8"/>
  <c r="B12" i="8" s="1"/>
  <c r="B7" i="8"/>
  <c r="E6" i="7" l="1"/>
  <c r="H231" i="7" l="1"/>
  <c r="G231" i="7"/>
  <c r="E231" i="7"/>
  <c r="D231" i="7"/>
  <c r="C243" i="7"/>
  <c r="C241" i="7"/>
  <c r="D241" i="7" s="1"/>
  <c r="F163" i="7"/>
  <c r="G163" i="7" s="1"/>
  <c r="H163" i="7" s="1"/>
  <c r="I163" i="7" s="1"/>
  <c r="J163" i="7" s="1"/>
  <c r="E186" i="7"/>
  <c r="E187" i="7" s="1"/>
  <c r="E188" i="7" s="1"/>
  <c r="E189" i="7" s="1"/>
  <c r="E190" i="7" s="1"/>
  <c r="G184" i="7"/>
  <c r="H184" i="7" s="1"/>
  <c r="I184" i="7" s="1"/>
  <c r="J184" i="7" s="1"/>
  <c r="C177" i="7"/>
  <c r="C176" i="7"/>
  <c r="E131" i="7"/>
  <c r="E139" i="7"/>
  <c r="E138" i="7"/>
  <c r="E137" i="7"/>
  <c r="E136" i="7"/>
  <c r="E135" i="7"/>
  <c r="E134" i="7"/>
  <c r="E133" i="7"/>
  <c r="E132" i="7"/>
  <c r="E128" i="7"/>
  <c r="E127" i="7"/>
  <c r="D91" i="7"/>
  <c r="E243" i="7" l="1"/>
  <c r="D243" i="7"/>
  <c r="F82" i="7"/>
  <c r="F80" i="7"/>
  <c r="F83" i="7"/>
  <c r="F81" i="7"/>
  <c r="E27" i="7"/>
  <c r="E28" i="7"/>
  <c r="J22" i="7"/>
  <c r="U77" i="9" s="1"/>
  <c r="I22" i="7"/>
  <c r="T77" i="9" s="1"/>
  <c r="H22" i="7"/>
  <c r="S77" i="9" s="1"/>
  <c r="G22" i="7"/>
  <c r="R77" i="9" s="1"/>
  <c r="F22" i="7"/>
  <c r="Q77" i="9" s="1"/>
  <c r="J21" i="7"/>
  <c r="U76" i="9" s="1"/>
  <c r="I21" i="7"/>
  <c r="T76" i="9" s="1"/>
  <c r="H21" i="7"/>
  <c r="S76" i="9" s="1"/>
  <c r="G21" i="7"/>
  <c r="R76" i="9" s="1"/>
  <c r="F21" i="7"/>
  <c r="J20" i="7"/>
  <c r="I20" i="7"/>
  <c r="H20" i="7"/>
  <c r="G20" i="7"/>
  <c r="F20" i="7"/>
  <c r="J19" i="7"/>
  <c r="U74" i="9" s="1"/>
  <c r="I19" i="7"/>
  <c r="T74" i="9" s="1"/>
  <c r="H19" i="7"/>
  <c r="S74" i="9" s="1"/>
  <c r="G19" i="7"/>
  <c r="R74" i="9" s="1"/>
  <c r="F19" i="7"/>
  <c r="Q74" i="9" s="1"/>
  <c r="J18" i="7"/>
  <c r="U73" i="9" s="1"/>
  <c r="I18" i="7"/>
  <c r="T73" i="9" s="1"/>
  <c r="H18" i="7"/>
  <c r="S73" i="9" s="1"/>
  <c r="G18" i="7"/>
  <c r="R73" i="9" s="1"/>
  <c r="F18" i="7"/>
  <c r="Q73" i="9" s="1"/>
  <c r="F17" i="7"/>
  <c r="Q72" i="9" s="1"/>
  <c r="G17" i="7"/>
  <c r="R72" i="9" s="1"/>
  <c r="H17" i="7"/>
  <c r="S72" i="9" s="1"/>
  <c r="I17" i="7"/>
  <c r="T72" i="9" s="1"/>
  <c r="J17" i="7"/>
  <c r="U72" i="9" s="1"/>
  <c r="F6" i="7"/>
  <c r="Q61" i="9" s="1"/>
  <c r="G6" i="7"/>
  <c r="R61" i="9" s="1"/>
  <c r="H6" i="7"/>
  <c r="S61" i="9" s="1"/>
  <c r="I6" i="7"/>
  <c r="T61" i="9" s="1"/>
  <c r="J6" i="7"/>
  <c r="U61" i="9" s="1"/>
  <c r="F4" i="7"/>
  <c r="G4" i="7"/>
  <c r="R59" i="9" s="1"/>
  <c r="H4" i="7"/>
  <c r="S59" i="9" s="1"/>
  <c r="I4" i="7"/>
  <c r="T59" i="9" s="1"/>
  <c r="J4" i="7"/>
  <c r="U59" i="9" s="1"/>
  <c r="G62" i="7" l="1"/>
  <c r="R75" i="9"/>
  <c r="H62" i="7"/>
  <c r="S75" i="9"/>
  <c r="I62" i="7"/>
  <c r="T75" i="9"/>
  <c r="F62" i="7"/>
  <c r="Q75" i="9"/>
  <c r="J62" i="7"/>
  <c r="U75" i="9"/>
  <c r="F65" i="7"/>
  <c r="AE118" i="9" s="1"/>
  <c r="Q76" i="9"/>
  <c r="F34" i="7"/>
  <c r="F58" i="7" s="1"/>
  <c r="Q59" i="9"/>
  <c r="G81" i="7"/>
  <c r="G82" i="7"/>
  <c r="F63" i="7"/>
  <c r="G83" i="7"/>
  <c r="G80" i="7"/>
  <c r="E91" i="7"/>
  <c r="E92" i="7"/>
  <c r="E26" i="7"/>
  <c r="E25" i="7"/>
  <c r="E24" i="7"/>
  <c r="E23" i="7"/>
  <c r="E22" i="7"/>
  <c r="E21" i="7"/>
  <c r="E20" i="7"/>
  <c r="E19" i="7"/>
  <c r="E18" i="7"/>
  <c r="E17" i="7"/>
  <c r="E16" i="7"/>
  <c r="E3" i="7"/>
  <c r="F3" i="7" s="1"/>
  <c r="G3" i="7" s="1"/>
  <c r="H3" i="7" s="1"/>
  <c r="I3" i="7" s="1"/>
  <c r="J3" i="7" s="1"/>
  <c r="R4" i="7" s="1"/>
  <c r="R16" i="7" s="1"/>
  <c r="E30" i="7"/>
  <c r="F38" i="7" l="1"/>
  <c r="X92" i="9" s="1"/>
  <c r="F37" i="7"/>
  <c r="F127" i="7" s="1"/>
  <c r="F72" i="7"/>
  <c r="AE125" i="9" s="1"/>
  <c r="F57" i="7"/>
  <c r="AE110" i="9" s="1"/>
  <c r="F53" i="7"/>
  <c r="AE106" i="9" s="1"/>
  <c r="F56" i="7"/>
  <c r="AE109" i="9" s="1"/>
  <c r="F39" i="7"/>
  <c r="X93" i="9" s="1"/>
  <c r="F41" i="7"/>
  <c r="F128" i="7" s="1"/>
  <c r="F35" i="7"/>
  <c r="X89" i="9" s="1"/>
  <c r="F92" i="7"/>
  <c r="F91" i="7" s="1"/>
  <c r="F93" i="7" s="1"/>
  <c r="AE115" i="9"/>
  <c r="C21" i="8"/>
  <c r="C26" i="8" s="1"/>
  <c r="X88" i="9"/>
  <c r="I92" i="7"/>
  <c r="I91" i="7" s="1"/>
  <c r="I93" i="7" s="1"/>
  <c r="AH115" i="9"/>
  <c r="F76" i="7"/>
  <c r="AE129" i="9" s="1"/>
  <c r="F73" i="7"/>
  <c r="AE126" i="9" s="1"/>
  <c r="H92" i="7"/>
  <c r="H91" i="7" s="1"/>
  <c r="H93" i="7" s="1"/>
  <c r="AG115" i="9"/>
  <c r="F131" i="7"/>
  <c r="AE111" i="9"/>
  <c r="F74" i="7"/>
  <c r="AE127" i="9" s="1"/>
  <c r="G65" i="7"/>
  <c r="AF118" i="9" s="1"/>
  <c r="AE116" i="9"/>
  <c r="G34" i="7"/>
  <c r="G73" i="7" s="1"/>
  <c r="AF126" i="9" s="1"/>
  <c r="F75" i="7"/>
  <c r="AE128" i="9" s="1"/>
  <c r="F54" i="7"/>
  <c r="AE107" i="9" s="1"/>
  <c r="J92" i="7"/>
  <c r="J91" i="7" s="1"/>
  <c r="J93" i="7" s="1"/>
  <c r="AI115" i="9"/>
  <c r="G92" i="7"/>
  <c r="G91" i="7" s="1"/>
  <c r="G93" i="7" s="1"/>
  <c r="AF115" i="9"/>
  <c r="F30" i="7"/>
  <c r="B3" i="8"/>
  <c r="H81" i="7"/>
  <c r="H82" i="7"/>
  <c r="G63" i="7"/>
  <c r="G84" i="7"/>
  <c r="H80" i="7"/>
  <c r="H83" i="7"/>
  <c r="P4" i="7"/>
  <c r="P16" i="7" s="1"/>
  <c r="Q4" i="7"/>
  <c r="Q16" i="7" s="1"/>
  <c r="O4" i="7"/>
  <c r="O16" i="7" s="1"/>
  <c r="N4" i="7"/>
  <c r="N16" i="7" s="1"/>
  <c r="E93" i="7"/>
  <c r="G75" i="7" l="1"/>
  <c r="AF128" i="9" s="1"/>
  <c r="G111" i="7"/>
  <c r="H34" i="7"/>
  <c r="I34" i="7" s="1"/>
  <c r="G74" i="7"/>
  <c r="AF127" i="9" s="1"/>
  <c r="X91" i="9"/>
  <c r="G76" i="7"/>
  <c r="AF129" i="9" s="1"/>
  <c r="J111" i="7"/>
  <c r="H111" i="7"/>
  <c r="X95" i="9"/>
  <c r="G37" i="7"/>
  <c r="G127" i="7" s="1"/>
  <c r="F129" i="7"/>
  <c r="G39" i="7"/>
  <c r="Y93" i="9" s="1"/>
  <c r="I111" i="7"/>
  <c r="G56" i="7"/>
  <c r="AF109" i="9" s="1"/>
  <c r="G35" i="7"/>
  <c r="G36" i="7" s="1"/>
  <c r="G72" i="7"/>
  <c r="AF125" i="9" s="1"/>
  <c r="G58" i="7"/>
  <c r="G131" i="7" s="1"/>
  <c r="G41" i="7"/>
  <c r="Y95" i="9" s="1"/>
  <c r="G53" i="7"/>
  <c r="AF106" i="9" s="1"/>
  <c r="G57" i="7"/>
  <c r="AF110" i="9" s="1"/>
  <c r="G54" i="7"/>
  <c r="AF107" i="9" s="1"/>
  <c r="G38" i="7"/>
  <c r="Y92" i="9" s="1"/>
  <c r="Y88" i="9"/>
  <c r="G66" i="7"/>
  <c r="AF119" i="9" s="1"/>
  <c r="AF116" i="9"/>
  <c r="B23" i="8"/>
  <c r="B22" i="8"/>
  <c r="B24" i="8" s="1"/>
  <c r="B25" i="8" s="1"/>
  <c r="B19" i="8"/>
  <c r="G30" i="7"/>
  <c r="H30" i="7" s="1"/>
  <c r="I30" i="7" s="1"/>
  <c r="J30" i="7" s="1"/>
  <c r="C3" i="8"/>
  <c r="I83" i="7"/>
  <c r="H65" i="7"/>
  <c r="AG118" i="9" s="1"/>
  <c r="E29" i="7"/>
  <c r="P84" i="9" s="1"/>
  <c r="E111" i="7"/>
  <c r="F111" i="7"/>
  <c r="I81" i="7"/>
  <c r="H63" i="7"/>
  <c r="AG116" i="9" s="1"/>
  <c r="H84" i="7"/>
  <c r="I82" i="7"/>
  <c r="I80" i="7"/>
  <c r="H73" i="7" l="1"/>
  <c r="AG126" i="9" s="1"/>
  <c r="H38" i="7"/>
  <c r="Z92" i="9" s="1"/>
  <c r="G128" i="7"/>
  <c r="G129" i="7" s="1"/>
  <c r="Z88" i="9"/>
  <c r="H74" i="7"/>
  <c r="AG127" i="9" s="1"/>
  <c r="H37" i="7"/>
  <c r="Z91" i="9" s="1"/>
  <c r="H56" i="7"/>
  <c r="AG109" i="9" s="1"/>
  <c r="H41" i="7"/>
  <c r="H128" i="7" s="1"/>
  <c r="H39" i="7"/>
  <c r="Z93" i="9" s="1"/>
  <c r="H72" i="7"/>
  <c r="AG125" i="9" s="1"/>
  <c r="H75" i="7"/>
  <c r="AG128" i="9" s="1"/>
  <c r="H57" i="7"/>
  <c r="AG110" i="9" s="1"/>
  <c r="H76" i="7"/>
  <c r="AG129" i="9" s="1"/>
  <c r="H35" i="7"/>
  <c r="Z89" i="9" s="1"/>
  <c r="Y89" i="9"/>
  <c r="H53" i="7"/>
  <c r="AG106" i="9" s="1"/>
  <c r="AF111" i="9"/>
  <c r="H54" i="7"/>
  <c r="AG107" i="9" s="1"/>
  <c r="Y91" i="9"/>
  <c r="H58" i="7"/>
  <c r="AG111" i="9" s="1"/>
  <c r="Y90" i="9"/>
  <c r="G42" i="7"/>
  <c r="O7" i="7" s="1"/>
  <c r="O19" i="7" s="1"/>
  <c r="G77" i="7"/>
  <c r="AF130" i="9" s="1"/>
  <c r="I72" i="7"/>
  <c r="AH125" i="9" s="1"/>
  <c r="AA88" i="9"/>
  <c r="E124" i="7"/>
  <c r="C235" i="7"/>
  <c r="J81" i="7"/>
  <c r="J83" i="7"/>
  <c r="I65" i="7"/>
  <c r="AH118" i="9" s="1"/>
  <c r="I74" i="7"/>
  <c r="AH127" i="9" s="1"/>
  <c r="I38" i="7"/>
  <c r="AA92" i="9" s="1"/>
  <c r="I76" i="7"/>
  <c r="AH129" i="9" s="1"/>
  <c r="I53" i="7"/>
  <c r="AH106" i="9" s="1"/>
  <c r="I39" i="7"/>
  <c r="AA93" i="9" s="1"/>
  <c r="J34" i="7"/>
  <c r="I56" i="7"/>
  <c r="AH109" i="9" s="1"/>
  <c r="I57" i="7"/>
  <c r="AH110" i="9" s="1"/>
  <c r="I41" i="7"/>
  <c r="I73" i="7"/>
  <c r="AH126" i="9" s="1"/>
  <c r="I35" i="7"/>
  <c r="I75" i="7"/>
  <c r="AH128" i="9" s="1"/>
  <c r="I63" i="7"/>
  <c r="AH116" i="9" s="1"/>
  <c r="H66" i="7"/>
  <c r="AG119" i="9" s="1"/>
  <c r="I37" i="7"/>
  <c r="J82" i="7"/>
  <c r="I84" i="7"/>
  <c r="J80" i="7"/>
  <c r="H36" i="7" l="1"/>
  <c r="Z90" i="9" s="1"/>
  <c r="H127" i="7"/>
  <c r="H129" i="7" s="1"/>
  <c r="Z95" i="9"/>
  <c r="H131" i="7"/>
  <c r="H77" i="7"/>
  <c r="AG130" i="9" s="1"/>
  <c r="AM146" i="9"/>
  <c r="I54" i="7"/>
  <c r="AH107" i="9" s="1"/>
  <c r="G85" i="7"/>
  <c r="AF138" i="9" s="1"/>
  <c r="Y96" i="9"/>
  <c r="G43" i="7"/>
  <c r="Y97" i="9" s="1"/>
  <c r="I58" i="7"/>
  <c r="AH111" i="9" s="1"/>
  <c r="I127" i="7"/>
  <c r="AA91" i="9"/>
  <c r="I128" i="7"/>
  <c r="AA95" i="9"/>
  <c r="G13" i="7"/>
  <c r="D3" i="11" s="1"/>
  <c r="AM158" i="9"/>
  <c r="J72" i="7"/>
  <c r="AI125" i="9" s="1"/>
  <c r="AB88" i="9"/>
  <c r="H42" i="7"/>
  <c r="P7" i="7" s="1"/>
  <c r="I36" i="7"/>
  <c r="AA90" i="9" s="1"/>
  <c r="AA89" i="9"/>
  <c r="I77" i="7"/>
  <c r="J63" i="7"/>
  <c r="AI116" i="9" s="1"/>
  <c r="I66" i="7"/>
  <c r="AH119" i="9" s="1"/>
  <c r="J35" i="7"/>
  <c r="J65" i="7"/>
  <c r="AI118" i="9" s="1"/>
  <c r="J73" i="7"/>
  <c r="AI126" i="9" s="1"/>
  <c r="J39" i="7"/>
  <c r="AB93" i="9" s="1"/>
  <c r="J37" i="7"/>
  <c r="J38" i="7"/>
  <c r="AB92" i="9" s="1"/>
  <c r="J57" i="7"/>
  <c r="AI110" i="9" s="1"/>
  <c r="J56" i="7"/>
  <c r="AI109" i="9" s="1"/>
  <c r="J53" i="7"/>
  <c r="AI106" i="9" s="1"/>
  <c r="J75" i="7"/>
  <c r="AI128" i="9" s="1"/>
  <c r="J41" i="7"/>
  <c r="J76" i="7"/>
  <c r="AI129" i="9" s="1"/>
  <c r="J74" i="7"/>
  <c r="AI127" i="9" s="1"/>
  <c r="J84" i="7"/>
  <c r="H85" i="7" l="1"/>
  <c r="AG138" i="9" s="1"/>
  <c r="J54" i="7"/>
  <c r="AI107" i="9" s="1"/>
  <c r="I131" i="7"/>
  <c r="J58" i="7"/>
  <c r="J131" i="7" s="1"/>
  <c r="G44" i="7"/>
  <c r="Y98" i="9" s="1"/>
  <c r="H43" i="7"/>
  <c r="Z97" i="9" s="1"/>
  <c r="I129" i="7"/>
  <c r="Z96" i="9"/>
  <c r="J128" i="7"/>
  <c r="AB95" i="9"/>
  <c r="P19" i="7"/>
  <c r="AN146" i="9"/>
  <c r="R68" i="9"/>
  <c r="G45" i="7"/>
  <c r="G46" i="7" s="1"/>
  <c r="Y100" i="9" s="1"/>
  <c r="J127" i="7"/>
  <c r="J129" i="7" s="1"/>
  <c r="AB91" i="9"/>
  <c r="I85" i="7"/>
  <c r="AH138" i="9" s="1"/>
  <c r="AH130" i="9"/>
  <c r="J36" i="7"/>
  <c r="AB90" i="9" s="1"/>
  <c r="AB89" i="9"/>
  <c r="I42" i="7"/>
  <c r="Q7" i="7" s="1"/>
  <c r="J66" i="7"/>
  <c r="AI119" i="9" s="1"/>
  <c r="J77" i="7"/>
  <c r="AI111" i="9" l="1"/>
  <c r="H44" i="7"/>
  <c r="Z98" i="9" s="1"/>
  <c r="H13" i="7"/>
  <c r="E3" i="11" s="1"/>
  <c r="AN158" i="9"/>
  <c r="Q19" i="7"/>
  <c r="AO146" i="9"/>
  <c r="G150" i="7"/>
  <c r="Y99" i="9"/>
  <c r="J85" i="7"/>
  <c r="AI138" i="9" s="1"/>
  <c r="AI130" i="9"/>
  <c r="J42" i="7"/>
  <c r="R7" i="7" s="1"/>
  <c r="I43" i="7"/>
  <c r="AA96" i="9"/>
  <c r="D15" i="7"/>
  <c r="E15" i="7"/>
  <c r="D14" i="7"/>
  <c r="E14" i="7"/>
  <c r="F84" i="7"/>
  <c r="AO158" i="9" l="1"/>
  <c r="I13" i="7"/>
  <c r="F3" i="11" s="1"/>
  <c r="R19" i="7"/>
  <c r="AP146" i="9"/>
  <c r="S68" i="9"/>
  <c r="H45" i="7"/>
  <c r="J43" i="7"/>
  <c r="AB96" i="9"/>
  <c r="I44" i="7"/>
  <c r="AA97" i="9"/>
  <c r="E8" i="7"/>
  <c r="E7" i="7"/>
  <c r="D7" i="7"/>
  <c r="D8" i="7"/>
  <c r="D33" i="7"/>
  <c r="D6" i="7"/>
  <c r="E4" i="7"/>
  <c r="D36" i="7"/>
  <c r="D42" i="7" s="1"/>
  <c r="D44" i="7" s="1"/>
  <c r="D46" i="7" s="1"/>
  <c r="J140" i="7"/>
  <c r="I140" i="7"/>
  <c r="H140" i="7"/>
  <c r="G140" i="7"/>
  <c r="F140" i="7"/>
  <c r="J139" i="7"/>
  <c r="I139" i="7"/>
  <c r="H139" i="7"/>
  <c r="G139" i="7"/>
  <c r="F139" i="7"/>
  <c r="J138" i="7"/>
  <c r="I138" i="7"/>
  <c r="H138" i="7"/>
  <c r="G138" i="7"/>
  <c r="F138" i="7"/>
  <c r="J137" i="7"/>
  <c r="I137" i="7"/>
  <c r="H137" i="7"/>
  <c r="G137" i="7"/>
  <c r="F137" i="7"/>
  <c r="J136" i="7"/>
  <c r="I136" i="7"/>
  <c r="H136" i="7"/>
  <c r="G136" i="7"/>
  <c r="F136" i="7"/>
  <c r="J135" i="7"/>
  <c r="I135" i="7"/>
  <c r="H135" i="7"/>
  <c r="G135" i="7"/>
  <c r="F135" i="7"/>
  <c r="J134" i="7"/>
  <c r="I134" i="7"/>
  <c r="H134" i="7"/>
  <c r="G134" i="7"/>
  <c r="F134" i="7"/>
  <c r="J133" i="7"/>
  <c r="I133" i="7"/>
  <c r="H133" i="7"/>
  <c r="G133" i="7"/>
  <c r="F133" i="7"/>
  <c r="J132" i="7"/>
  <c r="I132" i="7"/>
  <c r="H132" i="7"/>
  <c r="G132" i="7"/>
  <c r="F132" i="7"/>
  <c r="J124" i="7"/>
  <c r="I124" i="7"/>
  <c r="H124" i="7"/>
  <c r="G124" i="7"/>
  <c r="F124" i="7"/>
  <c r="J121" i="7"/>
  <c r="I121" i="7"/>
  <c r="H121" i="7"/>
  <c r="G121" i="7"/>
  <c r="F121" i="7"/>
  <c r="J120" i="7"/>
  <c r="I120" i="7"/>
  <c r="H120" i="7"/>
  <c r="G120" i="7"/>
  <c r="F120" i="7"/>
  <c r="J119" i="7"/>
  <c r="I119" i="7"/>
  <c r="H119" i="7"/>
  <c r="G119" i="7"/>
  <c r="F119" i="7"/>
  <c r="J118" i="7"/>
  <c r="I118" i="7"/>
  <c r="H118" i="7"/>
  <c r="G118" i="7"/>
  <c r="F118" i="7"/>
  <c r="J116" i="7"/>
  <c r="I116" i="7"/>
  <c r="H116" i="7"/>
  <c r="G116" i="7"/>
  <c r="F116" i="7"/>
  <c r="J115" i="7"/>
  <c r="I115" i="7"/>
  <c r="H115" i="7"/>
  <c r="G115" i="7"/>
  <c r="F115" i="7"/>
  <c r="F66" i="7"/>
  <c r="AE119" i="9" s="1"/>
  <c r="E107" i="7"/>
  <c r="E106" i="7"/>
  <c r="E103" i="7"/>
  <c r="E104" i="7"/>
  <c r="E33" i="7"/>
  <c r="E49" i="7" s="1"/>
  <c r="E90" i="7" s="1"/>
  <c r="E116" i="7"/>
  <c r="E36" i="7"/>
  <c r="E42" i="7" s="1"/>
  <c r="E44" i="7" s="1"/>
  <c r="E46" i="7" s="1"/>
  <c r="E66" i="7"/>
  <c r="D66" i="7"/>
  <c r="E84" i="7"/>
  <c r="D84" i="7"/>
  <c r="E140" i="7"/>
  <c r="E141" i="7" s="1"/>
  <c r="E119" i="7"/>
  <c r="E120" i="7"/>
  <c r="E121" i="7"/>
  <c r="E118" i="7"/>
  <c r="E115" i="7"/>
  <c r="F28" i="3"/>
  <c r="D28" i="3"/>
  <c r="D19" i="4"/>
  <c r="F55" i="3"/>
  <c r="D55" i="3"/>
  <c r="P28" i="3"/>
  <c r="AP158" i="9" l="1"/>
  <c r="J13" i="7"/>
  <c r="T68" i="9"/>
  <c r="I45" i="7"/>
  <c r="I46" i="7" s="1"/>
  <c r="AA100" i="9" s="1"/>
  <c r="Z99" i="9"/>
  <c r="H150" i="7"/>
  <c r="H46" i="7"/>
  <c r="Z100" i="9" s="1"/>
  <c r="AA98" i="9"/>
  <c r="J44" i="7"/>
  <c r="AB97" i="9"/>
  <c r="G141" i="7"/>
  <c r="H141" i="7"/>
  <c r="I141" i="7"/>
  <c r="J141" i="7"/>
  <c r="F141" i="7"/>
  <c r="D49" i="7"/>
  <c r="E95" i="7"/>
  <c r="F106" i="7"/>
  <c r="F130" i="7"/>
  <c r="C9" i="8" s="1"/>
  <c r="C23" i="8" s="1"/>
  <c r="F107" i="7"/>
  <c r="F104" i="7"/>
  <c r="E105" i="7"/>
  <c r="E108" i="7" s="1"/>
  <c r="C240" i="7" s="1"/>
  <c r="F103" i="7"/>
  <c r="J114" i="7"/>
  <c r="F33" i="7"/>
  <c r="F49" i="7" s="1"/>
  <c r="G33" i="7"/>
  <c r="G49" i="7" s="1"/>
  <c r="G90" i="7" s="1"/>
  <c r="E102" i="7"/>
  <c r="D12" i="7"/>
  <c r="E12" i="7"/>
  <c r="E129" i="7" s="1"/>
  <c r="E130" i="7" s="1"/>
  <c r="E142" i="7" s="1"/>
  <c r="J117" i="7"/>
  <c r="F117" i="7"/>
  <c r="H117" i="7"/>
  <c r="I117" i="7"/>
  <c r="G117" i="7"/>
  <c r="H114" i="7"/>
  <c r="I114" i="7"/>
  <c r="G114" i="7"/>
  <c r="J148" i="7"/>
  <c r="H148" i="7"/>
  <c r="I148" i="7"/>
  <c r="F114" i="7"/>
  <c r="E114" i="7"/>
  <c r="E117" i="7"/>
  <c r="L47" i="3"/>
  <c r="L48" i="3"/>
  <c r="L49" i="3"/>
  <c r="L50" i="3"/>
  <c r="L51" i="3"/>
  <c r="L52" i="3"/>
  <c r="L42" i="3"/>
  <c r="L41" i="3"/>
  <c r="L40" i="3"/>
  <c r="L39" i="3"/>
  <c r="L32" i="3"/>
  <c r="L33" i="3"/>
  <c r="L34" i="3"/>
  <c r="L35" i="3"/>
  <c r="L31" i="3"/>
  <c r="L13" i="3"/>
  <c r="L14" i="3"/>
  <c r="L17" i="3"/>
  <c r="L18" i="3"/>
  <c r="L22" i="3"/>
  <c r="L23" i="3"/>
  <c r="L24" i="3"/>
  <c r="L25" i="3"/>
  <c r="L12" i="3"/>
  <c r="H11" i="3"/>
  <c r="H12" i="3"/>
  <c r="H13" i="3"/>
  <c r="H14" i="3"/>
  <c r="H53" i="3"/>
  <c r="H44" i="3"/>
  <c r="H43" i="3"/>
  <c r="H36" i="3"/>
  <c r="H19" i="3"/>
  <c r="D37" i="4"/>
  <c r="D16" i="5" s="1"/>
  <c r="P30" i="5"/>
  <c r="P31" i="5" s="1"/>
  <c r="P44" i="5"/>
  <c r="N44" i="5"/>
  <c r="P43" i="5"/>
  <c r="N43" i="5"/>
  <c r="P36" i="5"/>
  <c r="N36" i="5"/>
  <c r="P35" i="5"/>
  <c r="N35" i="5"/>
  <c r="P33" i="5"/>
  <c r="N33" i="5"/>
  <c r="N31" i="5"/>
  <c r="P29" i="5"/>
  <c r="N29" i="5"/>
  <c r="N30" i="5" s="1"/>
  <c r="P26" i="5"/>
  <c r="N26" i="5"/>
  <c r="P20" i="5"/>
  <c r="N20" i="5"/>
  <c r="P19" i="5"/>
  <c r="N19" i="5"/>
  <c r="P18" i="5"/>
  <c r="N18" i="5"/>
  <c r="P16" i="5"/>
  <c r="N16" i="5"/>
  <c r="P14" i="5"/>
  <c r="N14" i="5"/>
  <c r="P13" i="5"/>
  <c r="N13" i="5"/>
  <c r="P8" i="5"/>
  <c r="N8" i="5"/>
  <c r="F15" i="3"/>
  <c r="D15" i="3"/>
  <c r="G16" i="5"/>
  <c r="G15" i="5"/>
  <c r="G9" i="5"/>
  <c r="G10" i="5" s="1"/>
  <c r="D9" i="5"/>
  <c r="J14" i="5"/>
  <c r="I14" i="5"/>
  <c r="I4" i="5"/>
  <c r="I5" i="5"/>
  <c r="I7" i="5"/>
  <c r="I8" i="5"/>
  <c r="G6" i="5"/>
  <c r="D6" i="5"/>
  <c r="D15" i="5"/>
  <c r="G37" i="4"/>
  <c r="J4" i="5"/>
  <c r="J5" i="5"/>
  <c r="J8" i="5"/>
  <c r="J7" i="5"/>
  <c r="G44" i="1"/>
  <c r="D44" i="1"/>
  <c r="E16" i="2"/>
  <c r="G44" i="4"/>
  <c r="G45" i="4" s="1"/>
  <c r="H31" i="4"/>
  <c r="J29" i="4"/>
  <c r="H29" i="4"/>
  <c r="E29" i="4"/>
  <c r="I28" i="4"/>
  <c r="H28" i="4"/>
  <c r="H27" i="4"/>
  <c r="I27" i="4"/>
  <c r="I29" i="4" s="1"/>
  <c r="H24" i="4"/>
  <c r="J22" i="4"/>
  <c r="I22" i="4"/>
  <c r="H22" i="4"/>
  <c r="E22" i="4"/>
  <c r="H20" i="4"/>
  <c r="J18" i="4"/>
  <c r="I18" i="4"/>
  <c r="H18" i="4"/>
  <c r="E18" i="4"/>
  <c r="H17" i="4"/>
  <c r="J17" i="4"/>
  <c r="H16" i="4"/>
  <c r="J16" i="4"/>
  <c r="J15" i="4"/>
  <c r="H15" i="4"/>
  <c r="I15" i="4"/>
  <c r="J14" i="4"/>
  <c r="I14" i="4"/>
  <c r="H14" i="4"/>
  <c r="E14" i="4"/>
  <c r="H12" i="4"/>
  <c r="J12" i="4"/>
  <c r="J11" i="4"/>
  <c r="I11" i="4"/>
  <c r="H11" i="4"/>
  <c r="E11" i="4"/>
  <c r="J10" i="4"/>
  <c r="I10" i="4"/>
  <c r="H10" i="4"/>
  <c r="E10" i="4"/>
  <c r="B6" i="4"/>
  <c r="G54" i="3"/>
  <c r="I52" i="3"/>
  <c r="G52" i="3"/>
  <c r="H52" i="3"/>
  <c r="G51" i="3"/>
  <c r="I51" i="3"/>
  <c r="I50" i="3"/>
  <c r="G50" i="3"/>
  <c r="H50" i="3"/>
  <c r="G49" i="3"/>
  <c r="H49" i="3"/>
  <c r="H48" i="3"/>
  <c r="G48" i="3"/>
  <c r="I47" i="3"/>
  <c r="G47" i="3"/>
  <c r="G44" i="3"/>
  <c r="G43" i="3"/>
  <c r="G42" i="3"/>
  <c r="I42" i="3"/>
  <c r="H41" i="3"/>
  <c r="G41" i="3"/>
  <c r="G40" i="3"/>
  <c r="I40" i="3"/>
  <c r="G39" i="3"/>
  <c r="G36" i="3"/>
  <c r="I35" i="3"/>
  <c r="H35" i="3"/>
  <c r="G35" i="3"/>
  <c r="I34" i="3"/>
  <c r="H34" i="3"/>
  <c r="G34" i="3"/>
  <c r="G33" i="3"/>
  <c r="I33" i="3"/>
  <c r="I32" i="3"/>
  <c r="H32" i="3"/>
  <c r="G32" i="3"/>
  <c r="I31" i="3"/>
  <c r="G31" i="3"/>
  <c r="H31" i="3"/>
  <c r="G27" i="3"/>
  <c r="G26" i="3"/>
  <c r="H25" i="3"/>
  <c r="G25" i="3"/>
  <c r="I25" i="3"/>
  <c r="H24" i="3"/>
  <c r="G24" i="3"/>
  <c r="I23" i="3"/>
  <c r="G23" i="3"/>
  <c r="H23" i="3"/>
  <c r="G22" i="3"/>
  <c r="I22" i="3"/>
  <c r="G19" i="3"/>
  <c r="G18" i="3"/>
  <c r="H18" i="3"/>
  <c r="G17" i="3"/>
  <c r="G14" i="3"/>
  <c r="I14" i="3"/>
  <c r="G13" i="3"/>
  <c r="I12" i="3"/>
  <c r="G12" i="3"/>
  <c r="G11" i="3"/>
  <c r="I11" i="3"/>
  <c r="I150" i="7" l="1"/>
  <c r="AA99" i="9"/>
  <c r="U68" i="9"/>
  <c r="J45" i="7"/>
  <c r="J46" i="7" s="1"/>
  <c r="AB100" i="9" s="1"/>
  <c r="AB98" i="9"/>
  <c r="D240" i="7"/>
  <c r="C242" i="7"/>
  <c r="E242" i="7" s="1"/>
  <c r="E240" i="7"/>
  <c r="C239" i="7"/>
  <c r="F142" i="7"/>
  <c r="E164" i="7"/>
  <c r="E193" i="7" s="1"/>
  <c r="C237" i="7" s="1"/>
  <c r="E159" i="7"/>
  <c r="E122" i="7"/>
  <c r="E109" i="7"/>
  <c r="E110" i="7" s="1"/>
  <c r="G95" i="7"/>
  <c r="F95" i="7"/>
  <c r="F90" i="7"/>
  <c r="D95" i="7"/>
  <c r="D90" i="7"/>
  <c r="G106" i="7"/>
  <c r="G104" i="7"/>
  <c r="G107" i="7"/>
  <c r="G103" i="7"/>
  <c r="F36" i="7"/>
  <c r="I122" i="7"/>
  <c r="I125" i="7" s="1"/>
  <c r="G102" i="7"/>
  <c r="F102" i="7"/>
  <c r="F105" i="7"/>
  <c r="F108" i="7" s="1"/>
  <c r="G122" i="7"/>
  <c r="G125" i="7" s="1"/>
  <c r="J122" i="7"/>
  <c r="J125" i="7" s="1"/>
  <c r="H33" i="7"/>
  <c r="H49" i="7" s="1"/>
  <c r="H90" i="7" s="1"/>
  <c r="F122" i="7"/>
  <c r="F125" i="7" s="1"/>
  <c r="H122" i="7"/>
  <c r="H125" i="7" s="1"/>
  <c r="F148" i="7"/>
  <c r="G148" i="7"/>
  <c r="H26" i="3"/>
  <c r="H27" i="3" s="1"/>
  <c r="G53" i="3"/>
  <c r="I6" i="5"/>
  <c r="H9" i="5"/>
  <c r="J9" i="5"/>
  <c r="I9" i="5"/>
  <c r="D10" i="5"/>
  <c r="I10" i="5" s="1"/>
  <c r="J6" i="5"/>
  <c r="G11" i="5"/>
  <c r="G17" i="5" s="1"/>
  <c r="G22" i="5" s="1"/>
  <c r="E9" i="5"/>
  <c r="E16" i="4"/>
  <c r="I16" i="4"/>
  <c r="E27" i="4"/>
  <c r="E15" i="4"/>
  <c r="E12" i="4"/>
  <c r="E17" i="4"/>
  <c r="I12" i="4"/>
  <c r="I17" i="4"/>
  <c r="I53" i="3"/>
  <c r="I43" i="3"/>
  <c r="H17" i="3"/>
  <c r="I17" i="3"/>
  <c r="I41" i="3"/>
  <c r="H39" i="3"/>
  <c r="I13" i="3"/>
  <c r="H22" i="3"/>
  <c r="I39" i="3"/>
  <c r="H51" i="3"/>
  <c r="H42" i="3"/>
  <c r="I18" i="3"/>
  <c r="H33" i="3"/>
  <c r="I49" i="3"/>
  <c r="H40" i="3"/>
  <c r="H47" i="3"/>
  <c r="J150" i="7" l="1"/>
  <c r="AB99" i="9"/>
  <c r="F169" i="7"/>
  <c r="U32" i="10" s="1"/>
  <c r="U35" i="10" s="1"/>
  <c r="F42" i="7"/>
  <c r="N7" i="7" s="1"/>
  <c r="X90" i="9"/>
  <c r="D239" i="7"/>
  <c r="E239" i="7"/>
  <c r="F164" i="7"/>
  <c r="F193" i="7" s="1"/>
  <c r="G164" i="7"/>
  <c r="G193" i="7" s="1"/>
  <c r="E125" i="7"/>
  <c r="F109" i="7"/>
  <c r="F110" i="7" s="1"/>
  <c r="H95" i="7"/>
  <c r="G105" i="7"/>
  <c r="G108" i="7" s="1"/>
  <c r="H104" i="7"/>
  <c r="H106" i="7"/>
  <c r="G130" i="7"/>
  <c r="G142" i="7" s="1"/>
  <c r="G169" i="7" s="1"/>
  <c r="H107" i="7"/>
  <c r="H103" i="7"/>
  <c r="H102" i="7"/>
  <c r="I33" i="7"/>
  <c r="I49" i="7" s="1"/>
  <c r="I90" i="7" s="1"/>
  <c r="E112" i="7"/>
  <c r="H11" i="5"/>
  <c r="J10" i="5"/>
  <c r="D11" i="5"/>
  <c r="D17" i="5" s="1"/>
  <c r="D22" i="5" s="1"/>
  <c r="H54" i="3"/>
  <c r="J20" i="4"/>
  <c r="I20" i="4"/>
  <c r="E20" i="4"/>
  <c r="D44" i="4"/>
  <c r="D45" i="4" s="1"/>
  <c r="I26" i="3"/>
  <c r="I36" i="3"/>
  <c r="I19" i="3"/>
  <c r="N19" i="7" l="1"/>
  <c r="AL146" i="9"/>
  <c r="F171" i="7"/>
  <c r="G171" i="7"/>
  <c r="V32" i="10"/>
  <c r="V35" i="10" s="1"/>
  <c r="F43" i="7"/>
  <c r="X96" i="9"/>
  <c r="E123" i="7"/>
  <c r="E126" i="7" s="1"/>
  <c r="E143" i="7" s="1"/>
  <c r="B5" i="8"/>
  <c r="C8" i="8"/>
  <c r="C22" i="8" s="1"/>
  <c r="C24" i="8" s="1"/>
  <c r="C25" i="8" s="1"/>
  <c r="C7" i="8"/>
  <c r="E244" i="7"/>
  <c r="D244" i="7"/>
  <c r="H164" i="7"/>
  <c r="H193" i="7" s="1"/>
  <c r="G109" i="7"/>
  <c r="G110" i="7" s="1"/>
  <c r="I95" i="7"/>
  <c r="F112" i="7"/>
  <c r="H105" i="7"/>
  <c r="H108" i="7" s="1"/>
  <c r="I106" i="7"/>
  <c r="I107" i="7"/>
  <c r="H130" i="7"/>
  <c r="H142" i="7" s="1"/>
  <c r="H169" i="7" s="1"/>
  <c r="I102" i="7"/>
  <c r="I103" i="7"/>
  <c r="I104" i="7"/>
  <c r="J33" i="7"/>
  <c r="J49" i="7" s="1"/>
  <c r="J90" i="7" s="1"/>
  <c r="E17" i="5"/>
  <c r="I17" i="5"/>
  <c r="J17" i="5"/>
  <c r="H17" i="5"/>
  <c r="I11" i="5"/>
  <c r="E11" i="5"/>
  <c r="J11" i="5"/>
  <c r="J24" i="4"/>
  <c r="I24" i="4"/>
  <c r="E24" i="4"/>
  <c r="E24" i="3"/>
  <c r="I27" i="3"/>
  <c r="E25" i="3"/>
  <c r="E11" i="3"/>
  <c r="E27" i="3"/>
  <c r="E14" i="3"/>
  <c r="E22" i="3"/>
  <c r="E23" i="3"/>
  <c r="E17" i="3"/>
  <c r="E12" i="3"/>
  <c r="E18" i="3"/>
  <c r="E13" i="3"/>
  <c r="I44" i="3"/>
  <c r="E44" i="3"/>
  <c r="E26" i="3"/>
  <c r="AL158" i="9" l="1"/>
  <c r="F13" i="7"/>
  <c r="C3" i="11" s="1"/>
  <c r="H171" i="7"/>
  <c r="W32" i="10"/>
  <c r="W35" i="10" s="1"/>
  <c r="X97" i="9"/>
  <c r="F44" i="7"/>
  <c r="F123" i="7"/>
  <c r="F126" i="7" s="1"/>
  <c r="F143" i="7" s="1"/>
  <c r="C5" i="8"/>
  <c r="C30" i="8"/>
  <c r="C29" i="8"/>
  <c r="I164" i="7"/>
  <c r="I193" i="7" s="1"/>
  <c r="H109" i="7"/>
  <c r="H110" i="7" s="1"/>
  <c r="J95" i="7"/>
  <c r="I130" i="7"/>
  <c r="I142" i="7" s="1"/>
  <c r="I169" i="7" s="1"/>
  <c r="J104" i="7"/>
  <c r="J106" i="7"/>
  <c r="G112" i="7"/>
  <c r="G123" i="7" s="1"/>
  <c r="G126" i="7" s="1"/>
  <c r="J107" i="7"/>
  <c r="J103" i="7"/>
  <c r="I105" i="7"/>
  <c r="I108" i="7" s="1"/>
  <c r="J102" i="7"/>
  <c r="G151" i="7"/>
  <c r="I31" i="4"/>
  <c r="E31" i="4"/>
  <c r="J31" i="4"/>
  <c r="E34" i="3"/>
  <c r="I54" i="3"/>
  <c r="E33" i="3"/>
  <c r="E48" i="3"/>
  <c r="E54" i="3"/>
  <c r="E35" i="3"/>
  <c r="E32" i="3"/>
  <c r="E40" i="3"/>
  <c r="E50" i="3"/>
  <c r="E52" i="3"/>
  <c r="E53" i="3"/>
  <c r="E31" i="3"/>
  <c r="E41" i="3"/>
  <c r="E42" i="3"/>
  <c r="E51" i="3"/>
  <c r="E39" i="3"/>
  <c r="E43" i="3"/>
  <c r="E47" i="3"/>
  <c r="E49" i="3"/>
  <c r="E36" i="3"/>
  <c r="E19" i="3"/>
  <c r="I171" i="7" l="1"/>
  <c r="X32" i="10"/>
  <c r="X35" i="10" s="1"/>
  <c r="Q68" i="9"/>
  <c r="F45" i="7"/>
  <c r="F46" i="7" s="1"/>
  <c r="X98" i="9"/>
  <c r="F165" i="7"/>
  <c r="G143" i="7"/>
  <c r="G165" i="7"/>
  <c r="J164" i="7"/>
  <c r="J193" i="7" s="1"/>
  <c r="F149" i="7"/>
  <c r="I109" i="7"/>
  <c r="I110" i="7" s="1"/>
  <c r="J105" i="7"/>
  <c r="J108" i="7" s="1"/>
  <c r="J130" i="7"/>
  <c r="J142" i="7" s="1"/>
  <c r="J169" i="7" s="1"/>
  <c r="Y32" i="10" s="1"/>
  <c r="H151" i="7"/>
  <c r="G52" i="2"/>
  <c r="I50" i="2"/>
  <c r="H50" i="2"/>
  <c r="G50" i="2"/>
  <c r="G49" i="2"/>
  <c r="I49" i="2"/>
  <c r="I48" i="2"/>
  <c r="H48" i="2"/>
  <c r="G48" i="2"/>
  <c r="H47" i="2"/>
  <c r="G47" i="2"/>
  <c r="I47" i="2"/>
  <c r="G46" i="2"/>
  <c r="H46" i="2"/>
  <c r="I45" i="2"/>
  <c r="H45" i="2"/>
  <c r="G45" i="2"/>
  <c r="G42" i="2"/>
  <c r="G41" i="2"/>
  <c r="H40" i="2"/>
  <c r="G40" i="2"/>
  <c r="I40" i="2"/>
  <c r="G39" i="2"/>
  <c r="I39" i="2"/>
  <c r="I38" i="2"/>
  <c r="H38" i="2"/>
  <c r="G38" i="2"/>
  <c r="G37" i="2"/>
  <c r="G34" i="2"/>
  <c r="G33" i="2"/>
  <c r="I33" i="2"/>
  <c r="G32" i="2"/>
  <c r="I32" i="2"/>
  <c r="I31" i="2"/>
  <c r="H31" i="2"/>
  <c r="G31" i="2"/>
  <c r="G30" i="2"/>
  <c r="I29" i="2"/>
  <c r="H29" i="2"/>
  <c r="G29" i="2"/>
  <c r="G25" i="2"/>
  <c r="G24" i="2"/>
  <c r="E24" i="2"/>
  <c r="I23" i="2"/>
  <c r="H23" i="2"/>
  <c r="G23" i="2"/>
  <c r="G22" i="2"/>
  <c r="H22" i="2"/>
  <c r="I21" i="2"/>
  <c r="H21" i="2"/>
  <c r="G21" i="2"/>
  <c r="G20" i="2"/>
  <c r="I20" i="2"/>
  <c r="G17" i="2"/>
  <c r="I16" i="2"/>
  <c r="H16" i="2"/>
  <c r="G16" i="2"/>
  <c r="G15" i="2"/>
  <c r="I15" i="2"/>
  <c r="I14" i="2"/>
  <c r="H14" i="2"/>
  <c r="G14" i="2"/>
  <c r="E14" i="2"/>
  <c r="G13" i="2"/>
  <c r="I13" i="2"/>
  <c r="I12" i="2"/>
  <c r="H12" i="2"/>
  <c r="G12" i="2"/>
  <c r="G11" i="2"/>
  <c r="I11" i="2"/>
  <c r="G45" i="1"/>
  <c r="H31" i="1"/>
  <c r="J29" i="1"/>
  <c r="H29" i="1"/>
  <c r="E29" i="1"/>
  <c r="I28" i="1"/>
  <c r="H28" i="1"/>
  <c r="H27" i="1"/>
  <c r="I27" i="1"/>
  <c r="I29" i="1" s="1"/>
  <c r="H24" i="1"/>
  <c r="J22" i="1"/>
  <c r="I22" i="1"/>
  <c r="H22" i="1"/>
  <c r="E22" i="1"/>
  <c r="H20" i="1"/>
  <c r="J18" i="1"/>
  <c r="I18" i="1"/>
  <c r="H18" i="1"/>
  <c r="E18" i="1"/>
  <c r="J17" i="1"/>
  <c r="I17" i="1"/>
  <c r="H17" i="1"/>
  <c r="E17" i="1"/>
  <c r="H16" i="1"/>
  <c r="J15" i="1"/>
  <c r="I15" i="1"/>
  <c r="H15" i="1"/>
  <c r="E15" i="1"/>
  <c r="H14" i="1"/>
  <c r="J14" i="1"/>
  <c r="H12" i="1"/>
  <c r="H11" i="1"/>
  <c r="J11" i="1"/>
  <c r="J10" i="1"/>
  <c r="I10" i="1"/>
  <c r="H10" i="1"/>
  <c r="E10" i="1"/>
  <c r="B6" i="1"/>
  <c r="F150" i="7" l="1"/>
  <c r="F151" i="7" s="1"/>
  <c r="F152" i="7" s="1"/>
  <c r="N2" i="7" s="1"/>
  <c r="X99" i="9"/>
  <c r="G167" i="7"/>
  <c r="V27" i="10"/>
  <c r="V30" i="10" s="1"/>
  <c r="X100" i="9"/>
  <c r="F87" i="7"/>
  <c r="F167" i="7"/>
  <c r="U27" i="10"/>
  <c r="U30" i="10" s="1"/>
  <c r="J170" i="7"/>
  <c r="G149" i="7"/>
  <c r="G152" i="7" s="1"/>
  <c r="O2" i="7" s="1"/>
  <c r="J109" i="7"/>
  <c r="J110" i="7" s="1"/>
  <c r="I112" i="7"/>
  <c r="H112" i="7"/>
  <c r="I151" i="7"/>
  <c r="G51" i="2"/>
  <c r="I41" i="2"/>
  <c r="I34" i="2"/>
  <c r="E12" i="2"/>
  <c r="E21" i="2"/>
  <c r="I25" i="2"/>
  <c r="E23" i="2"/>
  <c r="E25" i="2"/>
  <c r="E15" i="2"/>
  <c r="I17" i="2"/>
  <c r="I24" i="2"/>
  <c r="H32" i="2"/>
  <c r="E13" i="2"/>
  <c r="H15" i="2"/>
  <c r="H39" i="2"/>
  <c r="E22" i="2"/>
  <c r="H30" i="2"/>
  <c r="H34" i="2" s="1"/>
  <c r="E11" i="2"/>
  <c r="H13" i="2"/>
  <c r="I30" i="2"/>
  <c r="H37" i="2"/>
  <c r="H41" i="2" s="1"/>
  <c r="E20" i="2"/>
  <c r="H20" i="2"/>
  <c r="H24" i="2" s="1"/>
  <c r="I37" i="2"/>
  <c r="H49" i="2"/>
  <c r="H51" i="2" s="1"/>
  <c r="H11" i="2"/>
  <c r="H33" i="2"/>
  <c r="I12" i="1"/>
  <c r="J12" i="1"/>
  <c r="E12" i="1"/>
  <c r="E11" i="1"/>
  <c r="E14" i="1"/>
  <c r="I16" i="1"/>
  <c r="I11" i="1"/>
  <c r="J16" i="1"/>
  <c r="I14" i="1"/>
  <c r="E16" i="1"/>
  <c r="E27" i="1"/>
  <c r="J171" i="7" l="1"/>
  <c r="E196" i="7" s="1"/>
  <c r="Y33" i="10"/>
  <c r="Y35" i="10" s="1"/>
  <c r="AE140" i="9"/>
  <c r="G87" i="7"/>
  <c r="C32" i="8"/>
  <c r="C36" i="8" s="1"/>
  <c r="H123" i="7"/>
  <c r="H126" i="7" s="1"/>
  <c r="I123" i="7"/>
  <c r="I126" i="7" s="1"/>
  <c r="I143" i="7" s="1"/>
  <c r="J112" i="7"/>
  <c r="J123" i="7" s="1"/>
  <c r="J126" i="7" s="1"/>
  <c r="J165" i="7" s="1"/>
  <c r="J151" i="7"/>
  <c r="I42" i="2"/>
  <c r="I51" i="2"/>
  <c r="E17" i="2"/>
  <c r="H17" i="2"/>
  <c r="H25" i="2" s="1"/>
  <c r="H42" i="2"/>
  <c r="H52" i="2" s="1"/>
  <c r="D45" i="1"/>
  <c r="I20" i="1"/>
  <c r="J20" i="1"/>
  <c r="E20" i="1"/>
  <c r="C174" i="7" l="1"/>
  <c r="T38" i="10" s="1"/>
  <c r="I196" i="7"/>
  <c r="H196" i="7"/>
  <c r="F196" i="7"/>
  <c r="G196" i="7"/>
  <c r="J196" i="7"/>
  <c r="J166" i="7"/>
  <c r="J167" i="7" s="1"/>
  <c r="J195" i="7" s="1"/>
  <c r="Y27" i="10"/>
  <c r="H87" i="7"/>
  <c r="G88" i="7"/>
  <c r="AF141" i="9" s="1"/>
  <c r="AF140" i="9"/>
  <c r="H143" i="7"/>
  <c r="H165" i="7"/>
  <c r="I165" i="7"/>
  <c r="I149" i="7"/>
  <c r="I152" i="7" s="1"/>
  <c r="Q2" i="7" s="1"/>
  <c r="J143" i="7"/>
  <c r="I52" i="2"/>
  <c r="E48" i="2"/>
  <c r="E29" i="2"/>
  <c r="E52" i="2"/>
  <c r="E47" i="2"/>
  <c r="E40" i="2"/>
  <c r="D53" i="2"/>
  <c r="E37" i="2"/>
  <c r="E34" i="2"/>
  <c r="E30" i="2"/>
  <c r="E45" i="2"/>
  <c r="E39" i="2"/>
  <c r="E33" i="2"/>
  <c r="E31" i="2"/>
  <c r="E50" i="2"/>
  <c r="E32" i="2"/>
  <c r="E49" i="2"/>
  <c r="E38" i="2"/>
  <c r="E46" i="2"/>
  <c r="E41" i="2"/>
  <c r="E51" i="2"/>
  <c r="E42" i="2"/>
  <c r="J24" i="1"/>
  <c r="I24" i="1"/>
  <c r="E24" i="1"/>
  <c r="J197" i="7" l="1"/>
  <c r="G3" i="11" s="1"/>
  <c r="Y28" i="10"/>
  <c r="Y30" i="10" s="1"/>
  <c r="I167" i="7"/>
  <c r="I195" i="7" s="1"/>
  <c r="I197" i="7" s="1"/>
  <c r="X27" i="10"/>
  <c r="X30" i="10" s="1"/>
  <c r="H167" i="7"/>
  <c r="W27" i="10"/>
  <c r="W30" i="10" s="1"/>
  <c r="AG140" i="9"/>
  <c r="H88" i="7"/>
  <c r="AG141" i="9" s="1"/>
  <c r="I87" i="7"/>
  <c r="H149" i="7"/>
  <c r="H152" i="7" s="1"/>
  <c r="P2" i="7" s="1"/>
  <c r="J149" i="7"/>
  <c r="J152" i="7" s="1"/>
  <c r="R2" i="7" s="1"/>
  <c r="J31" i="1"/>
  <c r="I31" i="1"/>
  <c r="E31" i="1"/>
  <c r="G195" i="7" l="1"/>
  <c r="G197" i="7" s="1"/>
  <c r="E195" i="7"/>
  <c r="E197" i="7" s="1"/>
  <c r="H195" i="7"/>
  <c r="H197" i="7" s="1"/>
  <c r="C173" i="7"/>
  <c r="F195" i="7"/>
  <c r="F197" i="7" s="1"/>
  <c r="AH140" i="9"/>
  <c r="J87" i="7"/>
  <c r="I88" i="7"/>
  <c r="AH141" i="9" s="1"/>
  <c r="D98" i="7"/>
  <c r="D52" i="7" s="1"/>
  <c r="D59" i="7" s="1"/>
  <c r="D67" i="7" s="1"/>
  <c r="E98" i="7"/>
  <c r="C175" i="7" l="1"/>
  <c r="T37" i="10"/>
  <c r="J88" i="7"/>
  <c r="AI141" i="9" s="1"/>
  <c r="AI140" i="9"/>
  <c r="E52" i="7"/>
  <c r="E59" i="7" s="1"/>
  <c r="E67" i="7" s="1"/>
  <c r="D71" i="7"/>
  <c r="D77" i="7" s="1"/>
  <c r="D85" i="7" s="1"/>
  <c r="D88" i="7" s="1"/>
  <c r="D100" i="7" s="1"/>
  <c r="F253" i="7" l="1"/>
  <c r="G253" i="7" s="1"/>
  <c r="D253" i="7"/>
  <c r="E253" i="7" s="1"/>
  <c r="C178" i="7"/>
  <c r="T39" i="10"/>
  <c r="E71" i="7"/>
  <c r="E77" i="7" s="1"/>
  <c r="E85" i="7" s="1"/>
  <c r="E88" i="7" s="1"/>
  <c r="E100" i="7" s="1"/>
  <c r="J97" i="7"/>
  <c r="H97" i="7"/>
  <c r="I97" i="7"/>
  <c r="G97" i="7"/>
  <c r="F77" i="7"/>
  <c r="N30" i="7" l="1"/>
  <c r="B3" i="11"/>
  <c r="B5" i="11" s="1"/>
  <c r="F85" i="7"/>
  <c r="AE138" i="9" s="1"/>
  <c r="AE130" i="9"/>
  <c r="E184" i="7"/>
  <c r="T42" i="10"/>
  <c r="F88" i="7" l="1"/>
  <c r="AE141" i="9" s="1"/>
  <c r="C11" i="8" l="1"/>
  <c r="C12" i="8" s="1"/>
  <c r="C19" i="8" s="1"/>
  <c r="F97" i="7"/>
  <c r="E148" i="7" l="1"/>
  <c r="E149" i="7"/>
  <c r="E152" i="7"/>
  <c r="E154" i="7"/>
  <c r="AE105" i="9"/>
  <c r="AF105" i="9"/>
  <c r="AG105" i="9"/>
  <c r="AH105" i="9"/>
  <c r="AI105" i="9"/>
  <c r="AE112" i="9"/>
  <c r="AF112" i="9"/>
  <c r="AG112" i="9"/>
  <c r="AH112" i="9"/>
  <c r="AI112" i="9"/>
  <c r="AE120" i="9"/>
  <c r="AF120" i="9"/>
  <c r="AG120" i="9"/>
  <c r="AH120" i="9"/>
  <c r="AI120" i="9"/>
  <c r="C33" i="8"/>
  <c r="C35" i="8"/>
  <c r="C38" i="8"/>
  <c r="F52" i="7"/>
  <c r="G52" i="7"/>
  <c r="H52" i="7"/>
  <c r="I52" i="7"/>
  <c r="J52" i="7"/>
  <c r="F59" i="7"/>
  <c r="G59" i="7"/>
  <c r="H59" i="7"/>
  <c r="I59" i="7"/>
  <c r="J59" i="7"/>
  <c r="F67" i="7"/>
  <c r="G67" i="7"/>
  <c r="H67" i="7"/>
  <c r="I67" i="7"/>
  <c r="J67" i="7"/>
  <c r="F96" i="7"/>
  <c r="G96" i="7"/>
  <c r="H96" i="7"/>
  <c r="I96" i="7"/>
  <c r="J96" i="7"/>
  <c r="F98" i="7"/>
  <c r="G98" i="7"/>
  <c r="H98" i="7"/>
  <c r="I98" i="7"/>
  <c r="J98" i="7"/>
  <c r="F100" i="7"/>
  <c r="G100" i="7"/>
  <c r="H100" i="7"/>
  <c r="I100" i="7"/>
  <c r="J100" i="7"/>
  <c r="F154" i="7"/>
  <c r="G154" i="7"/>
  <c r="H154" i="7"/>
  <c r="I154" i="7"/>
  <c r="J154" i="7"/>
</calcChain>
</file>

<file path=xl/sharedStrings.xml><?xml version="1.0" encoding="utf-8"?>
<sst xmlns="http://schemas.openxmlformats.org/spreadsheetml/2006/main" count="793" uniqueCount="305">
  <si>
    <t>ALUICA S.A.S</t>
  </si>
  <si>
    <t>Nit: 830,021,151-5</t>
  </si>
  <si>
    <t xml:space="preserve">Estado de resultados integral  </t>
  </si>
  <si>
    <t>Expresado en pesos colombianos</t>
  </si>
  <si>
    <t/>
  </si>
  <si>
    <t>NOTAS</t>
  </si>
  <si>
    <t>DIC/2021</t>
  </si>
  <si>
    <t>Part</t>
  </si>
  <si>
    <t>DIC/2020</t>
  </si>
  <si>
    <t>VARIACION ABSOLUTA</t>
  </si>
  <si>
    <t>VARIACION RELATIVA</t>
  </si>
  <si>
    <t xml:space="preserve">INGRESO DE ACTIVIDADES ORDINARIAS </t>
  </si>
  <si>
    <t xml:space="preserve">Costo de ventas </t>
  </si>
  <si>
    <t xml:space="preserve">GANANCIA BRUTA </t>
  </si>
  <si>
    <t xml:space="preserve">  </t>
  </si>
  <si>
    <t xml:space="preserve">Otros Ingresos </t>
  </si>
  <si>
    <t xml:space="preserve">Costos de distribución </t>
  </si>
  <si>
    <t xml:space="preserve">Gastos de administración </t>
  </si>
  <si>
    <t xml:space="preserve">Costos financieros </t>
  </si>
  <si>
    <t xml:space="preserve">Otros Gastos </t>
  </si>
  <si>
    <t xml:space="preserve">GANANCIA (PERDIDA), ANTES DE IMPUESTO </t>
  </si>
  <si>
    <t xml:space="preserve">Gasto por impuesto a las ganancias </t>
  </si>
  <si>
    <t xml:space="preserve">GANANCIA (PERDIDA) PROCEDENTE DE OPERACIONES CONTINUADAS </t>
  </si>
  <si>
    <t>PARTIDAS DE OTRO RESULTADO INTEGRAL</t>
  </si>
  <si>
    <t>Por ingresos</t>
  </si>
  <si>
    <t>Por gastos</t>
  </si>
  <si>
    <t>TOTAL OTRO RESULTADO INTEGRAL</t>
  </si>
  <si>
    <t>TOTAL DE GANANCIA  O PERDIDA INTEGRAL</t>
  </si>
  <si>
    <t>(Las Notas hacen parte Integral de los Estados Financieros).</t>
  </si>
  <si>
    <t>Representante legal</t>
  </si>
  <si>
    <t>Contador Publico T.P No. 86001-T</t>
  </si>
  <si>
    <t>Revisor Fiscal T.P No. 55751-T</t>
  </si>
  <si>
    <t>Miembro de M.R Consulting S.A.S</t>
  </si>
  <si>
    <t>Ver informe adjunto</t>
  </si>
  <si>
    <t>BASE RESERVA LEGAL 10%</t>
  </si>
  <si>
    <t>RESERVA LEGAL 10%</t>
  </si>
  <si>
    <t xml:space="preserve">APLICA </t>
  </si>
  <si>
    <t>N/A</t>
  </si>
  <si>
    <t>S/A</t>
  </si>
  <si>
    <t xml:space="preserve">Estado de la situación financiera </t>
  </si>
  <si>
    <t>A 31 de Diciembre 2021 - 2020</t>
  </si>
  <si>
    <t xml:space="preserve">ACTIVO </t>
  </si>
  <si>
    <t xml:space="preserve">ACTIVO CORRIENTE </t>
  </si>
  <si>
    <t xml:space="preserve">Efectivo y equivalente al efectivo </t>
  </si>
  <si>
    <t xml:space="preserve">Otros activos no financieros </t>
  </si>
  <si>
    <t>Otros Activos Financieros</t>
  </si>
  <si>
    <t xml:space="preserve">Cuentas comerciales por cobrar y otros por cobrar </t>
  </si>
  <si>
    <t xml:space="preserve">Inventarios </t>
  </si>
  <si>
    <t xml:space="preserve">Activos por impuestos </t>
  </si>
  <si>
    <t xml:space="preserve">TOTAL ACTIVO CORRIENTE </t>
  </si>
  <si>
    <t xml:space="preserve">ACTIVOS NO CORRIENTES </t>
  </si>
  <si>
    <t xml:space="preserve">Propiedad, planta y equipo </t>
  </si>
  <si>
    <t xml:space="preserve">Propiedad de inversión </t>
  </si>
  <si>
    <t>Activos Intangibles</t>
  </si>
  <si>
    <t xml:space="preserve"> </t>
  </si>
  <si>
    <t xml:space="preserve">TOTAL ACTIVOS NO CORRIENTES </t>
  </si>
  <si>
    <t xml:space="preserve">TOTAL ACTIVOS </t>
  </si>
  <si>
    <t xml:space="preserve">PASIVOS </t>
  </si>
  <si>
    <t xml:space="preserve">PASIVOS CORRIENTES </t>
  </si>
  <si>
    <t xml:space="preserve">Otros pasivos no financieros </t>
  </si>
  <si>
    <t xml:space="preserve">Otros pasivos financieros </t>
  </si>
  <si>
    <t xml:space="preserve">Cuentas por pagar comerciales y otras c. por pagar </t>
  </si>
  <si>
    <t xml:space="preserve">Beneficios a los empleados </t>
  </si>
  <si>
    <t xml:space="preserve">Pasivos por impuestos </t>
  </si>
  <si>
    <t xml:space="preserve">TOTAL PASIVOS CORRIENTE </t>
  </si>
  <si>
    <t xml:space="preserve">PASIVOS NO CORRIENTES </t>
  </si>
  <si>
    <t xml:space="preserve">Provisiones </t>
  </si>
  <si>
    <t xml:space="preserve">Ingresos diferidos y acumulaciones (o devengos) </t>
  </si>
  <si>
    <t xml:space="preserve">TOTAL PASIVO NO CORRIENTE </t>
  </si>
  <si>
    <t xml:space="preserve">TOTAL PASIVOS </t>
  </si>
  <si>
    <t xml:space="preserve">PATRIMONIO </t>
  </si>
  <si>
    <t xml:space="preserve">Capital emitido </t>
  </si>
  <si>
    <t>Superavit  de Capital</t>
  </si>
  <si>
    <t>Ganancias acumuladas</t>
  </si>
  <si>
    <t>Ganancias retenidas Adopciòn NIIF</t>
  </si>
  <si>
    <t xml:space="preserve">Otras reservas </t>
  </si>
  <si>
    <t>Utilidad/Perdida del periodo</t>
  </si>
  <si>
    <t xml:space="preserve">TOTAL PATRIMONIO </t>
  </si>
  <si>
    <t xml:space="preserve">TOTAL DE PATRIMONIO Y PASIVOS </t>
  </si>
  <si>
    <t>Contador Publico T.P No. XXXX-T</t>
  </si>
  <si>
    <t>Revisor Fiscal T.P No. XXXX-T</t>
  </si>
  <si>
    <t>Contador Publico T.P No. XXXXX-T</t>
  </si>
  <si>
    <t>Revisor Fiscal T.P No. XXXXX-T</t>
  </si>
  <si>
    <t>A 31 de Diciembre 2022 - 2021</t>
  </si>
  <si>
    <t>DIC/2022</t>
  </si>
  <si>
    <t xml:space="preserve">Cuentas por pagar comerciales y otras cxp </t>
  </si>
  <si>
    <t>UTILIDAD OPERACIONAL</t>
  </si>
  <si>
    <t>EBITDA</t>
  </si>
  <si>
    <t>NOPAT</t>
  </si>
  <si>
    <t>Impuestos Operacionales</t>
  </si>
  <si>
    <t>Tax Shield Financiero</t>
  </si>
  <si>
    <t>Impuesto No Operacional</t>
  </si>
  <si>
    <t>OP</t>
  </si>
  <si>
    <t>NOP</t>
  </si>
  <si>
    <t>CxC Comerciales</t>
  </si>
  <si>
    <t>Deudores Varios</t>
  </si>
  <si>
    <t>FIN</t>
  </si>
  <si>
    <t>ESTADO DE RESULTADOS</t>
  </si>
  <si>
    <t>BALANCE GENERAL</t>
  </si>
  <si>
    <t>ACTIVOS CTES. OPERATIVOS</t>
  </si>
  <si>
    <t>PASIVOS CTES. OPERATIVOS</t>
  </si>
  <si>
    <t>CAPITAL TRABAJO NETO OPER.</t>
  </si>
  <si>
    <t>ACTIVOS FIJOS Y LP OPER.</t>
  </si>
  <si>
    <t>PASIVOS OPER. LP</t>
  </si>
  <si>
    <t>ACTIVOS NETOS OPERATIVOS</t>
  </si>
  <si>
    <t>ACTIVOS NO OPER. NETOS</t>
  </si>
  <si>
    <t>PASIVOS NO OPER.</t>
  </si>
  <si>
    <t>ACTIVOS NO OPER.</t>
  </si>
  <si>
    <t>ACTIVOS NETOS LP OPER.</t>
  </si>
  <si>
    <t>ACTIVOS TOTALES DE LA EMPRESA</t>
  </si>
  <si>
    <t>PASIVOS FINANCIEROS CTES.</t>
  </si>
  <si>
    <t>PASIVOS FINANCIEROS LP</t>
  </si>
  <si>
    <t>PASIVOS FINANCIEROS TOTALES</t>
  </si>
  <si>
    <t>PATRIMONIO</t>
  </si>
  <si>
    <t>PATRIMONIO + PASIVOS</t>
  </si>
  <si>
    <t>CAPITAL INVERTIDO OPERATIVO</t>
  </si>
  <si>
    <t>FLUJO DE CAJA LIBRE OPERATIVO</t>
  </si>
  <si>
    <t>FLUJO DE CAJA NO OPERATIVO BRUTO DISPONIBLE PARA INVERSIONES NO OPERATIVAS</t>
  </si>
  <si>
    <t>CAPITAL INVERTIDO NETO NO OPER.</t>
  </si>
  <si>
    <t>FLUJO CAJA DE LA DEUDA</t>
  </si>
  <si>
    <t>FLUJO DE CAJA DE LOS ACCIONISTAS</t>
  </si>
  <si>
    <t>CAJA FINAL</t>
  </si>
  <si>
    <t>ESTADO DE RESULTADOS (COP)</t>
  </si>
  <si>
    <t>BALANCE GENERAL (COP)</t>
  </si>
  <si>
    <t>FLUJO DE CAJA (COP)</t>
  </si>
  <si>
    <t>UTILIDAD OPERATIVA</t>
  </si>
  <si>
    <t>DD&amp;A</t>
  </si>
  <si>
    <t>ACTIVOS CORRIENTES OPERATIVOS</t>
  </si>
  <si>
    <t>PASIVOS CORRIENTES OPERATIVOS</t>
  </si>
  <si>
    <t>KTNO</t>
  </si>
  <si>
    <t>Impuesto no Operacional</t>
  </si>
  <si>
    <t>FLUJO DE CAJA DISPONIBLE PARA ACCIONISTAS</t>
  </si>
  <si>
    <t>Check Caja BS</t>
  </si>
  <si>
    <t>Check BS</t>
  </si>
  <si>
    <t>SUPUESTOS</t>
  </si>
  <si>
    <t>Tax rate</t>
  </si>
  <si>
    <t>x</t>
  </si>
  <si>
    <t>WACC</t>
  </si>
  <si>
    <t>VALORACION (COP)</t>
  </si>
  <si>
    <t>Equity Value</t>
  </si>
  <si>
    <t>Enterprise Value</t>
  </si>
  <si>
    <t>THE PLUG (COP)</t>
  </si>
  <si>
    <t>Pasivos+Patrimonio Totales sin ajuste de Caja</t>
  </si>
  <si>
    <t>Activos Totales sin ajuste de Caja</t>
  </si>
  <si>
    <t>Plug</t>
  </si>
  <si>
    <t>Exceso de Caja</t>
  </si>
  <si>
    <t>Pasivos financieros requeridos</t>
  </si>
  <si>
    <t>Inflación Largo Plazo</t>
  </si>
  <si>
    <t>Crecimiento de Ventas</t>
  </si>
  <si>
    <t>Costo de Ventas/Ventas</t>
  </si>
  <si>
    <t>Otros Ingresos/Ventas</t>
  </si>
  <si>
    <t>Costos de Distribución/Ventas</t>
  </si>
  <si>
    <t>Gastos de Administración/Ventas</t>
  </si>
  <si>
    <t>Tasa de Interés Activa</t>
  </si>
  <si>
    <t>Tasa de Interés Pasiva/Activa</t>
  </si>
  <si>
    <t>Dividendos</t>
  </si>
  <si>
    <t>Otros Gastos/Ventas</t>
  </si>
  <si>
    <t>Intereses S/Pasivos Financieros Existentes</t>
  </si>
  <si>
    <t>Caja/Ventas</t>
  </si>
  <si>
    <t>Inventario/Ventas</t>
  </si>
  <si>
    <t>CxC/Ventas</t>
  </si>
  <si>
    <t>Otros Activos Corrientes/Ventas</t>
  </si>
  <si>
    <t>Activos Fijos Netos</t>
  </si>
  <si>
    <t>Otros Activos LPL</t>
  </si>
  <si>
    <t>Proveedores/Ventas</t>
  </si>
  <si>
    <t>CxP/Ventas</t>
  </si>
  <si>
    <t>Impuesto por pagar/Ventas</t>
  </si>
  <si>
    <t>Deudas Laborales/Ventas</t>
  </si>
  <si>
    <t>Crecimiento Valor de Continuidad</t>
  </si>
  <si>
    <t>Acreedores varios/Ventas</t>
  </si>
  <si>
    <t>Pasivos Financieros LPL Iniciales</t>
  </si>
  <si>
    <t>Otros Pasivos LPL</t>
  </si>
  <si>
    <t>Depreciación Acumulada/Activos Fijos Brutos</t>
  </si>
  <si>
    <t>ACTIVOS FIJOS (COP)</t>
  </si>
  <si>
    <t>Activos Fijos Brutos</t>
  </si>
  <si>
    <t>Depreciación Acumulada</t>
  </si>
  <si>
    <t>Datos</t>
  </si>
  <si>
    <t>Inventarios/Ventas</t>
  </si>
  <si>
    <t>Crecimientos en Ventas</t>
  </si>
  <si>
    <t>CMV/Ventas</t>
  </si>
  <si>
    <t>Escenario 1: Caso Base - sin aumento de capacidad instalada</t>
  </si>
  <si>
    <t>Escenario</t>
  </si>
  <si>
    <t>UTILIDAD NETA</t>
  </si>
  <si>
    <t>Ganancias Retenidas</t>
  </si>
  <si>
    <t>DILPL</t>
  </si>
  <si>
    <t>FCL-NOP</t>
  </si>
  <si>
    <t>FCFF</t>
  </si>
  <si>
    <t>GASTO INTERES (INGR) S/PAS.FIN.REQ.di</t>
  </si>
  <si>
    <t>GASTO INTERES (INGR) S/PAS.FIN.INI.di</t>
  </si>
  <si>
    <t>PASIVOS FINANCIEROS REQUERIDOS</t>
  </si>
  <si>
    <t>PASIVOS FINANCIEROS LPL INICIALES</t>
  </si>
  <si>
    <t>VALORACIÓN</t>
  </si>
  <si>
    <t>Tasa de crecimiento a perpetuidad</t>
  </si>
  <si>
    <t>FCLO (HE)</t>
  </si>
  <si>
    <t>FCLO Perpetuidad</t>
  </si>
  <si>
    <t>FCLO</t>
  </si>
  <si>
    <t>FCL-NOP (HE)</t>
  </si>
  <si>
    <t>FCL-NOP Perpetuidad</t>
  </si>
  <si>
    <t>Valor Operacional</t>
  </si>
  <si>
    <t>Valor No Operacional</t>
  </si>
  <si>
    <t>(+) Caja</t>
  </si>
  <si>
    <t>(-) Pasivos Financieros</t>
  </si>
  <si>
    <t>ANÁLISIS DE SENSIBILIDAD (MM COP)</t>
  </si>
  <si>
    <t>Sensibilidad WACC</t>
  </si>
  <si>
    <t>g</t>
  </si>
  <si>
    <t>ROLLING NPV</t>
  </si>
  <si>
    <t>ROLLING VALUATION (MM COP)</t>
  </si>
  <si>
    <t>MÉTODO DE LOS MÚLTIPLOS</t>
  </si>
  <si>
    <t>Industria: Building Materials</t>
  </si>
  <si>
    <t>Enterprise Value (EV) Múltiplos</t>
  </si>
  <si>
    <t>USA</t>
  </si>
  <si>
    <t>EMERGING MARKETS</t>
  </si>
  <si>
    <t>PROMEDIO</t>
  </si>
  <si>
    <t>Fuente: Damodaran on line (datos 2022)</t>
  </si>
  <si>
    <t>Tredegar Corporation</t>
  </si>
  <si>
    <t>Constellium SE</t>
  </si>
  <si>
    <t>PROMEDIO MUESTRA</t>
  </si>
  <si>
    <t>EV/EBITDA</t>
  </si>
  <si>
    <t>EV/EBIT</t>
  </si>
  <si>
    <t>EV/IC</t>
  </si>
  <si>
    <t>EV/NOPLAT</t>
  </si>
  <si>
    <t>EV/SALES</t>
  </si>
  <si>
    <t>EBITDA ajustado</t>
  </si>
  <si>
    <t>EBIT ajustado</t>
  </si>
  <si>
    <t xml:space="preserve">IC </t>
  </si>
  <si>
    <t>NOPLAT</t>
  </si>
  <si>
    <t>SALES</t>
  </si>
  <si>
    <t>EV</t>
  </si>
  <si>
    <t>EV MUESTRA</t>
  </si>
  <si>
    <t>Costos No Recurrentes (COP)</t>
  </si>
  <si>
    <t>Depreciación 2022 (COP)</t>
  </si>
  <si>
    <t>RESUMEN DE LA VALORACIÓN</t>
  </si>
  <si>
    <t>lo (bar)</t>
  </si>
  <si>
    <t>lo  (label)</t>
  </si>
  <si>
    <t>hi (bar)</t>
  </si>
  <si>
    <t>hi (label)</t>
  </si>
  <si>
    <t>EV Industria</t>
  </si>
  <si>
    <t>EV Muestra</t>
  </si>
  <si>
    <t>FCL Sensibilidad</t>
  </si>
  <si>
    <t>FCL Caso Base</t>
  </si>
  <si>
    <t>Fuente: Yahoo Finance, FinViz, Valueinvesting.io, Emis</t>
  </si>
  <si>
    <t>Tecnoglass SAS</t>
  </si>
  <si>
    <t>Alumetales SAS</t>
  </si>
  <si>
    <t>Aluminios de Colombia SA</t>
  </si>
  <si>
    <t>* Hay que hablar que usar la industria de building materials es muy amplia y contempla muchas sub industrias con márgenes muy distintos y procesos de manufactura o servicios amplia</t>
  </si>
  <si>
    <t>*Se pone USA por que son referentes en la industria, es un mercado que Aluica piensa atacar en el horizonte explícito y la empresa más grande del país está enfocada en ese mercado</t>
  </si>
  <si>
    <t>* Se utilizan dos referentes de empresas listadas en la bolsa de estados unidos que poseen múltiplos similares a los que se podrían tener en Colombia y tienen unos market values no sobrevalorados</t>
  </si>
  <si>
    <t>* Se usa Tecnoglass SAS por su valoración en pesos para hacerlo comparable y no usar tecnoglass Inc que está en un auge dentro de la bolsa gringa y tiene 2bn de market cap</t>
  </si>
  <si>
    <t>* Se utiliza el supuesto de una tasa de tributación de 35% como ejercicio académico para las empresas colombianas, esto debido a que las fuentes de información para este tipo de empresas en colombia no es lo más actualizado del mundo, de igual manera Alumetales tuvo la info con 2021 por las fuentes de información al alcance y momento de este proyecto</t>
  </si>
  <si>
    <t xml:space="preserve">* El listado de empresas inicial de comparación comprendía las que se mencionan acá + Tecnoglass Inc, Alcoa corporation, century aluminum company y Kaiser aluminum corporation </t>
  </si>
  <si>
    <t>Escenario 2: Aumento de capacidad instalada en 2025</t>
  </si>
  <si>
    <t>Mg EBITDA</t>
  </si>
  <si>
    <t>RSP</t>
  </si>
  <si>
    <t>UODI/INOPdi</t>
  </si>
  <si>
    <t>ROIC</t>
  </si>
  <si>
    <t>Libre Riesgo</t>
  </si>
  <si>
    <t>Prima de Riesgo</t>
  </si>
  <si>
    <t>Beta</t>
  </si>
  <si>
    <t>Riesgo País</t>
  </si>
  <si>
    <t>Ke</t>
  </si>
  <si>
    <t>Kd</t>
  </si>
  <si>
    <t>Ventas (MM COP)</t>
  </si>
  <si>
    <t>EVA Operativo</t>
  </si>
  <si>
    <t>EVA No Operativo</t>
  </si>
  <si>
    <t>ROIC NOP</t>
  </si>
  <si>
    <t>EVA Total</t>
  </si>
  <si>
    <t>Mg EVA</t>
  </si>
  <si>
    <t>Crecimiento en Ventas</t>
  </si>
  <si>
    <t>EVA Momentum</t>
  </si>
  <si>
    <t>Crecimiento Rentable</t>
  </si>
  <si>
    <t>Ganancia en Productividad</t>
  </si>
  <si>
    <t>ROE</t>
  </si>
  <si>
    <t>ROA</t>
  </si>
  <si>
    <t>b</t>
  </si>
  <si>
    <t>Tasa de Crecimiento interno</t>
  </si>
  <si>
    <t>Tasa de Crecimiento sostenible</t>
  </si>
  <si>
    <t>Razón de Intensidad del Capital</t>
  </si>
  <si>
    <t>Rolling Operating NPV</t>
  </si>
  <si>
    <t>Rolling Non Operating NPV</t>
  </si>
  <si>
    <t>ESTADO DE RESULTADOS (MM COP)</t>
  </si>
  <si>
    <t>%</t>
  </si>
  <si>
    <t>BALANCE GENERAL (MM COP)</t>
  </si>
  <si>
    <t>Activos Fijos Netos (MM COP)</t>
  </si>
  <si>
    <t>Otros Activos LPL (MM COP)</t>
  </si>
  <si>
    <t>Pasivos Financieros LPL Iniciales (MM COP)</t>
  </si>
  <si>
    <t>Otros Pasivos LPL (MM COP)</t>
  </si>
  <si>
    <t>Metodología Valoración</t>
  </si>
  <si>
    <t>(+/-) Capital de Trabajo Operativo</t>
  </si>
  <si>
    <t>(+/-) Impuestos Operacionales</t>
  </si>
  <si>
    <t>(+/-) Inversión en Activos Fijos</t>
  </si>
  <si>
    <t>(+/-) Impuestos No Operacionales</t>
  </si>
  <si>
    <t>Flujo de Caja Bruto No Operativo</t>
  </si>
  <si>
    <t>Costos y Gastos No Operacionales</t>
  </si>
  <si>
    <t>(+/-) Capital de Trabajo No Operativo</t>
  </si>
  <si>
    <t>(=) Flujo de Caja Operativo</t>
  </si>
  <si>
    <t>(=) Flujo de Caja Libre No Operativo</t>
  </si>
  <si>
    <t>Valor de Continuidad</t>
  </si>
  <si>
    <t>Tasa libre de riesgo</t>
  </si>
  <si>
    <t>Riesgo país</t>
  </si>
  <si>
    <t>D/(D+E)</t>
  </si>
  <si>
    <t>Risk premium</t>
  </si>
  <si>
    <t>VALORACIÓN (MM COP)</t>
  </si>
  <si>
    <t>Cifras en MM COP</t>
  </si>
  <si>
    <t>Pasivos</t>
  </si>
  <si>
    <t xml:space="preserve">Patrimonio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</si>
</sst>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4" formatCode="_-&quot;$&quot;\ * #,##0.00_-;\-&quot;$&quot;\ * #,##0.00_-;_-&quot;$&quot;\ * &quot;-&quot;??_-;_-@_-"/>
    <numFmt numFmtId="43" formatCode="_-* #,##0.00_-;\-* #,##0.00_-;_-* &quot;-&quot;??_-;_-@_-"/>
    <numFmt numFmtId="164" formatCode="_-&quot;$&quot;* #,##0_-;\-&quot;$&quot;* #,##0_-;_-&quot;$&quot;* &quot;-&quot;_-;_-@_-"/>
    <numFmt numFmtId="165" formatCode="_-&quot;$&quot;* #,##0.00_-;\-&quot;$&quot;* #,##0.00_-;_-&quot;$&quot;* &quot;-&quot;??_-;_-@_-"/>
    <numFmt numFmtId="166" formatCode="_-* #,##0_-;\-* #,##0_-;_-* &quot;-&quot;??_-;_-@_-"/>
    <numFmt numFmtId="167" formatCode="_-&quot;$&quot;* #,##0.00_-;\-&quot;$&quot;* #,##0.00_-;_-&quot;$&quot;* &quot;-&quot;_-;_-@_-"/>
    <numFmt numFmtId="168" formatCode="0.0%"/>
    <numFmt numFmtId="169" formatCode="_(* #,##0_);_(* \(#,##0\);_(* &quot;-&quot;_);_(@_)"/>
    <numFmt numFmtId="170" formatCode="0.0\x"/>
    <numFmt numFmtId="171" formatCode="_(* #,##0_);_(* \(#,##0\);_(* &quot;-&quot;??_);_(@_)"/>
    <numFmt numFmtId="172" formatCode="#,##0_ ;\-#,##0\ "/>
  </numFmts>
  <fonts count="68">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6"/>
      <color indexed="18"/>
      <name val="Arial"/>
      <family val="2"/>
    </font>
    <font>
      <sz val="16"/>
      <color indexed="18"/>
      <name val="Arial"/>
      <family val="2"/>
    </font>
    <font>
      <sz val="10"/>
      <color indexed="18"/>
      <name val="Arial"/>
      <family val="2"/>
    </font>
    <font>
      <b/>
      <sz val="10"/>
      <color indexed="18"/>
      <name val="Arial"/>
      <family val="2"/>
    </font>
    <font>
      <b/>
      <sz val="8"/>
      <color indexed="8"/>
      <name val="Arial"/>
      <family val="2"/>
    </font>
    <font>
      <b/>
      <sz val="10"/>
      <color indexed="8"/>
      <name val="Arial"/>
      <family val="2"/>
    </font>
    <font>
      <b/>
      <sz val="7"/>
      <color indexed="8"/>
      <name val="Arial"/>
      <family val="2"/>
    </font>
    <font>
      <b/>
      <sz val="9"/>
      <color theme="1"/>
      <name val="Arial"/>
      <family val="2"/>
    </font>
    <font>
      <b/>
      <sz val="9"/>
      <color indexed="8"/>
      <name val="Arial"/>
      <family val="2"/>
    </font>
    <font>
      <sz val="10"/>
      <color indexed="8"/>
      <name val="Arial"/>
      <family val="2"/>
    </font>
    <font>
      <sz val="9"/>
      <color theme="1"/>
      <name val="Arial"/>
      <family val="2"/>
    </font>
    <font>
      <sz val="9"/>
      <color indexed="8"/>
      <name val="Arial"/>
      <family val="2"/>
    </font>
    <font>
      <sz val="10"/>
      <color rgb="FF000000"/>
      <name val="Arial"/>
      <family val="2"/>
    </font>
    <font>
      <sz val="10"/>
      <color theme="1"/>
      <name val="Arial"/>
      <family val="2"/>
    </font>
    <font>
      <sz val="10"/>
      <color rgb="FF000000"/>
      <name val="Times New Roman"/>
      <family val="1"/>
    </font>
    <font>
      <b/>
      <sz val="11"/>
      <color rgb="FF000000"/>
      <name val="Arial"/>
      <family val="2"/>
    </font>
    <font>
      <b/>
      <sz val="12"/>
      <color theme="1"/>
      <name val="Arial"/>
      <family val="2"/>
    </font>
    <font>
      <sz val="12"/>
      <color theme="1"/>
      <name val="Arial"/>
      <family val="2"/>
    </font>
    <font>
      <sz val="11"/>
      <color rgb="FF000000"/>
      <name val="Arial"/>
      <family val="2"/>
    </font>
    <font>
      <b/>
      <sz val="10"/>
      <color theme="1"/>
      <name val="Arial"/>
      <family val="2"/>
    </font>
    <font>
      <sz val="8"/>
      <color theme="1"/>
      <name val="Arial"/>
      <family val="2"/>
    </font>
    <font>
      <b/>
      <sz val="14"/>
      <color indexed="18"/>
      <name val="Arial"/>
      <family val="2"/>
    </font>
    <font>
      <b/>
      <sz val="8"/>
      <color rgb="FF000000"/>
      <name val="Arial"/>
      <family val="2"/>
    </font>
    <font>
      <sz val="10"/>
      <name val="Arial"/>
      <family val="2"/>
    </font>
    <font>
      <sz val="10"/>
      <color theme="0"/>
      <name val="Arial"/>
      <family val="2"/>
    </font>
    <font>
      <sz val="10"/>
      <color theme="0" tint="-0.14999847407452621"/>
      <name val="Arial"/>
      <family val="2"/>
    </font>
    <font>
      <b/>
      <sz val="10"/>
      <color rgb="FF000000"/>
      <name val="Arial"/>
      <family val="2"/>
    </font>
    <font>
      <sz val="10"/>
      <color rgb="FFFF0000"/>
      <name val="Arial"/>
      <family val="2"/>
    </font>
    <font>
      <sz val="10"/>
      <color theme="4" tint="0.39997558519241921"/>
      <name val="Arial"/>
      <family val="2"/>
    </font>
    <font>
      <sz val="6"/>
      <color theme="1"/>
      <name val="Arial"/>
      <family val="2"/>
    </font>
    <font>
      <b/>
      <sz val="6"/>
      <color theme="1"/>
      <name val="Arial"/>
      <family val="2"/>
    </font>
    <font>
      <b/>
      <sz val="13"/>
      <color rgb="FF000000"/>
      <name val="Arial"/>
      <family val="2"/>
    </font>
    <font>
      <b/>
      <sz val="13"/>
      <color theme="1"/>
      <name val="Arial"/>
      <family val="2"/>
    </font>
    <font>
      <sz val="13"/>
      <color theme="1"/>
      <name val="Arial"/>
      <family val="2"/>
    </font>
    <font>
      <sz val="12"/>
      <color rgb="FF000000"/>
      <name val="Arial"/>
      <family val="2"/>
    </font>
    <font>
      <b/>
      <sz val="8"/>
      <color theme="0" tint="-4.9989318521683403E-2"/>
      <name val="Arial"/>
      <family val="2"/>
    </font>
    <font>
      <b/>
      <sz val="10"/>
      <color theme="0" tint="-4.9989318521683403E-2"/>
      <name val="Arial"/>
      <family val="2"/>
    </font>
    <font>
      <b/>
      <sz val="12"/>
      <color rgb="FF000000"/>
      <name val="Arial"/>
      <family val="2"/>
    </font>
    <font>
      <b/>
      <sz val="7"/>
      <color theme="0" tint="-4.9989318521683403E-2"/>
      <name val="Arial"/>
      <family val="2"/>
    </font>
    <font>
      <b/>
      <sz val="11"/>
      <color theme="1"/>
      <name val="Calibri"/>
      <family val="2"/>
      <scheme val="minor"/>
    </font>
    <font>
      <b/>
      <sz val="11"/>
      <color theme="0"/>
      <name val="Arial"/>
      <family val="2"/>
    </font>
    <font>
      <b/>
      <sz val="11"/>
      <color theme="0" tint="-4.9989318521683403E-2"/>
      <name val="Arial"/>
      <family val="2"/>
    </font>
    <font>
      <b/>
      <sz val="11"/>
      <color indexed="8"/>
      <name val="Arial"/>
      <family val="2"/>
    </font>
    <font>
      <sz val="11"/>
      <color indexed="8"/>
      <name val="Arial"/>
      <family val="2"/>
    </font>
    <font>
      <b/>
      <sz val="10"/>
      <color rgb="FFFF0000"/>
      <name val="Arial"/>
      <family val="2"/>
    </font>
    <font>
      <b/>
      <sz val="11"/>
      <color rgb="FF0070C0"/>
      <name val="Arial"/>
      <family val="2"/>
    </font>
    <font>
      <sz val="11"/>
      <color rgb="FF0070C0"/>
      <name val="Arial"/>
      <family val="2"/>
    </font>
    <font>
      <b/>
      <sz val="11"/>
      <name val="Arial"/>
      <family val="2"/>
    </font>
    <font>
      <sz val="11"/>
      <name val="Arial"/>
      <family val="2"/>
    </font>
    <font>
      <b/>
      <i/>
      <u/>
      <sz val="11"/>
      <color theme="1"/>
      <name val="Arial"/>
      <family val="2"/>
    </font>
    <font>
      <b/>
      <sz val="11"/>
      <color rgb="FFFF0000"/>
      <name val="Arial"/>
      <family val="2"/>
    </font>
    <font>
      <sz val="11"/>
      <color rgb="FF00B050"/>
      <name val="Arial"/>
      <family val="2"/>
    </font>
    <font>
      <sz val="11"/>
      <color theme="0"/>
      <name val="Arial"/>
      <family val="2"/>
    </font>
    <font>
      <i/>
      <sz val="9"/>
      <color theme="1"/>
      <name val="Arial"/>
      <family val="2"/>
    </font>
    <font>
      <sz val="11"/>
      <color theme="1"/>
      <name val="Arial Narrow"/>
      <family val="2"/>
    </font>
    <font>
      <sz val="11"/>
      <color rgb="FF00B050"/>
      <name val="Arial Narrow"/>
      <family val="2"/>
    </font>
    <font>
      <b/>
      <sz val="12"/>
      <color theme="1"/>
      <name val="Verdana"/>
      <family val="2"/>
    </font>
    <font>
      <b/>
      <sz val="11"/>
      <color theme="1"/>
      <name val="Arial Narrow"/>
      <family val="2"/>
    </font>
    <font>
      <sz val="11"/>
      <color theme="1"/>
      <name val="Futura"/>
    </font>
    <font>
      <b/>
      <sz val="11"/>
      <color theme="1"/>
      <name val="Futura"/>
    </font>
    <font>
      <b/>
      <sz val="11"/>
      <color theme="0"/>
      <name val="Futura"/>
    </font>
    <font>
      <b/>
      <sz val="10"/>
      <color theme="1"/>
      <name val="Futura"/>
    </font>
    <font>
      <sz val="10"/>
      <color theme="1"/>
      <name val="Futura"/>
    </font>
    <font>
      <b/>
      <sz val="12"/>
      <color theme="0"/>
      <name val="Arial"/>
      <family val="2"/>
    </font>
  </fonts>
  <fills count="32">
    <fill>
      <patternFill patternType="none"/>
    </fill>
    <fill>
      <patternFill patternType="gray125"/>
    </fill>
    <fill>
      <patternFill patternType="solid">
        <fgColor rgb="FFFFFFFF"/>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59999389629810485"/>
        <bgColor rgb="FFC0C0C0"/>
      </patternFill>
    </fill>
    <fill>
      <patternFill patternType="solid">
        <fgColor theme="8" tint="-0.249977111117893"/>
        <bgColor rgb="FFC0C0C0"/>
      </patternFill>
    </fill>
    <fill>
      <patternFill patternType="solid">
        <fgColor theme="8" tint="-0.249977111117893"/>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rgb="FF002060"/>
        <bgColor indexed="64"/>
      </patternFill>
    </fill>
    <fill>
      <patternFill patternType="solid">
        <fgColor rgb="FFC000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E67D14"/>
        <bgColor indexed="64"/>
      </patternFill>
    </fill>
    <fill>
      <patternFill patternType="solid">
        <fgColor theme="0" tint="-0.249977111117893"/>
        <bgColor indexed="64"/>
      </patternFill>
    </fill>
    <fill>
      <patternFill patternType="solid">
        <fgColor rgb="FF0070C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1">
    <xf numFmtId="0" fontId="0" fillId="0" borderId="0"/>
    <xf numFmtId="43" fontId="1" fillId="0" borderId="0" applyFont="0" applyFill="0" applyBorder="0" applyAlignment="0" applyProtection="0"/>
    <xf numFmtId="41"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6" fillId="0" borderId="0">
      <alignment horizontal="left" vertical="top"/>
    </xf>
    <xf numFmtId="0" fontId="18" fillId="0" borderId="0">
      <alignment horizontal="center" vertical="top"/>
    </xf>
    <xf numFmtId="0" fontId="27" fillId="0" borderId="0"/>
    <xf numFmtId="0" fontId="1" fillId="0" borderId="0"/>
    <xf numFmtId="169" fontId="1" fillId="0" borderId="0" applyFont="0" applyFill="0" applyBorder="0" applyAlignment="0" applyProtection="0"/>
    <xf numFmtId="0" fontId="1" fillId="0" borderId="0"/>
  </cellStyleXfs>
  <cellXfs count="437">
    <xf numFmtId="0" fontId="0" fillId="0" borderId="0" xfId="0"/>
    <xf numFmtId="0" fontId="2" fillId="0" borderId="0" xfId="0" applyFont="1"/>
    <xf numFmtId="0" fontId="3" fillId="0" borderId="0" xfId="0" applyFont="1" applyAlignment="1">
      <alignment horizontal="center"/>
    </xf>
    <xf numFmtId="41" fontId="2" fillId="0" borderId="0" xfId="2" applyFont="1"/>
    <xf numFmtId="0" fontId="6" fillId="2" borderId="0" xfId="0" applyFont="1" applyFill="1" applyAlignment="1">
      <alignment horizontal="center" vertical="top" wrapText="1"/>
    </xf>
    <xf numFmtId="0" fontId="7" fillId="2" borderId="0" xfId="0" applyFont="1" applyFill="1" applyAlignment="1">
      <alignment horizontal="center" vertical="top" wrapText="1"/>
    </xf>
    <xf numFmtId="0" fontId="8" fillId="3" borderId="0" xfId="0" applyFont="1" applyFill="1" applyAlignment="1">
      <alignment vertical="center" wrapText="1"/>
    </xf>
    <xf numFmtId="0" fontId="8" fillId="3" borderId="0" xfId="0" applyFont="1" applyFill="1" applyAlignment="1">
      <alignment horizontal="center" vertical="center" wrapText="1"/>
    </xf>
    <xf numFmtId="49" fontId="9" fillId="3" borderId="0" xfId="1" applyNumberFormat="1" applyFont="1" applyFill="1" applyBorder="1" applyAlignment="1" applyProtection="1">
      <alignment horizontal="center" vertical="center" wrapText="1"/>
    </xf>
    <xf numFmtId="41" fontId="8" fillId="3" borderId="0" xfId="0" applyNumberFormat="1" applyFont="1" applyFill="1" applyAlignment="1">
      <alignment horizontal="right" vertical="center" wrapText="1"/>
    </xf>
    <xf numFmtId="9" fontId="8" fillId="3" borderId="0" xfId="4" applyFont="1" applyFill="1" applyBorder="1" applyAlignment="1" applyProtection="1">
      <alignment horizontal="center" vertical="center" wrapText="1"/>
    </xf>
    <xf numFmtId="41" fontId="10" fillId="3" borderId="0" xfId="2" applyFont="1" applyFill="1" applyBorder="1" applyAlignment="1" applyProtection="1">
      <alignment horizontal="center" vertical="center" wrapText="1"/>
    </xf>
    <xf numFmtId="9" fontId="10" fillId="3" borderId="0" xfId="4" applyFont="1" applyFill="1" applyBorder="1" applyAlignment="1" applyProtection="1">
      <alignment horizontal="center" vertical="center" wrapText="1"/>
    </xf>
    <xf numFmtId="0" fontId="9" fillId="2" borderId="0" xfId="0" applyFont="1" applyFill="1" applyAlignment="1">
      <alignment horizontal="left" vertical="center" wrapText="1"/>
    </xf>
    <xf numFmtId="0" fontId="9" fillId="2" borderId="0" xfId="0" applyFont="1" applyFill="1" applyAlignment="1">
      <alignment horizontal="center" vertical="center" wrapText="1"/>
    </xf>
    <xf numFmtId="166" fontId="11" fillId="0" borderId="0" xfId="1" applyNumberFormat="1" applyFont="1" applyAlignment="1">
      <alignment vertical="center"/>
    </xf>
    <xf numFmtId="10" fontId="12" fillId="2" borderId="0" xfId="4" applyNumberFormat="1" applyFont="1" applyFill="1" applyBorder="1" applyAlignment="1" applyProtection="1">
      <alignment horizontal="right" vertical="center" wrapText="1"/>
    </xf>
    <xf numFmtId="41" fontId="11" fillId="0" borderId="0" xfId="2" applyFont="1" applyAlignment="1">
      <alignment vertical="center"/>
    </xf>
    <xf numFmtId="9" fontId="11" fillId="0" borderId="0" xfId="4" applyFont="1" applyAlignment="1">
      <alignment horizontal="center" vertical="center"/>
    </xf>
    <xf numFmtId="166" fontId="2" fillId="0" borderId="0" xfId="0" applyNumberFormat="1" applyFont="1"/>
    <xf numFmtId="0" fontId="13" fillId="2" borderId="0" xfId="0" applyFont="1" applyFill="1" applyAlignment="1">
      <alignment vertical="top" wrapText="1"/>
    </xf>
    <xf numFmtId="0" fontId="9" fillId="2" borderId="0" xfId="0" applyFont="1" applyFill="1" applyAlignment="1">
      <alignment horizontal="center" vertical="top" wrapText="1"/>
    </xf>
    <xf numFmtId="166" fontId="14" fillId="0" borderId="0" xfId="1" applyNumberFormat="1" applyFont="1" applyAlignment="1">
      <alignment vertical="center"/>
    </xf>
    <xf numFmtId="10" fontId="15" fillId="2" borderId="0" xfId="4" applyNumberFormat="1" applyFont="1" applyFill="1" applyBorder="1" applyAlignment="1" applyProtection="1">
      <alignment horizontal="right" vertical="center" wrapText="1"/>
    </xf>
    <xf numFmtId="41" fontId="14" fillId="0" borderId="0" xfId="2" applyFont="1" applyAlignment="1">
      <alignment vertical="center"/>
    </xf>
    <xf numFmtId="9" fontId="14" fillId="0" borderId="0" xfId="4" applyFont="1" applyAlignment="1">
      <alignment horizontal="center" vertical="center"/>
    </xf>
    <xf numFmtId="0" fontId="9" fillId="2" borderId="0" xfId="0" applyFont="1" applyFill="1" applyAlignment="1">
      <alignment vertical="top" wrapText="1"/>
    </xf>
    <xf numFmtId="166" fontId="14" fillId="0" borderId="0" xfId="1" applyNumberFormat="1" applyFont="1"/>
    <xf numFmtId="167" fontId="14" fillId="0" borderId="0" xfId="3" applyNumberFormat="1" applyFont="1"/>
    <xf numFmtId="41" fontId="14" fillId="0" borderId="0" xfId="2" applyFont="1"/>
    <xf numFmtId="10" fontId="15" fillId="2" borderId="0" xfId="4" applyNumberFormat="1" applyFont="1" applyFill="1" applyBorder="1" applyAlignment="1" applyProtection="1">
      <alignment horizontal="right" vertical="top" wrapText="1"/>
    </xf>
    <xf numFmtId="0" fontId="9" fillId="2" borderId="0" xfId="0" applyFont="1" applyFill="1" applyAlignment="1">
      <alignment vertical="center" wrapText="1"/>
    </xf>
    <xf numFmtId="167" fontId="11" fillId="0" borderId="0" xfId="3" applyNumberFormat="1" applyFont="1" applyAlignment="1">
      <alignment vertical="center"/>
    </xf>
    <xf numFmtId="0" fontId="2" fillId="0" borderId="0" xfId="0" applyFont="1" applyAlignment="1">
      <alignment vertical="center"/>
    </xf>
    <xf numFmtId="0" fontId="13" fillId="2" borderId="0" xfId="0" applyFont="1" applyFill="1" applyAlignment="1">
      <alignment vertical="center" wrapText="1"/>
    </xf>
    <xf numFmtId="166" fontId="14" fillId="0" borderId="0" xfId="1" applyNumberFormat="1" applyFont="1" applyFill="1" applyAlignment="1">
      <alignment vertical="center"/>
    </xf>
    <xf numFmtId="167" fontId="14" fillId="0" borderId="0" xfId="3" applyNumberFormat="1" applyFont="1" applyAlignment="1">
      <alignment vertical="center"/>
    </xf>
    <xf numFmtId="41" fontId="14" fillId="0" borderId="0" xfId="2" applyFont="1" applyFill="1" applyAlignment="1">
      <alignment vertical="center"/>
    </xf>
    <xf numFmtId="41" fontId="11" fillId="0" borderId="0" xfId="2" applyFont="1"/>
    <xf numFmtId="167" fontId="11" fillId="0" borderId="0" xfId="3" applyNumberFormat="1" applyFont="1"/>
    <xf numFmtId="9" fontId="11" fillId="0" borderId="0" xfId="2" applyNumberFormat="1" applyFont="1" applyAlignment="1">
      <alignment horizontal="center"/>
    </xf>
    <xf numFmtId="167" fontId="14" fillId="0" borderId="0" xfId="2" applyNumberFormat="1" applyFont="1"/>
    <xf numFmtId="167" fontId="11" fillId="0" borderId="0" xfId="2" applyNumberFormat="1" applyFont="1" applyAlignment="1">
      <alignment vertical="center"/>
    </xf>
    <xf numFmtId="0" fontId="17" fillId="0" borderId="0" xfId="5" quotePrefix="1" applyFont="1" applyAlignment="1">
      <alignment horizontal="left" vertical="top" wrapText="1"/>
    </xf>
    <xf numFmtId="41" fontId="17" fillId="0" borderId="0" xfId="5" quotePrefix="1" applyNumberFormat="1" applyFont="1" applyAlignment="1">
      <alignment horizontal="left" vertical="top" wrapText="1"/>
    </xf>
    <xf numFmtId="0" fontId="19" fillId="0" borderId="0" xfId="6" quotePrefix="1" applyFont="1" applyAlignment="1">
      <alignment horizontal="left" vertical="top" wrapText="1"/>
    </xf>
    <xf numFmtId="0" fontId="20" fillId="0" borderId="0" xfId="0" applyFont="1" applyAlignment="1">
      <alignment horizontal="center" wrapText="1"/>
    </xf>
    <xf numFmtId="0" fontId="21" fillId="0" borderId="0" xfId="0" applyFont="1"/>
    <xf numFmtId="0" fontId="22" fillId="0" borderId="0" xfId="5" quotePrefix="1" applyFont="1" applyAlignment="1">
      <alignment horizontal="left" vertical="top" wrapText="1"/>
    </xf>
    <xf numFmtId="0" fontId="3" fillId="0" borderId="0" xfId="0" applyFont="1" applyAlignment="1">
      <alignment horizontal="center" wrapText="1"/>
    </xf>
    <xf numFmtId="0" fontId="17" fillId="0" borderId="0" xfId="0" applyFont="1" applyAlignment="1">
      <alignment wrapText="1"/>
    </xf>
    <xf numFmtId="0" fontId="17" fillId="0" borderId="0" xfId="0" applyFont="1"/>
    <xf numFmtId="0" fontId="23" fillId="0" borderId="0" xfId="0" applyFont="1" applyAlignment="1">
      <alignment horizontal="center"/>
    </xf>
    <xf numFmtId="0" fontId="24" fillId="0" borderId="0" xfId="0" applyFont="1"/>
    <xf numFmtId="0" fontId="2" fillId="4" borderId="1" xfId="0" applyFont="1" applyFill="1" applyBorder="1"/>
    <xf numFmtId="0" fontId="3" fillId="4" borderId="1" xfId="0" applyFont="1" applyFill="1" applyBorder="1" applyAlignment="1">
      <alignment horizontal="center"/>
    </xf>
    <xf numFmtId="41" fontId="24" fillId="4" borderId="1" xfId="2" applyFont="1" applyFill="1" applyBorder="1"/>
    <xf numFmtId="0" fontId="24" fillId="4" borderId="1" xfId="0" applyFont="1" applyFill="1" applyBorder="1"/>
    <xf numFmtId="0" fontId="25" fillId="2" borderId="0" xfId="0" applyFont="1" applyFill="1" applyAlignment="1">
      <alignment vertical="top" wrapText="1"/>
    </xf>
    <xf numFmtId="0" fontId="26" fillId="5" borderId="0" xfId="0" applyFont="1" applyFill="1" applyAlignment="1">
      <alignment horizontal="center" vertical="center"/>
    </xf>
    <xf numFmtId="166" fontId="9" fillId="3" borderId="0" xfId="1" applyNumberFormat="1" applyFont="1" applyFill="1" applyBorder="1" applyAlignment="1" applyProtection="1">
      <alignment horizontal="center" vertical="center" wrapText="1"/>
    </xf>
    <xf numFmtId="41" fontId="26" fillId="5" borderId="0" xfId="0" applyNumberFormat="1" applyFont="1" applyFill="1" applyAlignment="1">
      <alignment horizontal="center" vertical="center" wrapText="1"/>
    </xf>
    <xf numFmtId="9" fontId="26" fillId="5" borderId="0" xfId="4" applyFont="1" applyFill="1" applyBorder="1" applyAlignment="1">
      <alignment horizontal="center" vertical="center" wrapText="1"/>
    </xf>
    <xf numFmtId="0" fontId="9" fillId="2" borderId="0" xfId="0" applyFont="1" applyFill="1" applyAlignment="1">
      <alignment horizontal="left" vertical="top" wrapText="1"/>
    </xf>
    <xf numFmtId="166" fontId="2" fillId="0" borderId="0" xfId="1" applyNumberFormat="1" applyFont="1" applyAlignment="1">
      <alignment horizontal="right"/>
    </xf>
    <xf numFmtId="10" fontId="2" fillId="0" borderId="0" xfId="4" applyNumberFormat="1" applyFont="1" applyAlignment="1">
      <alignment horizontal="right"/>
    </xf>
    <xf numFmtId="41" fontId="2" fillId="0" borderId="0" xfId="0" applyNumberFormat="1" applyFont="1" applyAlignment="1">
      <alignment horizontal="right"/>
    </xf>
    <xf numFmtId="9" fontId="2" fillId="0" borderId="0" xfId="4" applyFont="1"/>
    <xf numFmtId="41" fontId="2" fillId="0" borderId="0" xfId="0" applyNumberFormat="1" applyFont="1"/>
    <xf numFmtId="9" fontId="2" fillId="0" borderId="0" xfId="4" applyFont="1" applyAlignment="1"/>
    <xf numFmtId="0" fontId="13" fillId="2" borderId="0" xfId="0" applyFont="1" applyFill="1" applyAlignment="1">
      <alignment horizontal="left" vertical="top" wrapText="1"/>
    </xf>
    <xf numFmtId="166" fontId="15" fillId="2" borderId="0" xfId="1" applyNumberFormat="1" applyFont="1" applyFill="1" applyBorder="1" applyAlignment="1" applyProtection="1">
      <alignment horizontal="right" vertical="top" wrapText="1"/>
    </xf>
    <xf numFmtId="10" fontId="15" fillId="2" borderId="0" xfId="4" applyNumberFormat="1" applyFont="1" applyFill="1" applyBorder="1" applyAlignment="1" applyProtection="1">
      <alignment vertical="top" wrapText="1"/>
    </xf>
    <xf numFmtId="41" fontId="15" fillId="2" borderId="0" xfId="2" applyFont="1" applyFill="1" applyBorder="1" applyAlignment="1" applyProtection="1">
      <alignment horizontal="right" vertical="top" wrapText="1"/>
    </xf>
    <xf numFmtId="10" fontId="14" fillId="0" borderId="0" xfId="4" applyNumberFormat="1" applyFont="1" applyAlignment="1">
      <alignment wrapText="1"/>
    </xf>
    <xf numFmtId="41" fontId="14" fillId="0" borderId="0" xfId="0" applyNumberFormat="1" applyFont="1" applyAlignment="1">
      <alignment wrapText="1"/>
    </xf>
    <xf numFmtId="9" fontId="11" fillId="0" borderId="0" xfId="4" applyFont="1" applyAlignment="1">
      <alignment wrapText="1"/>
    </xf>
    <xf numFmtId="0" fontId="14" fillId="0" borderId="0" xfId="7" applyFont="1" applyAlignment="1">
      <alignment horizontal="left" vertical="top" wrapText="1"/>
    </xf>
    <xf numFmtId="166" fontId="14" fillId="2" borderId="0" xfId="1" applyNumberFormat="1" applyFont="1" applyFill="1" applyBorder="1" applyAlignment="1" applyProtection="1">
      <alignment horizontal="right" vertical="top" wrapText="1"/>
    </xf>
    <xf numFmtId="166" fontId="12" fillId="2" borderId="0" xfId="1" applyNumberFormat="1" applyFont="1" applyFill="1" applyBorder="1" applyAlignment="1" applyProtection="1">
      <alignment horizontal="right" vertical="top" wrapText="1"/>
    </xf>
    <xf numFmtId="10" fontId="12" fillId="2" borderId="0" xfId="4" applyNumberFormat="1" applyFont="1" applyFill="1" applyBorder="1" applyAlignment="1" applyProtection="1">
      <alignment vertical="top" wrapText="1"/>
    </xf>
    <xf numFmtId="41" fontId="12" fillId="2" borderId="0" xfId="2" applyFont="1" applyFill="1" applyBorder="1" applyAlignment="1" applyProtection="1">
      <alignment horizontal="right" vertical="top" wrapText="1"/>
    </xf>
    <xf numFmtId="10" fontId="11" fillId="0" borderId="0" xfId="4" applyNumberFormat="1" applyFont="1" applyAlignment="1">
      <alignment wrapText="1"/>
    </xf>
    <xf numFmtId="41" fontId="11" fillId="0" borderId="0" xfId="0" applyNumberFormat="1" applyFont="1" applyAlignment="1">
      <alignment wrapText="1"/>
    </xf>
    <xf numFmtId="166" fontId="14" fillId="0" borderId="0" xfId="1" applyNumberFormat="1" applyFont="1" applyAlignment="1">
      <alignment wrapText="1"/>
    </xf>
    <xf numFmtId="41" fontId="14" fillId="0" borderId="0" xfId="2" applyFont="1" applyAlignment="1">
      <alignment wrapText="1"/>
    </xf>
    <xf numFmtId="9" fontId="14" fillId="0" borderId="0" xfId="4" applyFont="1" applyAlignment="1">
      <alignment wrapText="1"/>
    </xf>
    <xf numFmtId="166" fontId="14" fillId="0" borderId="0" xfId="1" applyNumberFormat="1" applyFont="1" applyFill="1" applyBorder="1" applyAlignment="1" applyProtection="1">
      <alignment horizontal="right" vertical="top" wrapText="1"/>
    </xf>
    <xf numFmtId="166" fontId="12" fillId="2" borderId="2" xfId="1" applyNumberFormat="1" applyFont="1" applyFill="1" applyBorder="1" applyAlignment="1" applyProtection="1">
      <alignment horizontal="right" vertical="top" wrapText="1"/>
    </xf>
    <xf numFmtId="41" fontId="12" fillId="2" borderId="2" xfId="2" applyFont="1" applyFill="1" applyBorder="1" applyAlignment="1" applyProtection="1">
      <alignment horizontal="right" vertical="top" wrapText="1"/>
    </xf>
    <xf numFmtId="41" fontId="11" fillId="0" borderId="2" xfId="0" applyNumberFormat="1" applyFont="1" applyBorder="1" applyAlignment="1">
      <alignment wrapText="1"/>
    </xf>
    <xf numFmtId="43" fontId="2" fillId="0" borderId="0" xfId="0" applyNumberFormat="1" applyFont="1"/>
    <xf numFmtId="166" fontId="14" fillId="0" borderId="0" xfId="1" applyNumberFormat="1" applyFont="1" applyAlignment="1">
      <alignment horizontal="right" wrapText="1"/>
    </xf>
    <xf numFmtId="41" fontId="14" fillId="0" borderId="0" xfId="2" applyFont="1" applyAlignment="1">
      <alignment horizontal="right" wrapText="1"/>
    </xf>
    <xf numFmtId="0" fontId="13" fillId="2" borderId="0" xfId="0" applyFont="1" applyFill="1" applyAlignment="1">
      <alignment horizontal="left" vertical="center" wrapText="1"/>
    </xf>
    <xf numFmtId="166" fontId="15" fillId="2" borderId="0" xfId="1" applyNumberFormat="1" applyFont="1" applyFill="1" applyBorder="1" applyAlignment="1" applyProtection="1">
      <alignment horizontal="right" vertical="center" wrapText="1"/>
    </xf>
    <xf numFmtId="10" fontId="15" fillId="2" borderId="0" xfId="4" applyNumberFormat="1" applyFont="1" applyFill="1" applyBorder="1" applyAlignment="1" applyProtection="1">
      <alignment vertical="center" wrapText="1"/>
    </xf>
    <xf numFmtId="41" fontId="15" fillId="2" borderId="0" xfId="2" applyFont="1" applyFill="1" applyBorder="1" applyAlignment="1" applyProtection="1">
      <alignment horizontal="right" vertical="center" wrapText="1"/>
    </xf>
    <xf numFmtId="164" fontId="2" fillId="0" borderId="0" xfId="0" applyNumberFormat="1" applyFont="1"/>
    <xf numFmtId="166" fontId="15" fillId="0" borderId="0" xfId="1" applyNumberFormat="1" applyFont="1" applyFill="1" applyBorder="1" applyAlignment="1" applyProtection="1">
      <alignment horizontal="right" vertical="top" wrapText="1"/>
    </xf>
    <xf numFmtId="41" fontId="12" fillId="2" borderId="0" xfId="2" applyFont="1" applyFill="1" applyBorder="1" applyAlignment="1" applyProtection="1">
      <alignment vertical="top" wrapText="1"/>
    </xf>
    <xf numFmtId="0" fontId="23" fillId="0" borderId="0" xfId="0" applyFont="1" applyAlignment="1">
      <alignment horizontal="center" vertical="center"/>
    </xf>
    <xf numFmtId="166" fontId="28" fillId="0" borderId="0" xfId="1" applyNumberFormat="1" applyFont="1"/>
    <xf numFmtId="10" fontId="17" fillId="0" borderId="0" xfId="4" applyNumberFormat="1" applyFont="1"/>
    <xf numFmtId="41" fontId="17" fillId="0" borderId="0" xfId="0" applyNumberFormat="1" applyFont="1"/>
    <xf numFmtId="10" fontId="29" fillId="0" borderId="0" xfId="4" quotePrefix="1" applyNumberFormat="1" applyFont="1" applyBorder="1" applyAlignment="1">
      <alignment horizontal="center" vertical="top" wrapText="1"/>
    </xf>
    <xf numFmtId="41" fontId="29" fillId="0" borderId="0" xfId="6" quotePrefix="1" applyNumberFormat="1" applyFont="1" applyAlignment="1">
      <alignment horizontal="center" vertical="top" wrapText="1"/>
    </xf>
    <xf numFmtId="0" fontId="30" fillId="0" borderId="0" xfId="6" quotePrefix="1" applyFont="1" applyAlignment="1">
      <alignment horizontal="center" vertical="top" wrapText="1"/>
    </xf>
    <xf numFmtId="0" fontId="30" fillId="0" borderId="0" xfId="6" quotePrefix="1" applyFont="1" applyAlignment="1">
      <alignment horizontal="center" vertical="center" wrapText="1"/>
    </xf>
    <xf numFmtId="166" fontId="31" fillId="0" borderId="0" xfId="1" quotePrefix="1" applyNumberFormat="1" applyFont="1" applyBorder="1" applyAlignment="1">
      <alignment horizontal="center" vertical="top" wrapText="1"/>
    </xf>
    <xf numFmtId="10" fontId="32" fillId="0" borderId="0" xfId="4" quotePrefix="1" applyNumberFormat="1" applyFont="1" applyBorder="1" applyAlignment="1">
      <alignment horizontal="center" vertical="top" wrapText="1"/>
    </xf>
    <xf numFmtId="41" fontId="31" fillId="0" borderId="0" xfId="6" quotePrefix="1" applyNumberFormat="1" applyFont="1" applyAlignment="1">
      <alignment horizontal="center" vertical="top" wrapText="1"/>
    </xf>
    <xf numFmtId="0" fontId="16" fillId="0" borderId="0" xfId="5" quotePrefix="1" applyAlignment="1">
      <alignment horizontal="center" vertical="top" wrapText="1"/>
    </xf>
    <xf numFmtId="0" fontId="30" fillId="0" borderId="0" xfId="5" quotePrefix="1" applyFont="1" applyAlignment="1">
      <alignment horizontal="center" vertical="center" wrapText="1"/>
    </xf>
    <xf numFmtId="166" fontId="17" fillId="0" borderId="0" xfId="1" quotePrefix="1" applyNumberFormat="1" applyFont="1" applyAlignment="1">
      <alignment horizontal="center" vertical="top" wrapText="1"/>
    </xf>
    <xf numFmtId="10" fontId="16" fillId="0" borderId="0" xfId="4" quotePrefix="1" applyNumberFormat="1" applyFont="1" applyAlignment="1">
      <alignment horizontal="center" vertical="top" wrapText="1"/>
    </xf>
    <xf numFmtId="41" fontId="17" fillId="0" borderId="0" xfId="5" quotePrefix="1" applyNumberFormat="1" applyFont="1" applyAlignment="1">
      <alignment horizontal="center" vertical="top" wrapText="1"/>
    </xf>
    <xf numFmtId="0" fontId="33" fillId="0" borderId="0" xfId="0" applyFont="1" applyAlignment="1">
      <alignment horizontal="center" wrapText="1"/>
    </xf>
    <xf numFmtId="0" fontId="34" fillId="0" borderId="0" xfId="0" applyFont="1" applyAlignment="1">
      <alignment horizontal="center" vertical="center" wrapText="1"/>
    </xf>
    <xf numFmtId="166" fontId="33" fillId="0" borderId="0" xfId="1" applyNumberFormat="1" applyFont="1" applyAlignment="1">
      <alignment horizontal="center" wrapText="1"/>
    </xf>
    <xf numFmtId="10" fontId="33" fillId="0" borderId="0" xfId="4" applyNumberFormat="1" applyFont="1" applyAlignment="1">
      <alignment horizontal="center" wrapText="1"/>
    </xf>
    <xf numFmtId="41" fontId="33" fillId="0" borderId="0" xfId="0" applyNumberFormat="1" applyFont="1" applyAlignment="1">
      <alignment horizontal="center" wrapText="1"/>
    </xf>
    <xf numFmtId="0" fontId="35" fillId="0" borderId="0" xfId="6" quotePrefix="1" applyFont="1" applyAlignment="1">
      <alignment horizontal="left" vertical="top" wrapText="1"/>
    </xf>
    <xf numFmtId="0" fontId="36" fillId="0" borderId="0" xfId="0" applyFont="1" applyAlignment="1">
      <alignment horizontal="center" vertical="center" wrapText="1"/>
    </xf>
    <xf numFmtId="0" fontId="37" fillId="0" borderId="0" xfId="0" applyFont="1"/>
    <xf numFmtId="0" fontId="38" fillId="0" borderId="0" xfId="5" quotePrefix="1" applyFont="1" applyAlignment="1">
      <alignment horizontal="left" vertical="top" wrapText="1"/>
    </xf>
    <xf numFmtId="0" fontId="20" fillId="0" borderId="0" xfId="0" applyFont="1" applyAlignment="1">
      <alignment horizontal="center" vertical="center" wrapText="1"/>
    </xf>
    <xf numFmtId="0" fontId="23" fillId="0" borderId="0" xfId="0" applyFont="1" applyAlignment="1">
      <alignment horizontal="center" vertical="center" wrapText="1"/>
    </xf>
    <xf numFmtId="166" fontId="17" fillId="0" borderId="0" xfId="1" applyNumberFormat="1" applyFont="1" applyAlignment="1">
      <alignment wrapText="1"/>
    </xf>
    <xf numFmtId="0" fontId="17" fillId="0" borderId="0" xfId="0" applyFont="1" applyAlignment="1">
      <alignment horizontal="center" wrapText="1"/>
    </xf>
    <xf numFmtId="41" fontId="17" fillId="0" borderId="0" xfId="0" applyNumberFormat="1" applyFont="1" applyAlignment="1">
      <alignment horizontal="center" wrapText="1"/>
    </xf>
    <xf numFmtId="41" fontId="24" fillId="0" borderId="0" xfId="0" applyNumberFormat="1" applyFont="1"/>
    <xf numFmtId="9" fontId="24" fillId="0" borderId="0" xfId="4" applyFont="1" applyAlignment="1"/>
    <xf numFmtId="41" fontId="17" fillId="0" borderId="0" xfId="0" applyNumberFormat="1" applyFont="1" applyAlignment="1">
      <alignment wrapText="1"/>
    </xf>
    <xf numFmtId="166" fontId="30" fillId="0" borderId="0" xfId="1" quotePrefix="1" applyNumberFormat="1" applyFont="1" applyBorder="1" applyAlignment="1">
      <alignment vertical="top" wrapText="1"/>
    </xf>
    <xf numFmtId="0" fontId="30" fillId="0" borderId="0" xfId="6" quotePrefix="1" applyFont="1" applyAlignment="1">
      <alignment vertical="top" wrapText="1"/>
    </xf>
    <xf numFmtId="41" fontId="30" fillId="0" borderId="0" xfId="6" quotePrefix="1" applyNumberFormat="1" applyFont="1" applyAlignment="1">
      <alignment vertical="top" wrapText="1"/>
    </xf>
    <xf numFmtId="166" fontId="16" fillId="0" borderId="0" xfId="1" quotePrefix="1" applyNumberFormat="1" applyFont="1" applyAlignment="1">
      <alignment vertical="top" wrapText="1"/>
    </xf>
    <xf numFmtId="0" fontId="16" fillId="0" borderId="0" xfId="5" quotePrefix="1" applyAlignment="1">
      <alignment vertical="top" wrapText="1"/>
    </xf>
    <xf numFmtId="41" fontId="16" fillId="0" borderId="0" xfId="5" quotePrefix="1" applyNumberFormat="1" applyAlignment="1">
      <alignment vertical="top" wrapText="1"/>
    </xf>
    <xf numFmtId="166" fontId="33" fillId="0" borderId="0" xfId="1" applyNumberFormat="1" applyFont="1" applyAlignment="1">
      <alignment wrapText="1"/>
    </xf>
    <xf numFmtId="0" fontId="33" fillId="0" borderId="0" xfId="0" applyFont="1" applyAlignment="1">
      <alignment wrapText="1"/>
    </xf>
    <xf numFmtId="41" fontId="33" fillId="0" borderId="0" xfId="0" applyNumberFormat="1" applyFont="1" applyAlignment="1">
      <alignment wrapText="1"/>
    </xf>
    <xf numFmtId="0" fontId="3" fillId="0" borderId="0" xfId="0" applyFont="1" applyAlignment="1">
      <alignment horizontal="center" vertical="center"/>
    </xf>
    <xf numFmtId="166" fontId="2" fillId="0" borderId="0" xfId="1" applyNumberFormat="1" applyFont="1"/>
    <xf numFmtId="10" fontId="2" fillId="0" borderId="0" xfId="4" applyNumberFormat="1" applyFont="1"/>
    <xf numFmtId="0" fontId="39" fillId="6" borderId="0" xfId="0" applyFont="1" applyFill="1" applyAlignment="1">
      <alignment horizontal="center" vertical="center"/>
    </xf>
    <xf numFmtId="49" fontId="40" fillId="7" borderId="0" xfId="1" applyNumberFormat="1" applyFont="1" applyFill="1" applyBorder="1" applyAlignment="1" applyProtection="1">
      <alignment horizontal="center" vertical="center" wrapText="1"/>
    </xf>
    <xf numFmtId="9" fontId="39" fillId="7" borderId="0" xfId="4" applyFont="1" applyFill="1" applyBorder="1" applyAlignment="1" applyProtection="1">
      <alignment horizontal="center" vertical="center" wrapText="1"/>
    </xf>
    <xf numFmtId="41" fontId="39" fillId="6" borderId="0" xfId="0" applyNumberFormat="1" applyFont="1" applyFill="1" applyAlignment="1">
      <alignment horizontal="center" vertical="center" wrapText="1"/>
    </xf>
    <xf numFmtId="9" fontId="39" fillId="6" borderId="0" xfId="4" applyFont="1" applyFill="1" applyBorder="1" applyAlignment="1">
      <alignment horizontal="center" vertical="center" wrapText="1"/>
    </xf>
    <xf numFmtId="0" fontId="41" fillId="0" borderId="0" xfId="6" quotePrefix="1" applyFont="1" applyAlignment="1">
      <alignment horizontal="left" vertical="top" wrapText="1"/>
    </xf>
    <xf numFmtId="0" fontId="39" fillId="7" borderId="0" xfId="0" applyFont="1" applyFill="1" applyAlignment="1">
      <alignment vertical="center" wrapText="1"/>
    </xf>
    <xf numFmtId="0" fontId="39" fillId="7" borderId="0" xfId="0" applyFont="1" applyFill="1" applyAlignment="1">
      <alignment horizontal="center" vertical="center" wrapText="1"/>
    </xf>
    <xf numFmtId="41" fontId="39" fillId="7" borderId="0" xfId="0" applyNumberFormat="1" applyFont="1" applyFill="1" applyAlignment="1">
      <alignment horizontal="right" vertical="center" wrapText="1"/>
    </xf>
    <xf numFmtId="41" fontId="42" fillId="7" borderId="0" xfId="2" applyFont="1" applyFill="1" applyBorder="1" applyAlignment="1" applyProtection="1">
      <alignment horizontal="center" vertical="center" wrapText="1"/>
    </xf>
    <xf numFmtId="9" fontId="42" fillId="7" borderId="0" xfId="4" applyFont="1" applyFill="1" applyBorder="1" applyAlignment="1" applyProtection="1">
      <alignment horizontal="center" vertical="center" wrapText="1"/>
    </xf>
    <xf numFmtId="166" fontId="11" fillId="0" borderId="0" xfId="1" applyNumberFormat="1" applyFont="1" applyAlignment="1">
      <alignment horizontal="left" vertical="center"/>
    </xf>
    <xf numFmtId="10" fontId="12" fillId="2" borderId="0" xfId="4" applyNumberFormat="1" applyFont="1" applyFill="1" applyBorder="1" applyAlignment="1" applyProtection="1">
      <alignment horizontal="left" vertical="center" wrapText="1"/>
    </xf>
    <xf numFmtId="41" fontId="11" fillId="0" borderId="0" xfId="2" applyFont="1" applyAlignment="1">
      <alignment horizontal="left" vertical="center"/>
    </xf>
    <xf numFmtId="9" fontId="11" fillId="0" borderId="0" xfId="4" applyFont="1" applyAlignment="1">
      <alignment horizontal="left" vertical="center"/>
    </xf>
    <xf numFmtId="166" fontId="14" fillId="0" borderId="0" xfId="1" applyNumberFormat="1" applyFont="1" applyAlignment="1">
      <alignment horizontal="left" vertical="center"/>
    </xf>
    <xf numFmtId="10" fontId="15" fillId="2" borderId="0" xfId="4" applyNumberFormat="1" applyFont="1" applyFill="1" applyBorder="1" applyAlignment="1" applyProtection="1">
      <alignment horizontal="left" vertical="center" wrapText="1"/>
    </xf>
    <xf numFmtId="41" fontId="14" fillId="0" borderId="0" xfId="2" applyFont="1" applyAlignment="1">
      <alignment horizontal="left" vertical="center"/>
    </xf>
    <xf numFmtId="9" fontId="14" fillId="0" borderId="0" xfId="4" applyFont="1" applyAlignment="1">
      <alignment horizontal="left" vertical="center"/>
    </xf>
    <xf numFmtId="166" fontId="14" fillId="0" borderId="0" xfId="1" applyNumberFormat="1" applyFont="1" applyAlignment="1">
      <alignment horizontal="left"/>
    </xf>
    <xf numFmtId="167" fontId="14" fillId="0" borderId="0" xfId="3" applyNumberFormat="1" applyFont="1" applyAlignment="1">
      <alignment horizontal="left"/>
    </xf>
    <xf numFmtId="41" fontId="14" fillId="0" borderId="0" xfId="2" applyFont="1" applyAlignment="1">
      <alignment horizontal="left"/>
    </xf>
    <xf numFmtId="10" fontId="15" fillId="2" borderId="0" xfId="4" applyNumberFormat="1" applyFont="1" applyFill="1" applyBorder="1" applyAlignment="1" applyProtection="1">
      <alignment horizontal="left" vertical="top" wrapText="1"/>
    </xf>
    <xf numFmtId="9" fontId="0" fillId="0" borderId="0" xfId="4" applyFont="1"/>
    <xf numFmtId="166" fontId="0" fillId="0" borderId="0" xfId="0" applyNumberFormat="1"/>
    <xf numFmtId="0" fontId="13" fillId="8" borderId="0" xfId="0" applyFont="1" applyFill="1" applyAlignment="1">
      <alignment horizontal="left" vertical="top" wrapText="1" indent="1"/>
    </xf>
    <xf numFmtId="0" fontId="9" fillId="8" borderId="0" xfId="0" applyFont="1" applyFill="1" applyAlignment="1">
      <alignment horizontal="center" vertical="center" wrapText="1"/>
    </xf>
    <xf numFmtId="166" fontId="15" fillId="8" borderId="0" xfId="1" applyNumberFormat="1" applyFont="1" applyFill="1" applyBorder="1" applyAlignment="1" applyProtection="1">
      <alignment horizontal="right" vertical="top" wrapText="1"/>
    </xf>
    <xf numFmtId="10" fontId="15" fillId="8" borderId="0" xfId="4" applyNumberFormat="1" applyFont="1" applyFill="1" applyBorder="1" applyAlignment="1" applyProtection="1">
      <alignment vertical="top" wrapText="1"/>
    </xf>
    <xf numFmtId="10" fontId="14" fillId="8" borderId="0" xfId="4" applyNumberFormat="1" applyFont="1" applyFill="1" applyAlignment="1">
      <alignment wrapText="1"/>
    </xf>
    <xf numFmtId="41" fontId="14" fillId="8" borderId="0" xfId="0" applyNumberFormat="1" applyFont="1" applyFill="1" applyAlignment="1">
      <alignment wrapText="1"/>
    </xf>
    <xf numFmtId="9" fontId="11" fillId="8" borderId="0" xfId="4" applyFont="1" applyFill="1" applyAlignment="1">
      <alignment wrapText="1"/>
    </xf>
    <xf numFmtId="41" fontId="15" fillId="8" borderId="0" xfId="2" applyFont="1" applyFill="1" applyBorder="1" applyAlignment="1" applyProtection="1">
      <alignment horizontal="right" vertical="top" wrapText="1"/>
    </xf>
    <xf numFmtId="0" fontId="43" fillId="9" borderId="0" xfId="0" applyFont="1" applyFill="1" applyAlignment="1">
      <alignment horizontal="centerContinuous"/>
    </xf>
    <xf numFmtId="0" fontId="3" fillId="9" borderId="0" xfId="0" applyFont="1" applyFill="1" applyAlignment="1">
      <alignment horizontal="centerContinuous"/>
    </xf>
    <xf numFmtId="0" fontId="13" fillId="2" borderId="0" xfId="0" applyFont="1" applyFill="1" applyAlignment="1">
      <alignment horizontal="left" vertical="top"/>
    </xf>
    <xf numFmtId="0" fontId="9" fillId="2" borderId="0" xfId="0" applyFont="1" applyFill="1" applyAlignment="1">
      <alignment horizontal="left" vertical="top"/>
    </xf>
    <xf numFmtId="0" fontId="43" fillId="0" borderId="0" xfId="0" applyFont="1"/>
    <xf numFmtId="166" fontId="43" fillId="0" borderId="0" xfId="0" applyNumberFormat="1" applyFont="1"/>
    <xf numFmtId="0" fontId="9" fillId="2" borderId="0" xfId="0" applyFont="1" applyFill="1" applyAlignment="1">
      <alignment vertical="center"/>
    </xf>
    <xf numFmtId="0" fontId="9" fillId="2" borderId="0" xfId="0" applyFont="1" applyFill="1" applyAlignment="1">
      <alignment horizontal="left" vertical="center"/>
    </xf>
    <xf numFmtId="0" fontId="9" fillId="10" borderId="0" xfId="0" applyFont="1" applyFill="1" applyAlignment="1">
      <alignment horizontal="left" vertical="top"/>
    </xf>
    <xf numFmtId="0" fontId="43" fillId="10" borderId="0" xfId="0" applyFont="1" applyFill="1"/>
    <xf numFmtId="166" fontId="43" fillId="10" borderId="0" xfId="0" applyNumberFormat="1" applyFont="1" applyFill="1"/>
    <xf numFmtId="0" fontId="9" fillId="11" borderId="0" xfId="0" applyFont="1" applyFill="1" applyAlignment="1">
      <alignment horizontal="left" vertical="top"/>
    </xf>
    <xf numFmtId="0" fontId="43" fillId="11" borderId="0" xfId="0" applyFont="1" applyFill="1"/>
    <xf numFmtId="166" fontId="43" fillId="11" borderId="0" xfId="0" applyNumberFormat="1" applyFont="1" applyFill="1"/>
    <xf numFmtId="0" fontId="2" fillId="4" borderId="0" xfId="0" applyFont="1" applyFill="1"/>
    <xf numFmtId="0" fontId="2" fillId="4" borderId="0" xfId="0" applyFont="1" applyFill="1" applyAlignment="1">
      <alignment vertical="center"/>
    </xf>
    <xf numFmtId="0" fontId="3" fillId="12" borderId="0" xfId="0" applyFont="1" applyFill="1"/>
    <xf numFmtId="166" fontId="3" fillId="12" borderId="0" xfId="0" applyNumberFormat="1" applyFont="1" applyFill="1"/>
    <xf numFmtId="0" fontId="9" fillId="0" borderId="0" xfId="0" applyFont="1" applyAlignment="1">
      <alignment horizontal="left" vertical="top"/>
    </xf>
    <xf numFmtId="44" fontId="2" fillId="0" borderId="0" xfId="0" applyNumberFormat="1" applyFont="1"/>
    <xf numFmtId="166" fontId="2" fillId="0" borderId="0" xfId="0" applyNumberFormat="1" applyFont="1" applyAlignment="1">
      <alignment vertical="center"/>
    </xf>
    <xf numFmtId="166" fontId="11" fillId="13" borderId="0" xfId="1" applyNumberFormat="1" applyFont="1" applyFill="1" applyAlignment="1">
      <alignment vertical="center"/>
    </xf>
    <xf numFmtId="166" fontId="14" fillId="13" borderId="0" xfId="1" applyNumberFormat="1" applyFont="1" applyFill="1"/>
    <xf numFmtId="166" fontId="2" fillId="13" borderId="0" xfId="0" applyNumberFormat="1" applyFont="1" applyFill="1"/>
    <xf numFmtId="166" fontId="14" fillId="13" borderId="0" xfId="1" applyNumberFormat="1" applyFont="1" applyFill="1" applyAlignment="1">
      <alignment vertical="center"/>
    </xf>
    <xf numFmtId="41" fontId="14" fillId="13" borderId="0" xfId="0" applyNumberFormat="1" applyFont="1" applyFill="1" applyAlignment="1">
      <alignment wrapText="1"/>
    </xf>
    <xf numFmtId="41" fontId="14" fillId="14" borderId="0" xfId="0" applyNumberFormat="1" applyFont="1" applyFill="1" applyAlignment="1">
      <alignment wrapText="1"/>
    </xf>
    <xf numFmtId="41" fontId="17" fillId="15" borderId="0" xfId="0" applyNumberFormat="1" applyFont="1" applyFill="1"/>
    <xf numFmtId="15" fontId="2" fillId="15" borderId="0" xfId="0" applyNumberFormat="1" applyFont="1" applyFill="1"/>
    <xf numFmtId="0" fontId="2" fillId="15" borderId="0" xfId="0" applyFont="1" applyFill="1"/>
    <xf numFmtId="165" fontId="17" fillId="15" borderId="0" xfId="0" applyNumberFormat="1" applyFont="1" applyFill="1"/>
    <xf numFmtId="43" fontId="27" fillId="0" borderId="0" xfId="1" applyFont="1"/>
    <xf numFmtId="0" fontId="13" fillId="16" borderId="0" xfId="0" applyFont="1" applyFill="1" applyAlignment="1">
      <alignment horizontal="left" vertical="top" wrapText="1"/>
    </xf>
    <xf numFmtId="0" fontId="13" fillId="16" borderId="0" xfId="0" applyFont="1" applyFill="1" applyAlignment="1">
      <alignment horizontal="left" vertical="center" wrapText="1"/>
    </xf>
    <xf numFmtId="0" fontId="14" fillId="16" borderId="0" xfId="7" applyFont="1" applyFill="1" applyAlignment="1">
      <alignment horizontal="left" vertical="top" wrapText="1"/>
    </xf>
    <xf numFmtId="0" fontId="13" fillId="17" borderId="0" xfId="0" applyFont="1" applyFill="1" applyAlignment="1">
      <alignment horizontal="left" vertical="top" wrapText="1"/>
    </xf>
    <xf numFmtId="0" fontId="9" fillId="17" borderId="0" xfId="0" applyFont="1" applyFill="1" applyAlignment="1">
      <alignment horizontal="center" vertical="center" wrapText="1"/>
    </xf>
    <xf numFmtId="166" fontId="15" fillId="17" borderId="0" xfId="1" applyNumberFormat="1" applyFont="1" applyFill="1" applyBorder="1" applyAlignment="1" applyProtection="1">
      <alignment horizontal="right" vertical="top" wrapText="1"/>
    </xf>
    <xf numFmtId="10" fontId="15" fillId="17" borderId="0" xfId="4" applyNumberFormat="1" applyFont="1" applyFill="1" applyBorder="1" applyAlignment="1" applyProtection="1">
      <alignment vertical="top" wrapText="1"/>
    </xf>
    <xf numFmtId="41" fontId="15" fillId="17" borderId="0" xfId="2" applyFont="1" applyFill="1" applyBorder="1" applyAlignment="1" applyProtection="1">
      <alignment horizontal="right" vertical="top" wrapText="1"/>
    </xf>
    <xf numFmtId="10" fontId="14" fillId="17" borderId="0" xfId="4" applyNumberFormat="1" applyFont="1" applyFill="1" applyAlignment="1">
      <alignment wrapText="1"/>
    </xf>
    <xf numFmtId="41" fontId="14" fillId="17" borderId="0" xfId="0" applyNumberFormat="1" applyFont="1" applyFill="1" applyAlignment="1">
      <alignment wrapText="1"/>
    </xf>
    <xf numFmtId="9" fontId="11" fillId="17" borderId="0" xfId="4" applyFont="1" applyFill="1" applyAlignment="1">
      <alignment wrapText="1"/>
    </xf>
    <xf numFmtId="0" fontId="2" fillId="17" borderId="0" xfId="0" applyFont="1" applyFill="1"/>
    <xf numFmtId="41" fontId="2" fillId="17" borderId="0" xfId="0" applyNumberFormat="1" applyFont="1" applyFill="1"/>
    <xf numFmtId="0" fontId="9" fillId="0" borderId="0" xfId="0" applyFont="1" applyAlignment="1">
      <alignment horizontal="left" vertical="center" wrapText="1"/>
    </xf>
    <xf numFmtId="0" fontId="13"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3" fillId="0" borderId="0" xfId="0" applyFont="1" applyAlignment="1">
      <alignment horizontal="centerContinuous"/>
    </xf>
    <xf numFmtId="0" fontId="3" fillId="0" borderId="0" xfId="0" applyFont="1"/>
    <xf numFmtId="166" fontId="3" fillId="0" borderId="0" xfId="0" applyNumberFormat="1" applyFont="1"/>
    <xf numFmtId="166" fontId="2" fillId="0" borderId="0" xfId="1" applyNumberFormat="1" applyFont="1" applyFill="1"/>
    <xf numFmtId="0" fontId="45" fillId="7" borderId="0" xfId="0" applyFont="1" applyFill="1" applyAlignment="1">
      <alignment vertical="center" wrapText="1"/>
    </xf>
    <xf numFmtId="0" fontId="45" fillId="7" borderId="0" xfId="0" applyFont="1" applyFill="1" applyAlignment="1">
      <alignment horizontal="center" vertical="center" wrapText="1"/>
    </xf>
    <xf numFmtId="0" fontId="46" fillId="0" borderId="0" xfId="0" applyFont="1" applyAlignment="1">
      <alignment horizontal="left" vertical="center" wrapText="1"/>
    </xf>
    <xf numFmtId="166" fontId="47" fillId="0" borderId="0" xfId="1" applyNumberFormat="1" applyFont="1" applyFill="1" applyBorder="1" applyAlignment="1" applyProtection="1">
      <alignment horizontal="right" vertical="top" wrapText="1"/>
    </xf>
    <xf numFmtId="0" fontId="47" fillId="0" borderId="0" xfId="0" applyFont="1" applyAlignment="1">
      <alignment vertical="top" wrapText="1"/>
    </xf>
    <xf numFmtId="0" fontId="47" fillId="0" borderId="0" xfId="0" applyFont="1" applyAlignment="1">
      <alignment vertical="center" wrapText="1"/>
    </xf>
    <xf numFmtId="166" fontId="2" fillId="0" borderId="0" xfId="1" applyNumberFormat="1" applyFont="1" applyFill="1" applyAlignment="1">
      <alignment vertical="center"/>
    </xf>
    <xf numFmtId="0" fontId="46" fillId="0" borderId="0" xfId="0" applyFont="1" applyAlignment="1">
      <alignment horizontal="left" vertical="top"/>
    </xf>
    <xf numFmtId="0" fontId="46" fillId="0" borderId="0" xfId="0" applyFont="1" applyAlignment="1">
      <alignment horizontal="center" vertical="center" wrapText="1"/>
    </xf>
    <xf numFmtId="166" fontId="2" fillId="0" borderId="0" xfId="4" applyNumberFormat="1" applyFont="1" applyFill="1" applyAlignment="1">
      <alignment wrapText="1"/>
    </xf>
    <xf numFmtId="0" fontId="47" fillId="0" borderId="0" xfId="0" applyFont="1" applyAlignment="1">
      <alignment horizontal="left" vertical="top" wrapText="1"/>
    </xf>
    <xf numFmtId="0" fontId="46" fillId="0" borderId="0" xfId="0" applyFont="1" applyAlignment="1">
      <alignment horizontal="left" vertical="top" wrapText="1"/>
    </xf>
    <xf numFmtId="166" fontId="3" fillId="0" borderId="0" xfId="1" applyNumberFormat="1" applyFont="1" applyFill="1" applyAlignment="1">
      <alignment vertical="center"/>
    </xf>
    <xf numFmtId="0" fontId="46" fillId="0" borderId="0" xfId="0" applyFont="1" applyAlignment="1">
      <alignment horizontal="center" vertical="top" wrapText="1"/>
    </xf>
    <xf numFmtId="166" fontId="2" fillId="0" borderId="0" xfId="1" applyNumberFormat="1" applyFont="1" applyFill="1" applyAlignment="1">
      <alignment horizontal="right"/>
    </xf>
    <xf numFmtId="0" fontId="46" fillId="11" borderId="0" xfId="0" applyFont="1" applyFill="1" applyAlignment="1">
      <alignment vertical="top" wrapText="1"/>
    </xf>
    <xf numFmtId="0" fontId="46" fillId="11" borderId="0" xfId="0" applyFont="1" applyFill="1" applyAlignment="1">
      <alignment horizontal="center" vertical="top" wrapText="1"/>
    </xf>
    <xf numFmtId="166" fontId="3" fillId="11" borderId="0" xfId="1" applyNumberFormat="1" applyFont="1" applyFill="1" applyAlignment="1">
      <alignment vertical="center"/>
    </xf>
    <xf numFmtId="0" fontId="46" fillId="11" borderId="0" xfId="0" applyFont="1" applyFill="1" applyAlignment="1">
      <alignment vertical="center" wrapText="1"/>
    </xf>
    <xf numFmtId="0" fontId="46" fillId="11" borderId="0" xfId="0" applyFont="1" applyFill="1" applyAlignment="1">
      <alignment horizontal="center" vertical="center" wrapText="1"/>
    </xf>
    <xf numFmtId="0" fontId="3" fillId="18" borderId="0" xfId="0" applyFont="1" applyFill="1"/>
    <xf numFmtId="166" fontId="3" fillId="18" borderId="0" xfId="0" applyNumberFormat="1" applyFont="1" applyFill="1"/>
    <xf numFmtId="0" fontId="47" fillId="0" borderId="0" xfId="0" applyFont="1" applyAlignment="1">
      <alignment horizontal="left" vertical="center" wrapText="1"/>
    </xf>
    <xf numFmtId="0" fontId="44" fillId="19" borderId="0" xfId="0" applyFont="1" applyFill="1"/>
    <xf numFmtId="166" fontId="44" fillId="19" borderId="0" xfId="0" applyNumberFormat="1" applyFont="1" applyFill="1"/>
    <xf numFmtId="0" fontId="44" fillId="20" borderId="0" xfId="0" applyFont="1" applyFill="1"/>
    <xf numFmtId="166" fontId="44" fillId="20" borderId="0" xfId="0" applyNumberFormat="1" applyFont="1" applyFill="1"/>
    <xf numFmtId="0" fontId="45" fillId="6" borderId="0" xfId="0" applyFont="1" applyFill="1" applyAlignment="1">
      <alignment horizontal="center" vertical="center"/>
    </xf>
    <xf numFmtId="0" fontId="2" fillId="0" borderId="0" xfId="7" applyFont="1" applyAlignment="1">
      <alignment horizontal="left" vertical="top" wrapText="1"/>
    </xf>
    <xf numFmtId="0" fontId="46" fillId="11" borderId="0" xfId="0" applyFont="1" applyFill="1" applyAlignment="1">
      <alignment horizontal="left" vertical="top" wrapText="1"/>
    </xf>
    <xf numFmtId="41" fontId="46" fillId="11" borderId="0" xfId="2" applyFont="1" applyFill="1" applyBorder="1" applyAlignment="1" applyProtection="1">
      <alignment horizontal="right" vertical="top" wrapText="1"/>
    </xf>
    <xf numFmtId="41" fontId="2" fillId="0" borderId="0" xfId="2" applyFont="1" applyFill="1" applyAlignment="1">
      <alignment wrapText="1"/>
    </xf>
    <xf numFmtId="166" fontId="2" fillId="0" borderId="0" xfId="1" applyNumberFormat="1" applyFont="1" applyFill="1" applyAlignment="1">
      <alignment wrapText="1"/>
    </xf>
    <xf numFmtId="166" fontId="2" fillId="0" borderId="0" xfId="1" applyNumberFormat="1" applyFont="1" applyFill="1" applyBorder="1" applyAlignment="1">
      <alignment horizontal="right" wrapText="1"/>
    </xf>
    <xf numFmtId="41" fontId="2" fillId="0" borderId="0" xfId="2" applyFont="1" applyFill="1" applyBorder="1" applyAlignment="1">
      <alignment horizontal="right" wrapText="1"/>
    </xf>
    <xf numFmtId="0" fontId="48" fillId="0" borderId="0" xfId="0" applyFont="1"/>
    <xf numFmtId="166" fontId="48" fillId="0" borderId="0" xfId="0" applyNumberFormat="1" applyFont="1"/>
    <xf numFmtId="41" fontId="48" fillId="0" borderId="0" xfId="0" applyNumberFormat="1" applyFont="1"/>
    <xf numFmtId="166" fontId="50" fillId="0" borderId="0" xfId="1" applyNumberFormat="1" applyFont="1" applyFill="1"/>
    <xf numFmtId="41" fontId="50" fillId="0" borderId="0" xfId="2" applyFont="1" applyFill="1" applyBorder="1" applyAlignment="1" applyProtection="1">
      <alignment horizontal="right" vertical="top" wrapText="1"/>
    </xf>
    <xf numFmtId="166" fontId="50" fillId="0" borderId="0" xfId="1" applyNumberFormat="1" applyFont="1" applyFill="1" applyBorder="1" applyAlignment="1" applyProtection="1">
      <alignment horizontal="right" vertical="top" wrapText="1"/>
    </xf>
    <xf numFmtId="41" fontId="50" fillId="0" borderId="0" xfId="2" applyFont="1" applyFill="1" applyBorder="1" applyAlignment="1" applyProtection="1">
      <alignment horizontal="right" vertical="center" wrapText="1"/>
    </xf>
    <xf numFmtId="166" fontId="50" fillId="0" borderId="0" xfId="1" applyNumberFormat="1" applyFont="1" applyFill="1" applyBorder="1" applyAlignment="1" applyProtection="1">
      <alignment horizontal="right" vertical="center" wrapText="1"/>
    </xf>
    <xf numFmtId="166" fontId="49" fillId="0" borderId="0" xfId="1" applyNumberFormat="1" applyFont="1" applyFill="1" applyAlignment="1">
      <alignment horizontal="right" vertical="center"/>
    </xf>
    <xf numFmtId="166" fontId="50" fillId="0" borderId="0" xfId="1" applyNumberFormat="1" applyFont="1" applyFill="1" applyAlignment="1">
      <alignment horizontal="right" vertical="center"/>
    </xf>
    <xf numFmtId="166" fontId="3" fillId="11" borderId="0" xfId="1" applyNumberFormat="1" applyFont="1" applyFill="1" applyAlignment="1">
      <alignment horizontal="right" vertical="center"/>
    </xf>
    <xf numFmtId="166" fontId="50" fillId="0" borderId="0" xfId="1" applyNumberFormat="1" applyFont="1" applyFill="1" applyAlignment="1">
      <alignment horizontal="right"/>
    </xf>
    <xf numFmtId="168" fontId="2" fillId="0" borderId="0" xfId="4" applyNumberFormat="1" applyFont="1" applyAlignment="1">
      <alignment vertical="center"/>
    </xf>
    <xf numFmtId="9" fontId="2" fillId="0" borderId="0" xfId="0" applyNumberFormat="1" applyFont="1"/>
    <xf numFmtId="168" fontId="2" fillId="0" borderId="0" xfId="0" applyNumberFormat="1" applyFont="1"/>
    <xf numFmtId="9" fontId="50" fillId="0" borderId="0" xfId="0" applyNumberFormat="1" applyFont="1"/>
    <xf numFmtId="168" fontId="50" fillId="0" borderId="0" xfId="0" applyNumberFormat="1" applyFont="1"/>
    <xf numFmtId="166" fontId="51" fillId="0" borderId="0" xfId="1" applyNumberFormat="1" applyFont="1" applyFill="1" applyAlignment="1">
      <alignment vertical="center"/>
    </xf>
    <xf numFmtId="166" fontId="52" fillId="0" borderId="0" xfId="1" applyNumberFormat="1" applyFont="1" applyFill="1" applyAlignment="1">
      <alignment vertical="center"/>
    </xf>
    <xf numFmtId="10" fontId="2" fillId="0" borderId="0" xfId="0" applyNumberFormat="1" applyFont="1"/>
    <xf numFmtId="10" fontId="50" fillId="0" borderId="0" xfId="4" applyNumberFormat="1" applyFont="1" applyAlignment="1">
      <alignment vertical="center"/>
    </xf>
    <xf numFmtId="43" fontId="2" fillId="0" borderId="0" xfId="1" applyFont="1"/>
    <xf numFmtId="166" fontId="3" fillId="0" borderId="0" xfId="1" applyNumberFormat="1" applyFont="1"/>
    <xf numFmtId="166" fontId="52" fillId="0" borderId="0" xfId="1" applyNumberFormat="1" applyFont="1" applyFill="1"/>
    <xf numFmtId="0" fontId="44" fillId="22" borderId="0" xfId="0" applyFont="1" applyFill="1"/>
    <xf numFmtId="41" fontId="47" fillId="0" borderId="0" xfId="0" applyNumberFormat="1" applyFont="1" applyAlignment="1">
      <alignment horizontal="center" vertical="top" wrapText="1"/>
    </xf>
    <xf numFmtId="0" fontId="46" fillId="3" borderId="0" xfId="0" applyFont="1" applyFill="1" applyAlignment="1">
      <alignment horizontal="left" vertical="top" wrapText="1"/>
    </xf>
    <xf numFmtId="0" fontId="46" fillId="3" borderId="0" xfId="0" applyFont="1" applyFill="1" applyAlignment="1">
      <alignment horizontal="center" vertical="center" wrapText="1"/>
    </xf>
    <xf numFmtId="166" fontId="2" fillId="3" borderId="0" xfId="1" applyNumberFormat="1" applyFont="1" applyFill="1" applyAlignment="1">
      <alignment horizontal="right"/>
    </xf>
    <xf numFmtId="168" fontId="2" fillId="4" borderId="0" xfId="4" applyNumberFormat="1" applyFont="1" applyFill="1" applyAlignment="1">
      <alignment vertical="center"/>
    </xf>
    <xf numFmtId="168" fontId="50" fillId="4" borderId="0" xfId="0" applyNumberFormat="1" applyFont="1" applyFill="1"/>
    <xf numFmtId="168" fontId="2" fillId="4" borderId="0" xfId="0" applyNumberFormat="1" applyFont="1" applyFill="1"/>
    <xf numFmtId="1" fontId="45" fillId="7" borderId="0" xfId="1" applyNumberFormat="1" applyFont="1" applyFill="1" applyBorder="1" applyAlignment="1" applyProtection="1">
      <alignment horizontal="center" vertical="center" wrapText="1"/>
    </xf>
    <xf numFmtId="166" fontId="2" fillId="0" borderId="0" xfId="1" applyNumberFormat="1" applyFont="1" applyAlignment="1">
      <alignment vertical="center"/>
    </xf>
    <xf numFmtId="9" fontId="50" fillId="0" borderId="0" xfId="4" applyFont="1"/>
    <xf numFmtId="0" fontId="53" fillId="0" borderId="0" xfId="0" applyFont="1"/>
    <xf numFmtId="0" fontId="54" fillId="0" borderId="0" xfId="0" applyFont="1" applyAlignment="1">
      <alignment horizontal="centerContinuous"/>
    </xf>
    <xf numFmtId="166" fontId="50" fillId="0" borderId="0" xfId="1" applyNumberFormat="1" applyFont="1"/>
    <xf numFmtId="166" fontId="50" fillId="21" borderId="0" xfId="1" applyNumberFormat="1" applyFont="1" applyFill="1"/>
    <xf numFmtId="9" fontId="55" fillId="0" borderId="0" xfId="0" applyNumberFormat="1" applyFont="1"/>
    <xf numFmtId="168" fontId="55" fillId="0" borderId="0" xfId="0" applyNumberFormat="1" applyFont="1"/>
    <xf numFmtId="166" fontId="55" fillId="0" borderId="0" xfId="1" applyNumberFormat="1" applyFont="1"/>
    <xf numFmtId="9" fontId="55" fillId="0" borderId="0" xfId="4" applyFont="1"/>
    <xf numFmtId="10" fontId="50" fillId="0" borderId="0" xfId="0" applyNumberFormat="1" applyFont="1"/>
    <xf numFmtId="166" fontId="50" fillId="0" borderId="0" xfId="1" applyNumberFormat="1" applyFont="1" applyAlignment="1">
      <alignment vertical="center"/>
    </xf>
    <xf numFmtId="168" fontId="50" fillId="0" borderId="0" xfId="4" applyNumberFormat="1" applyFont="1" applyAlignment="1">
      <alignment vertical="center"/>
    </xf>
    <xf numFmtId="168" fontId="50" fillId="0" borderId="0" xfId="4" applyNumberFormat="1" applyFont="1"/>
    <xf numFmtId="0" fontId="56" fillId="23" borderId="0" xfId="0" applyFont="1" applyFill="1"/>
    <xf numFmtId="0" fontId="2" fillId="24" borderId="0" xfId="0" applyFont="1" applyFill="1"/>
    <xf numFmtId="0" fontId="44" fillId="24" borderId="0" xfId="0" applyFont="1" applyFill="1"/>
    <xf numFmtId="166" fontId="44" fillId="22" borderId="0" xfId="1" applyNumberFormat="1" applyFont="1" applyFill="1"/>
    <xf numFmtId="0" fontId="2" fillId="25" borderId="0" xfId="0" applyFont="1" applyFill="1" applyAlignment="1">
      <alignment horizontal="centerContinuous"/>
    </xf>
    <xf numFmtId="0" fontId="3" fillId="25" borderId="0" xfId="0" applyFont="1" applyFill="1" applyAlignment="1">
      <alignment horizontal="centerContinuous"/>
    </xf>
    <xf numFmtId="166" fontId="3" fillId="21" borderId="0" xfId="1" applyNumberFormat="1" applyFont="1" applyFill="1"/>
    <xf numFmtId="166" fontId="3" fillId="21" borderId="0" xfId="1" applyNumberFormat="1" applyFont="1" applyFill="1" applyAlignment="1">
      <alignment horizontal="center"/>
    </xf>
    <xf numFmtId="166" fontId="2" fillId="18" borderId="0" xfId="1" applyNumberFormat="1" applyFont="1" applyFill="1"/>
    <xf numFmtId="14" fontId="14" fillId="0" borderId="0" xfId="0" applyNumberFormat="1" applyFont="1"/>
    <xf numFmtId="166" fontId="44" fillId="22" borderId="0" xfId="0" applyNumberFormat="1" applyFont="1" applyFill="1"/>
    <xf numFmtId="0" fontId="57" fillId="0" borderId="0" xfId="0" applyFont="1"/>
    <xf numFmtId="0" fontId="50" fillId="0" borderId="0" xfId="0" applyFont="1"/>
    <xf numFmtId="0" fontId="3" fillId="10" borderId="3" xfId="0" applyFont="1" applyFill="1" applyBorder="1"/>
    <xf numFmtId="2" fontId="3" fillId="10" borderId="3" xfId="0" applyNumberFormat="1" applyFont="1" applyFill="1" applyBorder="1"/>
    <xf numFmtId="0" fontId="2" fillId="26" borderId="0" xfId="0" applyFont="1" applyFill="1"/>
    <xf numFmtId="166" fontId="2" fillId="26" borderId="0" xfId="0" applyNumberFormat="1" applyFont="1" applyFill="1"/>
    <xf numFmtId="166" fontId="2" fillId="26" borderId="0" xfId="1" applyNumberFormat="1" applyFont="1" applyFill="1"/>
    <xf numFmtId="0" fontId="50" fillId="26" borderId="0" xfId="0" applyFont="1" applyFill="1"/>
    <xf numFmtId="166" fontId="3" fillId="10" borderId="3" xfId="1" applyNumberFormat="1" applyFont="1" applyFill="1" applyBorder="1"/>
    <xf numFmtId="0" fontId="58" fillId="0" borderId="0" xfId="10" applyFont="1"/>
    <xf numFmtId="170" fontId="59" fillId="0" borderId="0" xfId="10" applyNumberFormat="1" applyFont="1" applyAlignment="1">
      <alignment horizontal="right"/>
    </xf>
    <xf numFmtId="166" fontId="58" fillId="0" borderId="0" xfId="10" applyNumberFormat="1" applyFont="1"/>
    <xf numFmtId="170" fontId="58" fillId="0" borderId="0" xfId="10" applyNumberFormat="1" applyFont="1"/>
    <xf numFmtId="0" fontId="61" fillId="0" borderId="0" xfId="10" applyFont="1"/>
    <xf numFmtId="170" fontId="59" fillId="0" borderId="0" xfId="10" applyNumberFormat="1" applyFont="1"/>
    <xf numFmtId="0" fontId="60" fillId="0" borderId="0" xfId="0" applyFont="1"/>
    <xf numFmtId="166" fontId="60" fillId="0" borderId="0" xfId="0" applyNumberFormat="1" applyFont="1"/>
    <xf numFmtId="171" fontId="0" fillId="0" borderId="0" xfId="0" applyNumberFormat="1"/>
    <xf numFmtId="2" fontId="50" fillId="0" borderId="0" xfId="0" applyNumberFormat="1" applyFont="1"/>
    <xf numFmtId="168" fontId="2" fillId="0" borderId="0" xfId="4" applyNumberFormat="1" applyFont="1"/>
    <xf numFmtId="2" fontId="2" fillId="0" borderId="0" xfId="0" applyNumberFormat="1" applyFont="1" applyAlignment="1">
      <alignment wrapText="1"/>
    </xf>
    <xf numFmtId="9" fontId="2" fillId="0" borderId="0" xfId="4" applyFont="1" applyFill="1"/>
    <xf numFmtId="0" fontId="2" fillId="0" borderId="0" xfId="10" applyFont="1"/>
    <xf numFmtId="0" fontId="3" fillId="27" borderId="0" xfId="0" applyFont="1" applyFill="1"/>
    <xf numFmtId="166" fontId="3" fillId="27" borderId="0" xfId="0" applyNumberFormat="1" applyFont="1" applyFill="1"/>
    <xf numFmtId="166" fontId="52" fillId="0" borderId="0" xfId="1" applyNumberFormat="1" applyFont="1" applyFill="1" applyBorder="1" applyAlignment="1" applyProtection="1">
      <alignment horizontal="right" vertical="top" wrapText="1"/>
    </xf>
    <xf numFmtId="0" fontId="45" fillId="28" borderId="0" xfId="0" applyFont="1" applyFill="1" applyAlignment="1">
      <alignment vertical="center" wrapText="1"/>
    </xf>
    <xf numFmtId="0" fontId="45" fillId="28" borderId="0" xfId="0" applyFont="1" applyFill="1" applyAlignment="1">
      <alignment horizontal="center" vertical="center" wrapText="1"/>
    </xf>
    <xf numFmtId="1" fontId="45" fillId="28" borderId="0" xfId="1" applyNumberFormat="1" applyFont="1" applyFill="1" applyBorder="1" applyAlignment="1" applyProtection="1">
      <alignment horizontal="center" vertical="center" wrapText="1"/>
    </xf>
    <xf numFmtId="0" fontId="46" fillId="25" borderId="0" xfId="0" applyFont="1" applyFill="1" applyAlignment="1">
      <alignment vertical="top" wrapText="1"/>
    </xf>
    <xf numFmtId="0" fontId="46" fillId="25" borderId="0" xfId="0" applyFont="1" applyFill="1" applyAlignment="1">
      <alignment horizontal="center" vertical="top" wrapText="1"/>
    </xf>
    <xf numFmtId="0" fontId="46" fillId="25" borderId="0" xfId="0" applyFont="1" applyFill="1" applyAlignment="1">
      <alignment horizontal="center" vertical="center" wrapText="1"/>
    </xf>
    <xf numFmtId="0" fontId="46" fillId="25" borderId="0" xfId="0" applyFont="1" applyFill="1" applyAlignment="1">
      <alignment vertical="center"/>
    </xf>
    <xf numFmtId="9" fontId="51" fillId="0" borderId="0" xfId="4" applyFont="1" applyFill="1" applyAlignment="1">
      <alignment horizontal="right" vertical="center"/>
    </xf>
    <xf numFmtId="9" fontId="52" fillId="0" borderId="0" xfId="4" applyFont="1" applyFill="1" applyAlignment="1">
      <alignment horizontal="right" vertical="center"/>
    </xf>
    <xf numFmtId="9" fontId="51" fillId="25" borderId="0" xfId="4" applyFont="1" applyFill="1" applyAlignment="1">
      <alignment horizontal="right" vertical="center"/>
    </xf>
    <xf numFmtId="9" fontId="52" fillId="0" borderId="0" xfId="4" applyFont="1" applyFill="1" applyAlignment="1">
      <alignment horizontal="right"/>
    </xf>
    <xf numFmtId="9" fontId="51" fillId="0" borderId="0" xfId="4" applyFont="1"/>
    <xf numFmtId="9" fontId="51" fillId="0" borderId="0" xfId="4" applyFont="1" applyFill="1" applyBorder="1" applyAlignment="1" applyProtection="1">
      <alignment horizontal="right" vertical="top" wrapText="1"/>
    </xf>
    <xf numFmtId="172" fontId="51" fillId="0" borderId="0" xfId="1" applyNumberFormat="1" applyFont="1" applyFill="1" applyAlignment="1">
      <alignment horizontal="right" vertical="center"/>
    </xf>
    <xf numFmtId="172" fontId="52" fillId="0" borderId="0" xfId="1" applyNumberFormat="1" applyFont="1" applyFill="1" applyAlignment="1">
      <alignment horizontal="right" vertical="center"/>
    </xf>
    <xf numFmtId="172" fontId="51" fillId="25" borderId="0" xfId="1" applyNumberFormat="1" applyFont="1" applyFill="1" applyAlignment="1">
      <alignment horizontal="right" vertical="center"/>
    </xf>
    <xf numFmtId="172" fontId="52" fillId="0" borderId="0" xfId="1" applyNumberFormat="1" applyFont="1" applyFill="1" applyAlignment="1">
      <alignment horizontal="right"/>
    </xf>
    <xf numFmtId="172" fontId="51" fillId="0" borderId="0" xfId="0" applyNumberFormat="1" applyFont="1"/>
    <xf numFmtId="172" fontId="51" fillId="0" borderId="0" xfId="1" applyNumberFormat="1" applyFont="1" applyFill="1" applyBorder="1" applyAlignment="1" applyProtection="1">
      <alignment horizontal="right" vertical="top" wrapText="1"/>
    </xf>
    <xf numFmtId="0" fontId="47" fillId="0" borderId="0" xfId="0" applyFont="1" applyAlignment="1">
      <alignment horizontal="left" vertical="top"/>
    </xf>
    <xf numFmtId="41" fontId="52" fillId="0" borderId="0" xfId="2" applyFont="1" applyFill="1" applyBorder="1" applyAlignment="1" applyProtection="1">
      <alignment horizontal="right" vertical="top" wrapText="1"/>
    </xf>
    <xf numFmtId="41" fontId="51" fillId="11" borderId="0" xfId="2" applyFont="1" applyFill="1" applyBorder="1" applyAlignment="1" applyProtection="1">
      <alignment horizontal="right" vertical="top" wrapText="1"/>
    </xf>
    <xf numFmtId="41" fontId="52" fillId="0" borderId="0" xfId="2" applyFont="1" applyFill="1" applyAlignment="1">
      <alignment wrapText="1"/>
    </xf>
    <xf numFmtId="166" fontId="52" fillId="0" borderId="0" xfId="1" applyNumberFormat="1" applyFont="1" applyFill="1" applyAlignment="1">
      <alignment wrapText="1"/>
    </xf>
    <xf numFmtId="166" fontId="52" fillId="0" borderId="0" xfId="1" applyNumberFormat="1" applyFont="1" applyFill="1" applyBorder="1" applyAlignment="1">
      <alignment horizontal="right" wrapText="1"/>
    </xf>
    <xf numFmtId="41" fontId="52" fillId="0" borderId="0" xfId="2" applyFont="1" applyFill="1" applyBorder="1" applyAlignment="1">
      <alignment horizontal="right" wrapText="1"/>
    </xf>
    <xf numFmtId="166" fontId="52" fillId="3" borderId="0" xfId="1" applyNumberFormat="1" applyFont="1" applyFill="1" applyAlignment="1">
      <alignment horizontal="right"/>
    </xf>
    <xf numFmtId="41" fontId="52" fillId="0" borderId="0" xfId="2" applyFont="1" applyFill="1" applyBorder="1" applyAlignment="1" applyProtection="1">
      <alignment horizontal="right" vertical="center" wrapText="1"/>
    </xf>
    <xf numFmtId="166" fontId="52" fillId="0" borderId="0" xfId="1" applyNumberFormat="1" applyFont="1" applyFill="1" applyBorder="1" applyAlignment="1" applyProtection="1">
      <alignment horizontal="right" vertical="center" wrapText="1"/>
    </xf>
    <xf numFmtId="168" fontId="52" fillId="0" borderId="0" xfId="4" applyNumberFormat="1" applyFont="1" applyAlignment="1">
      <alignment vertical="center"/>
    </xf>
    <xf numFmtId="9" fontId="52" fillId="0" borderId="0" xfId="0" applyNumberFormat="1" applyFont="1"/>
    <xf numFmtId="166" fontId="52" fillId="0" borderId="0" xfId="1" applyNumberFormat="1" applyFont="1"/>
    <xf numFmtId="168" fontId="52" fillId="0" borderId="0" xfId="0" applyNumberFormat="1" applyFont="1"/>
    <xf numFmtId="0" fontId="45" fillId="28" borderId="0" xfId="0" applyFont="1" applyFill="1" applyAlignment="1">
      <alignment vertical="center"/>
    </xf>
    <xf numFmtId="0" fontId="46" fillId="0" borderId="0" xfId="0" applyFont="1" applyAlignment="1">
      <alignment horizontal="left" vertical="center"/>
    </xf>
    <xf numFmtId="0" fontId="47" fillId="0" borderId="0" xfId="0" applyFont="1" applyAlignment="1">
      <alignment vertical="top"/>
    </xf>
    <xf numFmtId="0" fontId="46" fillId="25" borderId="0" xfId="0" applyFont="1" applyFill="1" applyAlignment="1">
      <alignment vertical="top"/>
    </xf>
    <xf numFmtId="0" fontId="47" fillId="0" borderId="0" xfId="0" applyFont="1" applyAlignment="1">
      <alignment vertical="center"/>
    </xf>
    <xf numFmtId="0" fontId="46" fillId="3" borderId="0" xfId="0" applyFont="1" applyFill="1" applyAlignment="1">
      <alignment horizontal="left" vertical="top"/>
    </xf>
    <xf numFmtId="0" fontId="2" fillId="0" borderId="0" xfId="7" applyFont="1" applyAlignment="1">
      <alignment horizontal="left" vertical="top"/>
    </xf>
    <xf numFmtId="0" fontId="46" fillId="11" borderId="0" xfId="0" applyFont="1" applyFill="1" applyAlignment="1">
      <alignment horizontal="left" vertical="top"/>
    </xf>
    <xf numFmtId="0" fontId="47" fillId="0" borderId="0" xfId="0" applyFont="1" applyAlignment="1">
      <alignment horizontal="left" vertical="center"/>
    </xf>
    <xf numFmtId="166" fontId="3" fillId="0" borderId="0" xfId="0" applyNumberFormat="1" applyFont="1" applyAlignment="1">
      <alignment horizontal="centerContinuous"/>
    </xf>
    <xf numFmtId="9" fontId="3" fillId="0" borderId="0" xfId="4" applyFont="1"/>
    <xf numFmtId="0" fontId="62" fillId="0" borderId="0" xfId="0" applyFont="1"/>
    <xf numFmtId="0" fontId="64" fillId="28" borderId="0" xfId="0" applyFont="1" applyFill="1" applyAlignment="1">
      <alignment horizontal="centerContinuous"/>
    </xf>
    <xf numFmtId="0" fontId="65" fillId="29" borderId="0" xfId="0" applyFont="1" applyFill="1" applyAlignment="1">
      <alignment horizontal="centerContinuous"/>
    </xf>
    <xf numFmtId="0" fontId="66" fillId="29" borderId="0" xfId="0" applyFont="1" applyFill="1" applyAlignment="1">
      <alignment horizontal="centerContinuous"/>
    </xf>
    <xf numFmtId="0" fontId="66" fillId="0" borderId="0" xfId="0" applyFont="1"/>
    <xf numFmtId="0" fontId="66" fillId="0" borderId="0" xfId="0" applyFont="1" applyAlignment="1">
      <alignment horizontal="centerContinuous"/>
    </xf>
    <xf numFmtId="0" fontId="64" fillId="28" borderId="0" xfId="0" applyFont="1" applyFill="1"/>
    <xf numFmtId="166" fontId="62" fillId="0" borderId="0" xfId="1" applyNumberFormat="1" applyFont="1"/>
    <xf numFmtId="0" fontId="63" fillId="29" borderId="0" xfId="0" applyFont="1" applyFill="1"/>
    <xf numFmtId="166" fontId="63" fillId="29" borderId="0" xfId="0" applyNumberFormat="1" applyFont="1" applyFill="1"/>
    <xf numFmtId="0" fontId="64" fillId="30" borderId="0" xfId="0" applyFont="1" applyFill="1"/>
    <xf numFmtId="166" fontId="64" fillId="30" borderId="0" xfId="1" applyNumberFormat="1" applyFont="1" applyFill="1"/>
    <xf numFmtId="9" fontId="0" fillId="0" borderId="0" xfId="0" applyNumberFormat="1"/>
    <xf numFmtId="43" fontId="0" fillId="0" borderId="0" xfId="1" applyFont="1"/>
    <xf numFmtId="9" fontId="52" fillId="0" borderId="0" xfId="4" applyFont="1" applyFill="1" applyBorder="1" applyAlignment="1" applyProtection="1">
      <alignment horizontal="right" vertical="top" wrapText="1"/>
    </xf>
    <xf numFmtId="0" fontId="47" fillId="21" borderId="0" xfId="0" applyFont="1" applyFill="1" applyAlignment="1">
      <alignment horizontal="left" vertical="top"/>
    </xf>
    <xf numFmtId="9" fontId="52" fillId="21" borderId="0" xfId="4" applyFont="1" applyFill="1" applyBorder="1" applyAlignment="1" applyProtection="1">
      <alignment horizontal="right" vertical="top" wrapText="1"/>
    </xf>
    <xf numFmtId="166" fontId="52" fillId="21" borderId="0" xfId="1" applyNumberFormat="1" applyFont="1" applyFill="1" applyBorder="1" applyAlignment="1" applyProtection="1">
      <alignment horizontal="right" vertical="top" wrapText="1"/>
    </xf>
    <xf numFmtId="0" fontId="14" fillId="0" borderId="0" xfId="10" applyFont="1"/>
    <xf numFmtId="171" fontId="2" fillId="0" borderId="0" xfId="0" applyNumberFormat="1" applyFont="1"/>
    <xf numFmtId="171" fontId="2" fillId="31" borderId="0" xfId="0" applyNumberFormat="1" applyFont="1" applyFill="1"/>
    <xf numFmtId="0" fontId="2" fillId="31" borderId="0" xfId="0" applyFont="1" applyFill="1"/>
    <xf numFmtId="0" fontId="67" fillId="28" borderId="0" xfId="0" applyFont="1" applyFill="1" applyAlignment="1">
      <alignment horizontal="center"/>
    </xf>
    <xf numFmtId="0" fontId="35" fillId="0" borderId="0" xfId="6" quotePrefix="1" applyFont="1" applyAlignment="1">
      <alignment horizontal="left" vertical="top" wrapText="1"/>
    </xf>
    <xf numFmtId="0" fontId="38" fillId="0" borderId="0" xfId="5" quotePrefix="1" applyFont="1" applyAlignment="1">
      <alignment horizontal="left" vertical="top" wrapText="1"/>
    </xf>
    <xf numFmtId="0" fontId="4" fillId="2" borderId="0" xfId="0" applyFont="1" applyFill="1" applyAlignment="1">
      <alignment horizontal="center" vertical="top" wrapText="1"/>
    </xf>
    <xf numFmtId="0" fontId="5" fillId="2" borderId="0" xfId="0" applyFont="1" applyFill="1" applyAlignment="1">
      <alignment horizontal="center" vertical="top" wrapText="1"/>
    </xf>
    <xf numFmtId="0" fontId="17" fillId="0" borderId="0" xfId="5" quotePrefix="1" applyFont="1" applyAlignment="1">
      <alignment horizontal="left" vertical="top" wrapText="1"/>
    </xf>
    <xf numFmtId="0" fontId="19" fillId="0" borderId="0" xfId="6" quotePrefix="1" applyFont="1" applyAlignment="1">
      <alignment horizontal="left" vertical="top" wrapText="1"/>
    </xf>
    <xf numFmtId="0" fontId="22" fillId="0" borderId="0" xfId="5" quotePrefix="1" applyFont="1" applyAlignment="1">
      <alignment horizontal="left" vertical="top" wrapText="1"/>
    </xf>
    <xf numFmtId="0" fontId="41" fillId="0" borderId="0" xfId="6" quotePrefix="1" applyFont="1" applyAlignment="1">
      <alignment horizontal="left" vertical="top" wrapText="1"/>
    </xf>
    <xf numFmtId="0" fontId="17" fillId="0" borderId="0" xfId="0" applyFont="1" applyAlignment="1">
      <alignment horizontal="left" wrapText="1"/>
    </xf>
    <xf numFmtId="0" fontId="24" fillId="0" borderId="0" xfId="0" applyFont="1" applyAlignment="1">
      <alignment horizontal="left" wrapText="1"/>
    </xf>
    <xf numFmtId="166" fontId="3" fillId="21" borderId="0" xfId="1" applyNumberFormat="1" applyFont="1" applyFill="1" applyAlignment="1">
      <alignment horizontal="center" vertical="center" textRotation="90"/>
    </xf>
    <xf numFmtId="10" fontId="63" fillId="0" borderId="4" xfId="0" applyNumberFormat="1" applyFont="1" applyBorder="1" applyAlignment="1">
      <alignment horizontal="center" vertical="center"/>
    </xf>
    <xf numFmtId="0" fontId="63" fillId="0" borderId="5" xfId="0" applyFont="1" applyBorder="1" applyAlignment="1">
      <alignment horizontal="center" vertical="center"/>
    </xf>
    <xf numFmtId="2" fontId="63" fillId="0" borderId="4" xfId="0" applyNumberFormat="1" applyFont="1" applyBorder="1" applyAlignment="1">
      <alignment horizontal="center" vertical="center" wrapText="1"/>
    </xf>
    <xf numFmtId="2" fontId="63" fillId="0" borderId="5" xfId="0" applyNumberFormat="1" applyFont="1" applyBorder="1" applyAlignment="1">
      <alignment horizontal="center" vertical="center" wrapText="1"/>
    </xf>
    <xf numFmtId="0" fontId="62" fillId="29" borderId="0" xfId="0" applyFont="1" applyFill="1" applyAlignment="1">
      <alignment horizontal="center"/>
    </xf>
    <xf numFmtId="0" fontId="64" fillId="28" borderId="0" xfId="0" applyFont="1" applyFill="1" applyAlignment="1">
      <alignment horizontal="center" vertical="center"/>
    </xf>
    <xf numFmtId="0" fontId="62" fillId="31" borderId="0" xfId="0" applyFont="1" applyFill="1"/>
  </cellXfs>
  <cellStyles count="11">
    <cellStyle name="Comma [0] 2" xfId="9" xr:uid="{40782D32-E99F-4DB4-A72F-A6EF0277038A}"/>
    <cellStyle name="Millares" xfId="1" builtinId="3"/>
    <cellStyle name="Millares [0]" xfId="2" builtinId="6"/>
    <cellStyle name="Moneda [0]" xfId="3" builtinId="7"/>
    <cellStyle name="Normal" xfId="0" builtinId="0"/>
    <cellStyle name="Normal 2" xfId="7" xr:uid="{0D0C99EC-3480-44DA-BEED-F41691538862}"/>
    <cellStyle name="Normal 2 2" xfId="10" xr:uid="{1441929F-80E1-456E-AC11-E9CA94B791DC}"/>
    <cellStyle name="Normal 3" xfId="8" xr:uid="{018A02B2-0584-4155-AC13-8FC516F08F26}"/>
    <cellStyle name="Porcentaje" xfId="4" builtinId="5"/>
    <cellStyle name="S11" xfId="6" xr:uid="{A8E59001-96EE-4165-90FE-8A059644BE05}"/>
    <cellStyle name="S6" xfId="5" xr:uid="{8B886666-D914-49F8-8859-34C76E49A8D0}"/>
  </cellStyles>
  <dxfs count="0"/>
  <tableStyles count="0" defaultTableStyle="TableStyleMedium2" defaultPivotStyle="PivotStyleLight16"/>
  <colors>
    <mruColors>
      <color rgb="FFE67D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Valor</a:t>
            </a:r>
            <a:r>
              <a:rPr lang="es-CO" b="1" baseline="0">
                <a:solidFill>
                  <a:sysClr val="windowText" lastClr="000000"/>
                </a:solidFill>
              </a:rPr>
              <a:t> anual de la empresa (fdp)</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barChart>
        <c:barDir val="col"/>
        <c:grouping val="clustered"/>
        <c:varyColors val="0"/>
        <c:ser>
          <c:idx val="1"/>
          <c:order val="0"/>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'VALORACIÓN ALUICA'!$E$193:$J$193</c:f>
              <c:numCache>
                <c:formatCode>0</c:formatCode>
                <c:ptCount val="6"/>
                <c:pt idx="0">
                  <c:v>2022</c:v>
                </c:pt>
                <c:pt idx="1">
                  <c:v>2023</c:v>
                </c:pt>
                <c:pt idx="2">
                  <c:v>2024</c:v>
                </c:pt>
                <c:pt idx="3">
                  <c:v>2025</c:v>
                </c:pt>
                <c:pt idx="4">
                  <c:v>2026</c:v>
                </c:pt>
                <c:pt idx="5">
                  <c:v>2027</c:v>
                </c:pt>
              </c:numCache>
            </c:numRef>
          </c:cat>
          <c:val>
            <c:numRef>
              <c:f>'VALORACIÓN ALUICA'!$E$197:$J$197</c:f>
              <c:numCache>
                <c:formatCode>_-* #,##0_-;\-* #,##0_-;_-* "-"??_-;_-@_-</c:formatCode>
                <c:ptCount val="6"/>
                <c:pt idx="0">
                  <c:v>52507.323358074405</c:v>
                </c:pt>
                <c:pt idx="1">
                  <c:v>62039.026614754068</c:v>
                </c:pt>
                <c:pt idx="2">
                  <c:v>62785.812464761249</c:v>
                </c:pt>
                <c:pt idx="3">
                  <c:v>75348.644441356722</c:v>
                </c:pt>
                <c:pt idx="4">
                  <c:v>84727.631705035223</c:v>
                </c:pt>
                <c:pt idx="5">
                  <c:v>87775.263349184097</c:v>
                </c:pt>
              </c:numCache>
            </c:numRef>
          </c:val>
          <c:extLst>
            <c:ext xmlns:c16="http://schemas.microsoft.com/office/drawing/2014/chart" uri="{C3380CC4-5D6E-409C-BE32-E72D297353CC}">
              <c16:uniqueId val="{00000001-BF1D-4042-8B8E-BE39C1913CD0}"/>
            </c:ext>
          </c:extLst>
        </c:ser>
        <c:dLbls>
          <c:showLegendKey val="0"/>
          <c:showVal val="0"/>
          <c:showCatName val="0"/>
          <c:showSerName val="0"/>
          <c:showPercent val="0"/>
          <c:showBubbleSize val="0"/>
        </c:dLbls>
        <c:gapWidth val="100"/>
        <c:overlap val="-27"/>
        <c:axId val="356385152"/>
        <c:axId val="356397152"/>
      </c:barChart>
      <c:catAx>
        <c:axId val="35638515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356397152"/>
        <c:crosses val="autoZero"/>
        <c:auto val="1"/>
        <c:lblAlgn val="ctr"/>
        <c:lblOffset val="100"/>
        <c:noMultiLvlLbl val="0"/>
      </c:catAx>
      <c:valAx>
        <c:axId val="356397152"/>
        <c:scaling>
          <c:orientation val="minMax"/>
        </c:scaling>
        <c:delete val="1"/>
        <c:axPos val="l"/>
        <c:numFmt formatCode="_-* #,##0_-;\-* #,##0_-;_-* &quot;-&quot;??_-;_-@_-" sourceLinked="1"/>
        <c:majorTickMark val="none"/>
        <c:minorTickMark val="none"/>
        <c:tickLblPos val="nextTo"/>
        <c:crossAx val="35638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Resumen de la Valoración (MM COP)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tockChart>
        <c:ser>
          <c:idx val="0"/>
          <c:order val="0"/>
          <c:tx>
            <c:strRef>
              <c:f>'VALORACIÓN ALUICA'!$D$249</c:f>
              <c:strCache>
                <c:ptCount val="1"/>
                <c:pt idx="0">
                  <c:v>lo (bar)</c:v>
                </c:pt>
              </c:strCache>
            </c:strRef>
          </c:tx>
          <c:spPr>
            <a:ln w="25400" cap="rnd">
              <a:noFill/>
              <a:round/>
            </a:ln>
            <a:effectLst/>
          </c:spPr>
          <c:marker>
            <c:symbol val="none"/>
          </c:marker>
          <c:dLbls>
            <c:delete val="1"/>
          </c:dLbls>
          <c:cat>
            <c:strRef>
              <c:f>'VALORACIÓN ALUICA'!$B$250:$C$253</c:f>
              <c:strCache>
                <c:ptCount val="4"/>
                <c:pt idx="0">
                  <c:v>EV Industria</c:v>
                </c:pt>
                <c:pt idx="1">
                  <c:v>EV Muestra</c:v>
                </c:pt>
                <c:pt idx="2">
                  <c:v>FCL Sensibilidad</c:v>
                </c:pt>
                <c:pt idx="3">
                  <c:v>FCL Caso Base</c:v>
                </c:pt>
              </c:strCache>
            </c:strRef>
          </c:cat>
          <c:val>
            <c:numRef>
              <c:f>'VALORACIÓN ALUICA'!$D$250:$D$253</c:f>
              <c:numCache>
                <c:formatCode>_(* #,##0_);_(* \(#,##0\);_(* "-"??_);_(@_)</c:formatCode>
                <c:ptCount val="4"/>
                <c:pt idx="0">
                  <c:v>77974.534979847755</c:v>
                </c:pt>
                <c:pt idx="1">
                  <c:v>35208.390881048639</c:v>
                </c:pt>
                <c:pt idx="2">
                  <c:v>46175.49031731479</c:v>
                </c:pt>
                <c:pt idx="3">
                  <c:v>52527.872983190908</c:v>
                </c:pt>
              </c:numCache>
            </c:numRef>
          </c:val>
          <c:smooth val="0"/>
          <c:extLst>
            <c:ext xmlns:c16="http://schemas.microsoft.com/office/drawing/2014/chart" uri="{C3380CC4-5D6E-409C-BE32-E72D297353CC}">
              <c16:uniqueId val="{00000000-348D-4FC6-ADDF-DA0D4C39133C}"/>
            </c:ext>
          </c:extLst>
        </c:ser>
        <c:ser>
          <c:idx val="1"/>
          <c:order val="1"/>
          <c:tx>
            <c:strRef>
              <c:f>'VALORACIÓN ALUICA'!$E$249</c:f>
              <c:strCache>
                <c:ptCount val="1"/>
                <c:pt idx="0">
                  <c:v>lo  (label)</c:v>
                </c:pt>
              </c:strCache>
            </c:strRef>
          </c:tx>
          <c:spPr>
            <a:ln w="25400" cap="rnd">
              <a:noFill/>
              <a:round/>
            </a:ln>
            <a:effectLst/>
          </c:spPr>
          <c:marker>
            <c:symbol val="none"/>
          </c:marker>
          <c:dLbls>
            <c:dLbl>
              <c:idx val="0"/>
              <c:layout>
                <c:manualLayout>
                  <c:x val="-3.577498007023748E-2"/>
                  <c:y val="3.47241209602449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8D-4FC6-ADDF-DA0D4C39133C}"/>
                </c:ext>
              </c:extLst>
            </c:dLbl>
            <c:dLbl>
              <c:idx val="1"/>
              <c:layout>
                <c:manualLayout>
                  <c:x val="-3.1799982284655588E-2"/>
                  <c:y val="3.47241209602449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8D-4FC6-ADDF-DA0D4C39133C}"/>
                </c:ext>
              </c:extLst>
            </c:dLbl>
            <c:dLbl>
              <c:idx val="2"/>
              <c:layout>
                <c:manualLayout>
                  <c:x val="-3.0474983022794989E-2"/>
                  <c:y val="3.8582356622494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48D-4FC6-ADDF-DA0D4C39133C}"/>
                </c:ext>
              </c:extLst>
            </c:dLbl>
            <c:dLbl>
              <c:idx val="3"/>
              <c:layout>
                <c:manualLayout>
                  <c:x val="-3.0474983022794892E-2"/>
                  <c:y val="4.62988279469933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48D-4FC6-ADDF-DA0D4C39133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'VALORACIÓN ALUICA'!$B$250:$C$253</c:f>
              <c:strCache>
                <c:ptCount val="4"/>
                <c:pt idx="0">
                  <c:v>EV Industria</c:v>
                </c:pt>
                <c:pt idx="1">
                  <c:v>EV Muestra</c:v>
                </c:pt>
                <c:pt idx="2">
                  <c:v>FCL Sensibilidad</c:v>
                </c:pt>
                <c:pt idx="3">
                  <c:v>FCL Caso Base</c:v>
                </c:pt>
              </c:strCache>
            </c:strRef>
          </c:cat>
          <c:val>
            <c:numRef>
              <c:f>'VALORACIÓN ALUICA'!$E$250:$E$253</c:f>
              <c:numCache>
                <c:formatCode>_(* #,##0_);_(* \(#,##0\);_(* "-"??_);_(@_)</c:formatCode>
                <c:ptCount val="4"/>
                <c:pt idx="0">
                  <c:v>77974.534979847755</c:v>
                </c:pt>
                <c:pt idx="1">
                  <c:v>35208.390881048639</c:v>
                </c:pt>
                <c:pt idx="2">
                  <c:v>46175.49031731479</c:v>
                </c:pt>
                <c:pt idx="3">
                  <c:v>52527.872983190908</c:v>
                </c:pt>
              </c:numCache>
            </c:numRef>
          </c:val>
          <c:smooth val="0"/>
          <c:extLst>
            <c:ext xmlns:c16="http://schemas.microsoft.com/office/drawing/2014/chart" uri="{C3380CC4-5D6E-409C-BE32-E72D297353CC}">
              <c16:uniqueId val="{00000001-348D-4FC6-ADDF-DA0D4C39133C}"/>
            </c:ext>
          </c:extLst>
        </c:ser>
        <c:ser>
          <c:idx val="2"/>
          <c:order val="2"/>
          <c:tx>
            <c:strRef>
              <c:f>'VALORACIÓN ALUICA'!$F$249</c:f>
              <c:strCache>
                <c:ptCount val="1"/>
                <c:pt idx="0">
                  <c:v>hi (bar)</c:v>
                </c:pt>
              </c:strCache>
            </c:strRef>
          </c:tx>
          <c:spPr>
            <a:ln w="25400" cap="rnd">
              <a:noFill/>
              <a:round/>
            </a:ln>
            <a:effectLst/>
          </c:spPr>
          <c:marker>
            <c:symbol val="none"/>
          </c:marker>
          <c:dLbls>
            <c:delete val="1"/>
          </c:dLbls>
          <c:cat>
            <c:strRef>
              <c:f>'VALORACIÓN ALUICA'!$B$250:$C$253</c:f>
              <c:strCache>
                <c:ptCount val="4"/>
                <c:pt idx="0">
                  <c:v>EV Industria</c:v>
                </c:pt>
                <c:pt idx="1">
                  <c:v>EV Muestra</c:v>
                </c:pt>
                <c:pt idx="2">
                  <c:v>FCL Sensibilidad</c:v>
                </c:pt>
                <c:pt idx="3">
                  <c:v>FCL Caso Base</c:v>
                </c:pt>
              </c:strCache>
            </c:strRef>
          </c:cat>
          <c:val>
            <c:numRef>
              <c:f>'VALORACIÓN ALUICA'!$F$250:$F$253</c:f>
              <c:numCache>
                <c:formatCode>_(* #,##0_);_(* \(#,##0\);_(* "-"??_);_(@_)</c:formatCode>
                <c:ptCount val="4"/>
                <c:pt idx="0">
                  <c:v>208761.15074556394</c:v>
                </c:pt>
                <c:pt idx="1">
                  <c:v>103183.89387043263</c:v>
                </c:pt>
                <c:pt idx="2">
                  <c:v>67216.476213297952</c:v>
                </c:pt>
                <c:pt idx="3">
                  <c:v>52527.872983190908</c:v>
                </c:pt>
              </c:numCache>
            </c:numRef>
          </c:val>
          <c:smooth val="0"/>
          <c:extLst>
            <c:ext xmlns:c16="http://schemas.microsoft.com/office/drawing/2014/chart" uri="{C3380CC4-5D6E-409C-BE32-E72D297353CC}">
              <c16:uniqueId val="{00000002-348D-4FC6-ADDF-DA0D4C39133C}"/>
            </c:ext>
          </c:extLst>
        </c:ser>
        <c:ser>
          <c:idx val="3"/>
          <c:order val="3"/>
          <c:tx>
            <c:strRef>
              <c:f>'VALORACIÓN ALUICA'!$G$249</c:f>
              <c:strCache>
                <c:ptCount val="1"/>
                <c:pt idx="0">
                  <c:v>hi (label)</c:v>
                </c:pt>
              </c:strCache>
            </c:strRef>
          </c:tx>
          <c:spPr>
            <a:ln w="25400" cap="rnd">
              <a:noFill/>
              <a:round/>
            </a:ln>
            <a:effectLst/>
          </c:spPr>
          <c:marker>
            <c:symbol val="none"/>
          </c:marker>
          <c:dLbls>
            <c:dLbl>
              <c:idx val="0"/>
              <c:layout>
                <c:manualLayout>
                  <c:x val="-3.7099979332098153E-2"/>
                  <c:y val="-4.62988279469933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8D-4FC6-ADDF-DA0D4C39133C}"/>
                </c:ext>
              </c:extLst>
            </c:dLbl>
            <c:dLbl>
              <c:idx val="1"/>
              <c:layout>
                <c:manualLayout>
                  <c:x val="-3.7099979332098174E-2"/>
                  <c:y val="-3.8582356622494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8D-4FC6-ADDF-DA0D4C39133C}"/>
                </c:ext>
              </c:extLst>
            </c:dLbl>
            <c:dLbl>
              <c:idx val="2"/>
              <c:layout>
                <c:manualLayout>
                  <c:x val="-3.0474983022794989E-2"/>
                  <c:y val="-4.2440592284743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48D-4FC6-ADDF-DA0D4C39133C}"/>
                </c:ext>
              </c:extLst>
            </c:dLbl>
            <c:dLbl>
              <c:idx val="3"/>
              <c:layout>
                <c:manualLayout>
                  <c:x val="-3.0474983022794892E-2"/>
                  <c:y val="-5.0157063609242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8D-4FC6-ADDF-DA0D4C39133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'VALORACIÓN ALUICA'!$B$250:$C$253</c:f>
              <c:strCache>
                <c:ptCount val="4"/>
                <c:pt idx="0">
                  <c:v>EV Industria</c:v>
                </c:pt>
                <c:pt idx="1">
                  <c:v>EV Muestra</c:v>
                </c:pt>
                <c:pt idx="2">
                  <c:v>FCL Sensibilidad</c:v>
                </c:pt>
                <c:pt idx="3">
                  <c:v>FCL Caso Base</c:v>
                </c:pt>
              </c:strCache>
            </c:strRef>
          </c:cat>
          <c:val>
            <c:numRef>
              <c:f>'VALORACIÓN ALUICA'!$G$250:$G$253</c:f>
              <c:numCache>
                <c:formatCode>_(* #,##0_);_(* \(#,##0\);_(* "-"??_);_(@_)</c:formatCode>
                <c:ptCount val="4"/>
                <c:pt idx="0">
                  <c:v>208761.15074556394</c:v>
                </c:pt>
                <c:pt idx="1">
                  <c:v>103183.89387043263</c:v>
                </c:pt>
                <c:pt idx="2">
                  <c:v>67216.476213297952</c:v>
                </c:pt>
                <c:pt idx="3">
                  <c:v>52527.872983190908</c:v>
                </c:pt>
              </c:numCache>
            </c:numRef>
          </c:val>
          <c:smooth val="0"/>
          <c:extLst>
            <c:ext xmlns:c16="http://schemas.microsoft.com/office/drawing/2014/chart" uri="{C3380CC4-5D6E-409C-BE32-E72D297353CC}">
              <c16:uniqueId val="{00000003-348D-4FC6-ADDF-DA0D4C39133C}"/>
            </c:ext>
          </c:extLst>
        </c:ser>
        <c:dLbls>
          <c:showLegendKey val="0"/>
          <c:showVal val="1"/>
          <c:showCatName val="0"/>
          <c:showSerName val="0"/>
          <c:showPercent val="0"/>
          <c:showBubbleSize val="0"/>
        </c:dLbls>
        <c:upDownBars>
          <c:gapWidth val="150"/>
          <c:upBars>
            <c:spPr>
              <a:solidFill>
                <a:schemeClr val="accent6">
                  <a:lumMod val="40000"/>
                  <a:lumOff val="60000"/>
                </a:schemeClr>
              </a:solidFill>
              <a:ln w="9525" cap="flat" cmpd="sng" algn="ctr">
                <a:noFill/>
                <a:round/>
              </a:ln>
              <a:effectLst/>
            </c:spPr>
          </c:upBars>
          <c:downBars>
            <c:spPr>
              <a:solidFill>
                <a:schemeClr val="accent6">
                  <a:lumMod val="40000"/>
                  <a:lumOff val="60000"/>
                </a:schemeClr>
              </a:solidFill>
              <a:ln w="9525" cap="flat" cmpd="sng" algn="ctr">
                <a:solidFill>
                  <a:srgbClr val="E67D14"/>
                </a:solidFill>
                <a:round/>
              </a:ln>
              <a:effectLst/>
            </c:spPr>
          </c:downBars>
        </c:upDownBars>
        <c:axId val="-1388717600"/>
        <c:axId val="-1570092240"/>
      </c:stockChart>
      <c:catAx>
        <c:axId val="-1388717600"/>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CO"/>
          </a:p>
        </c:txPr>
        <c:crossAx val="-1570092240"/>
        <c:crosses val="autoZero"/>
        <c:auto val="1"/>
        <c:lblAlgn val="ctr"/>
        <c:lblOffset val="100"/>
        <c:noMultiLvlLbl val="0"/>
      </c:catAx>
      <c:valAx>
        <c:axId val="-1570092240"/>
        <c:scaling>
          <c:orientation val="minMax"/>
        </c:scaling>
        <c:delete val="0"/>
        <c:axPos val="l"/>
        <c:numFmt formatCode="_(* #,##0_);_(* \(#,##0\);_(* &quot;-&quot;??_);_(@_)"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CO"/>
          </a:p>
        </c:txPr>
        <c:crossAx val="-1388717600"/>
        <c:crosses val="autoZero"/>
        <c:crossBetween val="between"/>
      </c:valAx>
      <c:spPr>
        <a:solidFill>
          <a:schemeClr val="bg1"/>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b="1">
                <a:latin typeface="+mn-lt"/>
              </a:rPr>
              <a:t>Estructura de Capital año</a:t>
            </a:r>
            <a:r>
              <a:rPr lang="es-CO" b="1" baseline="0">
                <a:latin typeface="+mn-lt"/>
              </a:rPr>
              <a:t> 2022</a:t>
            </a:r>
            <a:endParaRPr lang="es-CO" b="1">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1-DEEA-41B7-AE42-1EAFD4BB27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EA-41B7-AE42-1EAFD4BB27FE}"/>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65000"/>
                        <a:lumOff val="3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KPIs!$A$11:$A$12</c:f>
              <c:strCache>
                <c:ptCount val="2"/>
                <c:pt idx="0">
                  <c:v>Pasivos</c:v>
                </c:pt>
                <c:pt idx="1">
                  <c:v>Patrimonio </c:v>
                </c:pt>
              </c:strCache>
            </c:strRef>
          </c:cat>
          <c:val>
            <c:numRef>
              <c:f>KPIs!$B$11:$B$12</c:f>
              <c:numCache>
                <c:formatCode>0%</c:formatCode>
                <c:ptCount val="2"/>
                <c:pt idx="0">
                  <c:v>0.39426495161827135</c:v>
                </c:pt>
                <c:pt idx="1">
                  <c:v>0.60573504838172865</c:v>
                </c:pt>
              </c:numCache>
            </c:numRef>
          </c:val>
          <c:extLst>
            <c:ext xmlns:c16="http://schemas.microsoft.com/office/drawing/2014/chart" uri="{C3380CC4-5D6E-409C-BE32-E72D297353CC}">
              <c16:uniqueId val="{00000004-DEEA-41B7-AE42-1EAFD4BB27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Estructura de Capital</a:t>
            </a:r>
            <a:r>
              <a:rPr lang="es-CO" baseline="0"/>
              <a:t> 2022</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490E-4774-B4F7-C58854189A58}"/>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KPIs!$A$11:$A$12</c:f>
              <c:strCache>
                <c:ptCount val="2"/>
                <c:pt idx="0">
                  <c:v>Pasivos</c:v>
                </c:pt>
                <c:pt idx="1">
                  <c:v>Patrimonio </c:v>
                </c:pt>
              </c:strCache>
            </c:strRef>
          </c:cat>
          <c:val>
            <c:numRef>
              <c:f>KPIs!$B$11:$B$12</c:f>
              <c:numCache>
                <c:formatCode>0%</c:formatCode>
                <c:ptCount val="2"/>
                <c:pt idx="0">
                  <c:v>0.39426495161827135</c:v>
                </c:pt>
                <c:pt idx="1">
                  <c:v>0.60573504838172865</c:v>
                </c:pt>
              </c:numCache>
            </c:numRef>
          </c:val>
          <c:extLst>
            <c:ext xmlns:c16="http://schemas.microsoft.com/office/drawing/2014/chart" uri="{C3380CC4-5D6E-409C-BE32-E72D297353CC}">
              <c16:uniqueId val="{00000000-490E-4774-B4F7-C58854189A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Estructura de Capital</a:t>
            </a:r>
            <a:r>
              <a:rPr lang="es-CO" baseline="0"/>
              <a:t> 2023</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26-486C-9ADE-D31BEFA012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26-486C-9ADE-D31BEFA01250}"/>
              </c:ext>
            </c:extLst>
          </c:dPt>
          <c:cat>
            <c:strRef>
              <c:f>KPIs!$A$11:$A$12</c:f>
              <c:strCache>
                <c:ptCount val="2"/>
                <c:pt idx="0">
                  <c:v>Pasivos</c:v>
                </c:pt>
                <c:pt idx="1">
                  <c:v>Patrimonio </c:v>
                </c:pt>
              </c:strCache>
            </c:strRef>
          </c:cat>
          <c:val>
            <c:numRef>
              <c:f>KPIs!$C$11:$C$12</c:f>
              <c:numCache>
                <c:formatCode>0%</c:formatCode>
                <c:ptCount val="2"/>
                <c:pt idx="0">
                  <c:v>0.33755959418257525</c:v>
                </c:pt>
                <c:pt idx="1">
                  <c:v>0.66244040581742469</c:v>
                </c:pt>
              </c:numCache>
            </c:numRef>
          </c:val>
          <c:extLst>
            <c:ext xmlns:c16="http://schemas.microsoft.com/office/drawing/2014/chart" uri="{C3380CC4-5D6E-409C-BE32-E72D297353CC}">
              <c16:uniqueId val="{00000004-3526-486C-9ADE-D31BEFA0125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438150</xdr:colOff>
      <xdr:row>0</xdr:row>
      <xdr:rowOff>38100</xdr:rowOff>
    </xdr:from>
    <xdr:to>
      <xdr:col>8</xdr:col>
      <xdr:colOff>651328</xdr:colOff>
      <xdr:row>5</xdr:row>
      <xdr:rowOff>101147</xdr:rowOff>
    </xdr:to>
    <xdr:pic>
      <xdr:nvPicPr>
        <xdr:cNvPr id="2" name="Imagen 1" descr="LOGOS ALUICA PEQUEÑO">
          <a:extLst>
            <a:ext uri="{FF2B5EF4-FFF2-40B4-BE49-F238E27FC236}">
              <a16:creationId xmlns:a16="http://schemas.microsoft.com/office/drawing/2014/main" id="{7835292E-039B-4286-9588-F4B5E19A485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38100"/>
          <a:ext cx="1213303" cy="116794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142875</xdr:colOff>
      <xdr:row>0</xdr:row>
      <xdr:rowOff>390525</xdr:rowOff>
    </xdr:from>
    <xdr:to>
      <xdr:col>9</xdr:col>
      <xdr:colOff>204787</xdr:colOff>
      <xdr:row>5</xdr:row>
      <xdr:rowOff>159544</xdr:rowOff>
    </xdr:to>
    <xdr:pic>
      <xdr:nvPicPr>
        <xdr:cNvPr id="2" name="Imagen 1" descr="LOGOS ALUICA PEQUEÑO">
          <a:extLst>
            <a:ext uri="{FF2B5EF4-FFF2-40B4-BE49-F238E27FC236}">
              <a16:creationId xmlns:a16="http://schemas.microsoft.com/office/drawing/2014/main" id="{F91A3891-2D50-4668-B6AF-F55E180FB6D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390525"/>
          <a:ext cx="1381125" cy="1257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25810</xdr:colOff>
      <xdr:row>1</xdr:row>
      <xdr:rowOff>59812</xdr:rowOff>
    </xdr:from>
    <xdr:to>
      <xdr:col>12</xdr:col>
      <xdr:colOff>119260</xdr:colOff>
      <xdr:row>6</xdr:row>
      <xdr:rowOff>24537</xdr:rowOff>
    </xdr:to>
    <xdr:pic>
      <xdr:nvPicPr>
        <xdr:cNvPr id="2" name="Imagen 1" descr="LOGOS ALUICA PEQUEÑO">
          <a:extLst>
            <a:ext uri="{FF2B5EF4-FFF2-40B4-BE49-F238E27FC236}">
              <a16:creationId xmlns:a16="http://schemas.microsoft.com/office/drawing/2014/main" id="{A8EBF25F-0B23-4359-95B1-A9106E6294C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19681" y="231877"/>
          <a:ext cx="1269225" cy="1144595"/>
        </a:xfrm>
        <a:prstGeom prst="rect">
          <a:avLst/>
        </a:prstGeom>
        <a:noFill/>
        <a:ln>
          <a:noFill/>
        </a:ln>
      </xdr:spPr>
    </xdr:pic>
    <xdr:clientData/>
  </xdr:twoCellAnchor>
  <xdr:twoCellAnchor editAs="oneCell">
    <xdr:from>
      <xdr:col>7</xdr:col>
      <xdr:colOff>317500</xdr:colOff>
      <xdr:row>0</xdr:row>
      <xdr:rowOff>44450</xdr:rowOff>
    </xdr:from>
    <xdr:to>
      <xdr:col>8</xdr:col>
      <xdr:colOff>628649</xdr:colOff>
      <xdr:row>6</xdr:row>
      <xdr:rowOff>92075</xdr:rowOff>
    </xdr:to>
    <xdr:pic>
      <xdr:nvPicPr>
        <xdr:cNvPr id="3" name="Imagen 2" descr="Interfaz de usuario gráfica, Aplicación, Word&#10;&#10;Descripción generada automáticamente">
          <a:extLst>
            <a:ext uri="{FF2B5EF4-FFF2-40B4-BE49-F238E27FC236}">
              <a16:creationId xmlns:a16="http://schemas.microsoft.com/office/drawing/2014/main" id="{0B8A6967-330F-4E67-995E-F7D4EFC96604}"/>
            </a:ext>
          </a:extLst>
        </xdr:cNvPr>
        <xdr:cNvPicPr>
          <a:picLocks noChangeAspect="1"/>
        </xdr:cNvPicPr>
      </xdr:nvPicPr>
      <xdr:blipFill rotWithShape="1">
        <a:blip xmlns:r="http://schemas.openxmlformats.org/officeDocument/2006/relationships" r:embed="rId2"/>
        <a:srcRect l="73332" t="35448" r="13098" b="38594"/>
        <a:stretch/>
      </xdr:blipFill>
      <xdr:spPr bwMode="auto">
        <a:xfrm>
          <a:off x="7194550" y="44450"/>
          <a:ext cx="1311275" cy="1409700"/>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381000</xdr:colOff>
      <xdr:row>0</xdr:row>
      <xdr:rowOff>1446609</xdr:rowOff>
    </xdr:from>
    <xdr:to>
      <xdr:col>9</xdr:col>
      <xdr:colOff>635794</xdr:colOff>
      <xdr:row>6</xdr:row>
      <xdr:rowOff>130968</xdr:rowOff>
    </xdr:to>
    <xdr:pic>
      <xdr:nvPicPr>
        <xdr:cNvPr id="2" name="Imagen 1" descr="Interfaz de usuario gráfica, Aplicación, Word&#10;&#10;Descripción generada automáticamente">
          <a:extLst>
            <a:ext uri="{FF2B5EF4-FFF2-40B4-BE49-F238E27FC236}">
              <a16:creationId xmlns:a16="http://schemas.microsoft.com/office/drawing/2014/main" id="{9958F8C4-8338-4A4E-AC3B-1B9E692BF35C}"/>
            </a:ext>
          </a:extLst>
        </xdr:cNvPr>
        <xdr:cNvPicPr>
          <a:picLocks noChangeAspect="1"/>
        </xdr:cNvPicPr>
      </xdr:nvPicPr>
      <xdr:blipFill rotWithShape="1">
        <a:blip xmlns:r="http://schemas.openxmlformats.org/officeDocument/2006/relationships" r:embed="rId1"/>
        <a:srcRect l="73332" t="35448" r="13098" b="38594"/>
        <a:stretch/>
      </xdr:blipFill>
      <xdr:spPr bwMode="auto">
        <a:xfrm>
          <a:off x="7172325" y="1446609"/>
          <a:ext cx="1312069" cy="1418034"/>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413134</xdr:colOff>
      <xdr:row>198</xdr:row>
      <xdr:rowOff>11477</xdr:rowOff>
    </xdr:from>
    <xdr:to>
      <xdr:col>9</xdr:col>
      <xdr:colOff>1365632</xdr:colOff>
      <xdr:row>215</xdr:row>
      <xdr:rowOff>45903</xdr:rowOff>
    </xdr:to>
    <xdr:graphicFrame macro="">
      <xdr:nvGraphicFramePr>
        <xdr:cNvPr id="2" name="Gráfico 1">
          <a:extLst>
            <a:ext uri="{FF2B5EF4-FFF2-40B4-BE49-F238E27FC236}">
              <a16:creationId xmlns:a16="http://schemas.microsoft.com/office/drawing/2014/main" id="{132A9AA5-1AE9-01AF-5DB6-3DC3D4E3D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493463</xdr:colOff>
      <xdr:row>257</xdr:row>
      <xdr:rowOff>0</xdr:rowOff>
    </xdr:from>
    <xdr:to>
      <xdr:col>7</xdr:col>
      <xdr:colOff>805844</xdr:colOff>
      <xdr:row>272</xdr:row>
      <xdr:rowOff>193166</xdr:rowOff>
    </xdr:to>
    <xdr:graphicFrame macro="">
      <xdr:nvGraphicFramePr>
        <xdr:cNvPr id="3" name="Chart 9">
          <a:extLst>
            <a:ext uri="{FF2B5EF4-FFF2-40B4-BE49-F238E27FC236}">
              <a16:creationId xmlns:a16="http://schemas.microsoft.com/office/drawing/2014/main" id="{7E89666A-4E07-40F3-BE76-CFDF958BE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970718</xdr:colOff>
      <xdr:row>264</xdr:row>
      <xdr:rowOff>190691</xdr:rowOff>
    </xdr:from>
    <xdr:to>
      <xdr:col>8</xdr:col>
      <xdr:colOff>29049</xdr:colOff>
      <xdr:row>264</xdr:row>
      <xdr:rowOff>190691</xdr:rowOff>
    </xdr:to>
    <xdr:cxnSp macro="">
      <xdr:nvCxnSpPr>
        <xdr:cNvPr id="4" name="Straight Connector 10">
          <a:extLst>
            <a:ext uri="{FF2B5EF4-FFF2-40B4-BE49-F238E27FC236}">
              <a16:creationId xmlns:a16="http://schemas.microsoft.com/office/drawing/2014/main" id="{84B59130-4038-4287-9944-2D90BD576472}"/>
            </a:ext>
          </a:extLst>
        </xdr:cNvPr>
        <xdr:cNvCxnSpPr/>
      </xdr:nvCxnSpPr>
      <xdr:spPr bwMode="auto">
        <a:xfrm>
          <a:off x="5571293" y="52892516"/>
          <a:ext cx="7697506" cy="0"/>
        </a:xfrm>
        <a:prstGeom prst="line">
          <a:avLst/>
        </a:prstGeom>
        <a:solidFill>
          <a:srgbClr xmlns:mc="http://schemas.openxmlformats.org/markup-compatibility/2006" xmlns:a14="http://schemas.microsoft.com/office/drawing/2010/main" val="FFFFFF" mc:Ignorable="a14" a14:legacySpreadsheetColorIndex="65"/>
        </a:solidFill>
        <a:ln w="15875" cap="flat" cmpd="sng" algn="ctr">
          <a:noFill/>
          <a:prstDash val="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6.xml><?xml version="1.0" encoding="utf-8"?>
<xdr:wsDr xmlns:xdr="http://schemas.openxmlformats.org/drawingml/2006/spreadsheetDrawing" xmlns:a="http://schemas.openxmlformats.org/drawingml/2006/main">
  <xdr:oneCellAnchor>
    <xdr:from>
      <xdr:col>3</xdr:col>
      <xdr:colOff>336518</xdr:colOff>
      <xdr:row>13</xdr:row>
      <xdr:rowOff>119856</xdr:rowOff>
    </xdr:from>
    <xdr:ext cx="2130457" cy="558324"/>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8536A4A2-F8A2-FD8D-3609-9B585FF46F94}"/>
                </a:ext>
              </a:extLst>
            </xdr:cNvPr>
            <xdr:cNvSpPr txBox="1"/>
          </xdr:nvSpPr>
          <xdr:spPr>
            <a:xfrm>
              <a:off x="2279618" y="2459196"/>
              <a:ext cx="2130457" cy="558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2000" i="0">
                  <a:latin typeface="+mn-lt"/>
                </a:rPr>
                <a:t>VC</a:t>
              </a:r>
              <a:r>
                <a:rPr lang="es-CO" sz="2000" i="0" baseline="0">
                  <a:latin typeface="+mn-lt"/>
                </a:rPr>
                <a:t> </a:t>
              </a:r>
              <a14:m>
                <m:oMath xmlns:m="http://schemas.openxmlformats.org/officeDocument/2006/math">
                  <m:r>
                    <a:rPr lang="es-CO" sz="2000" i="1">
                      <a:latin typeface="Cambria Math" panose="02040503050406030204" pitchFamily="18" charset="0"/>
                    </a:rPr>
                    <m:t>=</m:t>
                  </m:r>
                  <m:f>
                    <m:fPr>
                      <m:ctrlPr>
                        <a:rPr lang="es-CO" sz="2000" i="1">
                          <a:latin typeface="Cambria Math" panose="02040503050406030204" pitchFamily="18" charset="0"/>
                        </a:rPr>
                      </m:ctrlPr>
                    </m:fPr>
                    <m:num>
                      <m:sSub>
                        <m:sSubPr>
                          <m:ctrlPr>
                            <a:rPr lang="es-CO" sz="2000" i="1">
                              <a:solidFill>
                                <a:schemeClr val="tx1"/>
                              </a:solidFill>
                              <a:effectLst/>
                              <a:latin typeface="Cambria Math" panose="02040503050406030204" pitchFamily="18" charset="0"/>
                              <a:ea typeface="+mn-ea"/>
                              <a:cs typeface="+mn-cs"/>
                            </a:rPr>
                          </m:ctrlPr>
                        </m:sSubPr>
                        <m:e>
                          <m:r>
                            <a:rPr lang="es-ES" sz="2000" b="0" i="1">
                              <a:solidFill>
                                <a:schemeClr val="tx1"/>
                              </a:solidFill>
                              <a:effectLst/>
                              <a:latin typeface="Cambria Math" panose="02040503050406030204" pitchFamily="18" charset="0"/>
                              <a:ea typeface="+mn-ea"/>
                              <a:cs typeface="+mn-cs"/>
                            </a:rPr>
                            <m:t>𝐹𝐶𝐹</m:t>
                          </m:r>
                        </m:e>
                        <m:sub>
                          <m:r>
                            <a:rPr lang="es-ES" sz="2000" b="0" i="1">
                              <a:solidFill>
                                <a:schemeClr val="tx1"/>
                              </a:solidFill>
                              <a:effectLst/>
                              <a:latin typeface="Cambria Math" panose="02040503050406030204" pitchFamily="18" charset="0"/>
                              <a:ea typeface="+mn-ea"/>
                              <a:cs typeface="+mn-cs"/>
                            </a:rPr>
                            <m:t>2027</m:t>
                          </m:r>
                        </m:sub>
                      </m:sSub>
                      <m:r>
                        <a:rPr lang="es-ES" sz="2000" b="0" i="1">
                          <a:solidFill>
                            <a:schemeClr val="tx1"/>
                          </a:solidFill>
                          <a:effectLst/>
                          <a:latin typeface="Cambria Math" panose="02040503050406030204" pitchFamily="18" charset="0"/>
                          <a:ea typeface="+mn-ea"/>
                          <a:cs typeface="+mn-cs"/>
                        </a:rPr>
                        <m:t>∗(1+</m:t>
                      </m:r>
                      <m:r>
                        <a:rPr lang="es-ES" sz="2000" b="0" i="1">
                          <a:solidFill>
                            <a:schemeClr val="tx1"/>
                          </a:solidFill>
                          <a:effectLst/>
                          <a:latin typeface="Cambria Math" panose="02040503050406030204" pitchFamily="18" charset="0"/>
                          <a:ea typeface="+mn-ea"/>
                          <a:cs typeface="+mn-cs"/>
                        </a:rPr>
                        <m:t>𝑔</m:t>
                      </m:r>
                      <m:r>
                        <a:rPr lang="es-ES" sz="2000" b="0" i="1">
                          <a:solidFill>
                            <a:schemeClr val="tx1"/>
                          </a:solidFill>
                          <a:effectLst/>
                          <a:latin typeface="Cambria Math" panose="02040503050406030204" pitchFamily="18" charset="0"/>
                          <a:ea typeface="+mn-ea"/>
                          <a:cs typeface="+mn-cs"/>
                        </a:rPr>
                        <m:t>)</m:t>
                      </m:r>
                    </m:num>
                    <m:den>
                      <m:r>
                        <a:rPr lang="es-ES" sz="2000" b="0" i="1">
                          <a:latin typeface="Cambria Math" panose="02040503050406030204" pitchFamily="18" charset="0"/>
                        </a:rPr>
                        <m:t>(</m:t>
                      </m:r>
                      <m:r>
                        <a:rPr lang="es-ES" sz="2000" b="0" i="1">
                          <a:latin typeface="Cambria Math" panose="02040503050406030204" pitchFamily="18" charset="0"/>
                        </a:rPr>
                        <m:t>𝑊𝐴𝐶𝐶</m:t>
                      </m:r>
                      <m:r>
                        <a:rPr lang="es-ES" sz="2000" b="0" i="1">
                          <a:latin typeface="Cambria Math" panose="02040503050406030204" pitchFamily="18" charset="0"/>
                        </a:rPr>
                        <m:t> −</m:t>
                      </m:r>
                      <m:r>
                        <a:rPr lang="es-ES" sz="2000" b="0" i="1">
                          <a:latin typeface="Cambria Math" panose="02040503050406030204" pitchFamily="18" charset="0"/>
                        </a:rPr>
                        <m:t>𝑔</m:t>
                      </m:r>
                      <m:r>
                        <a:rPr lang="es-ES" sz="2000" b="0" i="1">
                          <a:latin typeface="Cambria Math" panose="02040503050406030204" pitchFamily="18" charset="0"/>
                        </a:rPr>
                        <m:t>)</m:t>
                      </m:r>
                    </m:den>
                  </m:f>
                </m:oMath>
              </a14:m>
              <a:endParaRPr lang="es-CO" sz="2000"/>
            </a:p>
          </xdr:txBody>
        </xdr:sp>
      </mc:Choice>
      <mc:Fallback>
        <xdr:sp macro="" textlink="">
          <xdr:nvSpPr>
            <xdr:cNvPr id="3" name="CuadroTexto 2">
              <a:extLst>
                <a:ext uri="{FF2B5EF4-FFF2-40B4-BE49-F238E27FC236}">
                  <a16:creationId xmlns:a16="http://schemas.microsoft.com/office/drawing/2014/main" id="{8536A4A2-F8A2-FD8D-3609-9B585FF46F94}"/>
                </a:ext>
              </a:extLst>
            </xdr:cNvPr>
            <xdr:cNvSpPr txBox="1"/>
          </xdr:nvSpPr>
          <xdr:spPr>
            <a:xfrm>
              <a:off x="2279618" y="2459196"/>
              <a:ext cx="2130457" cy="558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2000" i="0">
                  <a:latin typeface="+mn-lt"/>
                </a:rPr>
                <a:t>VC</a:t>
              </a:r>
              <a:r>
                <a:rPr lang="es-CO" sz="2000" i="0" baseline="0">
                  <a:latin typeface="+mn-lt"/>
                </a:rPr>
                <a:t> </a:t>
              </a:r>
              <a:r>
                <a:rPr lang="es-CO" sz="2000" i="0">
                  <a:latin typeface="Cambria Math" panose="02040503050406030204" pitchFamily="18" charset="0"/>
                </a:rPr>
                <a:t>=(</a:t>
              </a:r>
              <a:r>
                <a:rPr lang="es-CO" sz="2000" i="0">
                  <a:solidFill>
                    <a:schemeClr val="tx1"/>
                  </a:solidFill>
                  <a:effectLst/>
                  <a:latin typeface="Cambria Math" panose="02040503050406030204" pitchFamily="18" charset="0"/>
                  <a:ea typeface="+mn-ea"/>
                  <a:cs typeface="+mn-cs"/>
                </a:rPr>
                <a:t>〖</a:t>
              </a:r>
              <a:r>
                <a:rPr lang="es-ES" sz="2000" b="0" i="0">
                  <a:solidFill>
                    <a:schemeClr val="tx1"/>
                  </a:solidFill>
                  <a:effectLst/>
                  <a:latin typeface="Cambria Math" panose="02040503050406030204" pitchFamily="18" charset="0"/>
                  <a:ea typeface="+mn-ea"/>
                  <a:cs typeface="+mn-cs"/>
                </a:rPr>
                <a:t>𝐹𝐶𝐹</a:t>
              </a:r>
              <a:r>
                <a:rPr lang="es-CO" sz="2000" b="0" i="0">
                  <a:solidFill>
                    <a:schemeClr val="tx1"/>
                  </a:solidFill>
                  <a:effectLst/>
                  <a:latin typeface="Cambria Math" panose="02040503050406030204" pitchFamily="18" charset="0"/>
                  <a:ea typeface="+mn-ea"/>
                  <a:cs typeface="+mn-cs"/>
                </a:rPr>
                <a:t>〗_</a:t>
              </a:r>
              <a:r>
                <a:rPr lang="es-ES" sz="2000" b="0" i="0">
                  <a:solidFill>
                    <a:schemeClr val="tx1"/>
                  </a:solidFill>
                  <a:effectLst/>
                  <a:latin typeface="Cambria Math" panose="02040503050406030204" pitchFamily="18" charset="0"/>
                  <a:ea typeface="+mn-ea"/>
                  <a:cs typeface="+mn-cs"/>
                </a:rPr>
                <a:t>2027∗(1+𝑔)</a:t>
              </a:r>
              <a:r>
                <a:rPr lang="es-CO" sz="2000" b="0" i="0">
                  <a:solidFill>
                    <a:schemeClr val="tx1"/>
                  </a:solidFill>
                  <a:effectLst/>
                  <a:latin typeface="Cambria Math" panose="02040503050406030204" pitchFamily="18" charset="0"/>
                  <a:ea typeface="+mn-ea"/>
                  <a:cs typeface="+mn-cs"/>
                </a:rPr>
                <a:t>)/(</a:t>
              </a:r>
              <a:r>
                <a:rPr lang="es-ES" sz="2000" b="0" i="0">
                  <a:latin typeface="Cambria Math" panose="02040503050406030204" pitchFamily="18" charset="0"/>
                </a:rPr>
                <a:t>(𝑊𝐴𝐶𝐶 −𝑔)</a:t>
              </a:r>
              <a:r>
                <a:rPr lang="es-CO" sz="2000" b="0" i="0">
                  <a:latin typeface="Cambria Math" panose="02040503050406030204" pitchFamily="18" charset="0"/>
                </a:rPr>
                <a:t>)</a:t>
              </a:r>
              <a:endParaRPr lang="es-CO" sz="2000"/>
            </a:p>
          </xdr:txBody>
        </xdr:sp>
      </mc:Fallback>
    </mc:AlternateContent>
    <xdr:clientData/>
  </xdr:oneCellAnchor>
  <xdr:oneCellAnchor>
    <xdr:from>
      <xdr:col>11</xdr:col>
      <xdr:colOff>525780</xdr:colOff>
      <xdr:row>20</xdr:row>
      <xdr:rowOff>75247</xdr:rowOff>
    </xdr:from>
    <xdr:ext cx="3662477" cy="380361"/>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92109A5B-E44F-939A-5973-A322ADC183ED}"/>
                </a:ext>
              </a:extLst>
            </xdr:cNvPr>
            <xdr:cNvSpPr txBox="1"/>
          </xdr:nvSpPr>
          <xdr:spPr>
            <a:xfrm>
              <a:off x="7010400" y="3671887"/>
              <a:ext cx="3662477"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𝑊𝐴𝐶𝐶</m:t>
                    </m:r>
                    <m:r>
                      <a:rPr lang="es-ES" sz="1100" b="0" i="1">
                        <a:latin typeface="Cambria Math" panose="02040503050406030204" pitchFamily="18" charset="0"/>
                      </a:rPr>
                      <m:t>=</m:t>
                    </m:r>
                    <m:r>
                      <a:rPr lang="es-ES" sz="1100" b="0" i="1">
                        <a:latin typeface="Cambria Math" panose="02040503050406030204" pitchFamily="18" charset="0"/>
                      </a:rPr>
                      <m:t>𝐾𝑑</m:t>
                    </m:r>
                    <m:r>
                      <a:rPr lang="es-ES" sz="1100" b="0" i="1">
                        <a:latin typeface="Cambria Math" panose="02040503050406030204" pitchFamily="18" charset="0"/>
                      </a:rPr>
                      <m:t> ∗</m:t>
                    </m:r>
                    <m:d>
                      <m:dPr>
                        <m:ctrlPr>
                          <a:rPr lang="es-ES" sz="1100" b="0" i="1">
                            <a:latin typeface="Cambria Math" panose="02040503050406030204" pitchFamily="18" charset="0"/>
                          </a:rPr>
                        </m:ctrlPr>
                      </m:dPr>
                      <m:e>
                        <m:f>
                          <m:fPr>
                            <m:ctrlPr>
                              <a:rPr lang="es-ES" sz="1100" b="0" i="1">
                                <a:latin typeface="Cambria Math" panose="02040503050406030204" pitchFamily="18" charset="0"/>
                              </a:rPr>
                            </m:ctrlPr>
                          </m:fPr>
                          <m:num>
                            <m:r>
                              <a:rPr lang="es-ES" sz="1100" b="0" i="1">
                                <a:latin typeface="Cambria Math" panose="02040503050406030204" pitchFamily="18" charset="0"/>
                              </a:rPr>
                              <m:t>𝐷</m:t>
                            </m:r>
                          </m:num>
                          <m:den>
                            <m:r>
                              <a:rPr lang="es-ES" sz="1100" b="0" i="1">
                                <a:latin typeface="Cambria Math" panose="02040503050406030204" pitchFamily="18" charset="0"/>
                              </a:rPr>
                              <m:t>𝐷</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den>
                        </m:f>
                      </m:e>
                    </m:d>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𝑡</m:t>
                        </m:r>
                      </m:e>
                    </m:d>
                    <m:r>
                      <a:rPr lang="es-ES" sz="1100" b="0" i="1">
                        <a:latin typeface="Cambria Math" panose="02040503050406030204" pitchFamily="18" charset="0"/>
                      </a:rPr>
                      <m:t>+</m:t>
                    </m:r>
                    <m:r>
                      <a:rPr lang="es-ES" sz="1100" b="0" i="1">
                        <a:latin typeface="Cambria Math" panose="02040503050406030204" pitchFamily="18" charset="0"/>
                      </a:rPr>
                      <m:t>𝐾𝑒</m:t>
                    </m:r>
                    <m:d>
                      <m:dPr>
                        <m:ctrlPr>
                          <a:rPr lang="es-ES" sz="1100" b="0" i="1">
                            <a:latin typeface="Cambria Math" panose="02040503050406030204" pitchFamily="18" charset="0"/>
                          </a:rPr>
                        </m:ctrlPr>
                      </m:dPr>
                      <m:e>
                        <m:f>
                          <m:fPr>
                            <m:ctrlPr>
                              <a:rPr lang="es-ES" sz="1100" b="0" i="1">
                                <a:latin typeface="Cambria Math" panose="02040503050406030204" pitchFamily="18" charset="0"/>
                              </a:rPr>
                            </m:ctrlPr>
                          </m:fPr>
                          <m:num>
                            <m:r>
                              <a:rPr lang="es-ES" sz="1100" b="0" i="1">
                                <a:latin typeface="Cambria Math" panose="02040503050406030204" pitchFamily="18" charset="0"/>
                              </a:rPr>
                              <m:t>𝐸</m:t>
                            </m:r>
                          </m:num>
                          <m:den>
                            <m:r>
                              <a:rPr lang="es-ES" sz="1100" b="0" i="1">
                                <a:latin typeface="Cambria Math" panose="02040503050406030204" pitchFamily="18" charset="0"/>
                              </a:rPr>
                              <m:t>𝐷</m:t>
                            </m:r>
                            <m:r>
                              <a:rPr lang="es-ES" sz="1100" b="0" i="1">
                                <a:latin typeface="Cambria Math" panose="02040503050406030204" pitchFamily="18" charset="0"/>
                              </a:rPr>
                              <m:t>+</m:t>
                            </m:r>
                            <m:r>
                              <a:rPr lang="es-ES" sz="1100" b="0" i="1">
                                <a:latin typeface="Cambria Math" panose="02040503050406030204" pitchFamily="18" charset="0"/>
                              </a:rPr>
                              <m:t>𝐸</m:t>
                            </m:r>
                          </m:den>
                        </m:f>
                      </m:e>
                    </m:d>
                    <m:r>
                      <a:rPr lang="es-ES" sz="1100" b="0" i="1">
                        <a:latin typeface="Cambria Math" panose="02040503050406030204" pitchFamily="18" charset="0"/>
                      </a:rPr>
                      <m:t>=</m:t>
                    </m:r>
                    <m:r>
                      <a:rPr lang="es-ES" sz="1100" b="1" i="1">
                        <a:latin typeface="Cambria Math" panose="02040503050406030204" pitchFamily="18" charset="0"/>
                      </a:rPr>
                      <m:t>𝟏𝟖</m:t>
                    </m:r>
                    <m:r>
                      <a:rPr lang="es-ES" sz="1100" b="1" i="1">
                        <a:latin typeface="Cambria Math" panose="02040503050406030204" pitchFamily="18" charset="0"/>
                      </a:rPr>
                      <m:t>,</m:t>
                    </m:r>
                    <m:r>
                      <a:rPr lang="es-ES" sz="1100" b="1" i="1">
                        <a:latin typeface="Cambria Math" panose="02040503050406030204" pitchFamily="18" charset="0"/>
                      </a:rPr>
                      <m:t>𝟏𝟓</m:t>
                    </m:r>
                    <m:r>
                      <a:rPr lang="es-ES" sz="1100" b="1" i="1">
                        <a:latin typeface="Cambria Math" panose="02040503050406030204" pitchFamily="18" charset="0"/>
                      </a:rPr>
                      <m:t>%</m:t>
                    </m:r>
                  </m:oMath>
                </m:oMathPara>
              </a14:m>
              <a:endParaRPr lang="es-CO" sz="1100" b="1"/>
            </a:p>
          </xdr:txBody>
        </xdr:sp>
      </mc:Choice>
      <mc:Fallback>
        <xdr:sp macro="" textlink="">
          <xdr:nvSpPr>
            <xdr:cNvPr id="4" name="CuadroTexto 3">
              <a:extLst>
                <a:ext uri="{FF2B5EF4-FFF2-40B4-BE49-F238E27FC236}">
                  <a16:creationId xmlns:a16="http://schemas.microsoft.com/office/drawing/2014/main" id="{92109A5B-E44F-939A-5973-A322ADC183ED}"/>
                </a:ext>
              </a:extLst>
            </xdr:cNvPr>
            <xdr:cNvSpPr txBox="1"/>
          </xdr:nvSpPr>
          <xdr:spPr>
            <a:xfrm>
              <a:off x="7010400" y="3671887"/>
              <a:ext cx="3662477"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𝑊𝐴𝐶𝐶=𝐾𝑑 ∗(𝐷/(𝐷+𝐸)))∗(1−𝑡)+𝐾𝑒(𝐸/(𝐷+𝐸))=</a:t>
              </a:r>
              <a:r>
                <a:rPr lang="es-ES" sz="1100" b="1" i="0">
                  <a:latin typeface="Cambria Math" panose="02040503050406030204" pitchFamily="18" charset="0"/>
                </a:rPr>
                <a:t>𝟏𝟖,𝟏𝟓%</a:t>
              </a:r>
              <a:endParaRPr lang="es-CO" sz="1100" b="1"/>
            </a:p>
          </xdr:txBody>
        </xdr:sp>
      </mc:Fallback>
    </mc:AlternateContent>
    <xdr:clientData/>
  </xdr:oneCellAnchor>
  <xdr:twoCellAnchor>
    <xdr:from>
      <xdr:col>1</xdr:col>
      <xdr:colOff>0</xdr:colOff>
      <xdr:row>20</xdr:row>
      <xdr:rowOff>0</xdr:rowOff>
    </xdr:from>
    <xdr:to>
      <xdr:col>4</xdr:col>
      <xdr:colOff>289560</xdr:colOff>
      <xdr:row>37</xdr:row>
      <xdr:rowOff>45720</xdr:rowOff>
    </xdr:to>
    <xdr:graphicFrame macro="">
      <xdr:nvGraphicFramePr>
        <xdr:cNvPr id="2" name="Gráfico 1">
          <a:extLst>
            <a:ext uri="{FF2B5EF4-FFF2-40B4-BE49-F238E27FC236}">
              <a16:creationId xmlns:a16="http://schemas.microsoft.com/office/drawing/2014/main" id="{6DA40EE4-D397-4671-BA12-B884776F4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2</xdr:row>
      <xdr:rowOff>3810</xdr:rowOff>
    </xdr:from>
    <xdr:to>
      <xdr:col>10</xdr:col>
      <xdr:colOff>137160</xdr:colOff>
      <xdr:row>17</xdr:row>
      <xdr:rowOff>118110</xdr:rowOff>
    </xdr:to>
    <xdr:graphicFrame macro="">
      <xdr:nvGraphicFramePr>
        <xdr:cNvPr id="2" name="Gráfico 1">
          <a:extLst>
            <a:ext uri="{FF2B5EF4-FFF2-40B4-BE49-F238E27FC236}">
              <a16:creationId xmlns:a16="http://schemas.microsoft.com/office/drawing/2014/main" id="{9938F823-139C-EA5F-925E-CD623DA66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18</xdr:row>
      <xdr:rowOff>15240</xdr:rowOff>
    </xdr:from>
    <xdr:to>
      <xdr:col>10</xdr:col>
      <xdr:colOff>144780</xdr:colOff>
      <xdr:row>33</xdr:row>
      <xdr:rowOff>129540</xdr:rowOff>
    </xdr:to>
    <xdr:graphicFrame macro="">
      <xdr:nvGraphicFramePr>
        <xdr:cNvPr id="4" name="Gráfico 3">
          <a:extLst>
            <a:ext uri="{FF2B5EF4-FFF2-40B4-BE49-F238E27FC236}">
              <a16:creationId xmlns:a16="http://schemas.microsoft.com/office/drawing/2014/main" id="{DAEE05FB-7000-45C5-B7D4-5C54F7CCD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barriga.AYA.001\Desktop\AGFA\ACEROS\IMPUESTOS\impuestos%202011\DPG-Formulario_IVA%206%20bim%202011%20-%20copi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99.63.63\publico%20maria%20eugenia\JOHANNA\RENTA%20SALUDCOOP%202007\Documents%20and%20Settings\nlozano\Local%20Settings\Temporary%20Internet%20Files\OLK19\ANEXOC%202003%20PARA%20SOCIEDADES.xls" TargetMode="External"/></Relationships>
</file>

<file path=xl/externalLinks/_rels/externalLink11.xml.rels><?xml version="1.0" encoding="UTF-8" standalone="yes"?>
<Relationships xmlns="http://schemas.openxmlformats.org/package/2006/relationships"><Relationship Id="rId2" Type="http://schemas.microsoft.com/office/2019/04/relationships/externalLinkLongPath" Target="file:///\\10.99.63.63\publico%20maria%20eugenia\JOHANNA\RENTA%20SALUDCOOP%202007\Documents%20and%20Settings\cgilpaez\My%20Documents\Julian%20Gil\My%20Documents\Julian%20Gil\2004\Clientes\Ondeo%20Nalco\Renta%202003\Anexo%20C\ANEXOC%202003%20PARA%20SOCIEDADES.xls?6F2DB6D8" TargetMode="External"/><Relationship Id="rId1" Type="http://schemas.openxmlformats.org/officeDocument/2006/relationships/externalLinkPath" Target="file:///\\6F2DB6D8\ANEXOC%202003%20PARA%20SOCIEDADE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arioso\PUBLICO\2Archivos%20Gyna%20Mateus\Formatos%20y%20otros%202004\formulari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99.63.63\johanna%20smith\JOHANNA\RENTA%20SALUDCOOP%202007\Documents%20and%20Settings\cgilpaez\My%20Documents\Julian%20Gil\My%20Documents\Julian%20Gil\2004\Clientes\Ondeo%20Nalco\Renta%202003\Anexo%20C\ANEXOC%202003%20PARA%20SOCIEDAD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99.62.114\rentas%20empresas%20saludcoop%202007\Documents%20and%20Settings\eosanchezs\Mis%20documentos\Mis%20archivos%20recibidos\ICONTEC\ICONTEC%20DECLARACION%20RENTA%20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ocuments%20and%20Settings\contabilidad\Escritorio\2008\Contabilidad\CEA\IVA\IVA%206%20BIMESTRE\Formulario-300-IVA-con-anexos-2008%20CEA%206Bi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99.63.85\publico%20hdo\Documents%20and%20Settings\slgonzalezc\Mis%20documentos\CONCILIACION%20MEGABANCO%20EPSICLINICAS\Nueva%20carpeta\otra%20vez%20conciliacion%20de%20diciembre%20megabanco%20epsiclinica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DOCUME~1\GERENC~1\CONFIG~1\Temp\PLANTA-9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ocuments%20and%20Settings\garodriguezma\Escritorio\COSTO\PROVICION%202012.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X:\DIRECCION%20ADMINISTRATIVA\Claritza%20Barriga\INFORMACION%20ANUAL\ALUICA%202021\E.F%202021\EstadoSituacionFinanciera_NIIF%20%202021%20-%202020.xlsx" TargetMode="External"/><Relationship Id="rId1" Type="http://schemas.openxmlformats.org/officeDocument/2006/relationships/externalLinkPath" Target="file:///X:\DIRECCION%20ADMINISTRATIVA\Claritza%20Barriga\INFORMACION%20ANUAL\ALUICA%202021\E.F%202021\EstadoSituacionFinanciera_NIIF%20%202021%20-%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9.63.46\publico%20informes\ARCHIVOS%20TRABAJO%20FEB%202009\OTROS\INFORME%20FINANCIERO%20BIOIMAGEN%20ENERO%202009.xls"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X:\DIRECCION%20ADMINISTRATIVA\Claritza%20Barriga\INFORMACION%20ANUAL\INFORMES%20A&#209;O%202022\INFORMES%20A&#209;O%20%202022\E.F%202022\EstadoSituacionFinanciera_NIIF%20%202022%20-%202021.xlsx" TargetMode="External"/><Relationship Id="rId1" Type="http://schemas.openxmlformats.org/officeDocument/2006/relationships/externalLinkPath" Target="file:///X:\DIRECCION%20ADMINISTRATIVA\Claritza%20Barriga\INFORMACION%20ANUAL\INFORMES%20A&#209;O%202022\INFORMES%20A&#209;O%20%202022\E.F%202022\EstadoSituacionFinanciera_NIIF%20%202022%20-%202021.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C:\Users\user\Downloads\Aluica%20Escenarios.xlsx" TargetMode="External"/><Relationship Id="rId1" Type="http://schemas.openxmlformats.org/officeDocument/2006/relationships/externalLinkPath" Target="Aluica%20Escenari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actualicese.com/conferencias/declaracion%202005%20personas%20naturales/Formulario%20110%20obligados%20a%20llevar%20contabilida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mpuestos2\publico\Documents%20and%20Settings\pedrazj\Desktop\PROGRAMA_DECLARACION_SOCIEDADES_200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redy_marin\c\jhon\WINDOWS\Archivos%20temporales%20de%20Internet\Content.IE5\GPA10DM3\PYG06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laudia\POWER\BACKUP\UAN\clara\cbr\ARCECANO\EST%20FINANC.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99.63.63\publico%20maria%20eugenia\JOHANNA\RENTA%20SALUDCOOP%202007\datos\FAUSTO\Otros%20Temas%20Tributarios\Provision_renta_2005_Pepsi_definitiv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99.62.114\rentas%20empresas%20saludcoop%202007\Documents%20and%20Settings\Iris_Andrade\Configuraci&#243;n%20local\Archivos%20temporales%20de%20Internet\Content.IE5\2LYB0DE3\PLANTA-9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99.62.114\rentas%20empresas%20saludcoop%202007\data\Excel%20bvc\Planta\PLANTA-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rio"/>
      <sheetName val="Anexos"/>
      <sheetName val="IND Y CIO"/>
      <sheetName val="Hoja1"/>
      <sheetName val="RESUMEN AÑO 2011"/>
      <sheetName val="RESUMEN AÑO 2011 corregida"/>
      <sheetName val="RESUMEN AÑO 2011 para ica"/>
    </sheetNames>
    <sheetDataSet>
      <sheetData sheetId="0">
        <row r="51">
          <cell r="U51">
            <v>0</v>
          </cell>
        </row>
        <row r="59">
          <cell r="U59">
            <v>0</v>
          </cell>
        </row>
      </sheetData>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lasificaciones Contables"/>
      <sheetName val="Reclasificaciones Fiscales"/>
      <sheetName val="TMP"/>
      <sheetName val="Configuracion"/>
      <sheetName val="Informes"/>
      <sheetName val="Aviso"/>
      <sheetName val="Datos de entrada"/>
      <sheetName val="Validación"/>
      <sheetName val="Sumaria de analisis"/>
      <sheetName val="Calculo cuotas"/>
      <sheetName val="Calculo limite - Opcion 1 y 2"/>
      <sheetName val="Conc. Patrimonial"/>
      <sheetName val="Conc. Renta"/>
      <sheetName val="Desc. Trib."/>
      <sheetName val="Renta Presuntiva"/>
      <sheetName val="Perdidas fiscales y exces"/>
      <sheetName val="Anticipo Año Sig."/>
      <sheetName val="Calculo global aportes paraf"/>
      <sheetName val="13-7"/>
      <sheetName val="Ajustes inflación patri liqui"/>
      <sheetName val="Borrador formulario oficial"/>
      <sheetName val="Altas 2004"/>
      <sheetName val="Corrección monetaria"/>
      <sheetName val="Reajustes fiscales"/>
      <sheetName val="Reducción saldos"/>
      <sheetName val="Provisión renta 2004"/>
      <sheetName val="PYG sin conceptos"/>
      <sheetName val="PYG con conceptos"/>
      <sheetName val="ICA"/>
      <sheetName val="PAAG-2004"/>
      <sheetName val="Altas 2005"/>
    </sheetNames>
    <sheetDataSet>
      <sheetData sheetId="0" refreshError="1"/>
      <sheetData sheetId="1" refreshError="1"/>
      <sheetData sheetId="2" refreshError="1"/>
      <sheetData sheetId="3" refreshError="1"/>
      <sheetData sheetId="4" refreshError="1"/>
      <sheetData sheetId="5" refreshError="1"/>
      <sheetData sheetId="6" refreshError="1">
        <row r="19">
          <cell r="Q19" t="str">
            <v>NO</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70">
          <cell r="J70">
            <v>2637061703.1317291</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lasificaciones contables"/>
      <sheetName val="Reclasificaciones Fiscales"/>
      <sheetName val="TMP"/>
      <sheetName val="Configuracion"/>
      <sheetName val="Informes"/>
      <sheetName val="Aviso"/>
      <sheetName val="Datos de entrada"/>
      <sheetName val="Validación"/>
      <sheetName val="Sumaria de analisis"/>
      <sheetName val="Calculo cuotas"/>
      <sheetName val="Calculo limite - Opcion 1 y 2"/>
      <sheetName val="Conc. Patrimonial"/>
      <sheetName val="Conc. Renta"/>
      <sheetName val="Desc. Trib."/>
      <sheetName val="Renta Presuntiva"/>
      <sheetName val="Perdidas fiscales y exces"/>
      <sheetName val="Anticipo Año Sig."/>
      <sheetName val="Calculo global aportes paraf"/>
      <sheetName val="13-7"/>
      <sheetName val="Ajustes inflación patri liqui"/>
      <sheetName val="Borrador formulario ofic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NTA"/>
      <sheetName val="IVA"/>
      <sheetName val="RETENCION"/>
      <sheetName val="LIQUIDACION"/>
    </sheetNames>
    <sheetDataSet>
      <sheetData sheetId="0"/>
      <sheetData sheetId="1"/>
      <sheetData sheetId="2"/>
      <sheetData sheetId="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lasificaciones contables"/>
      <sheetName val="Reclasificaciones Fiscales"/>
      <sheetName val="TMP"/>
      <sheetName val="Configuracion"/>
      <sheetName val="Informes"/>
      <sheetName val="Aviso"/>
      <sheetName val="Datos de entrada"/>
      <sheetName val="Validación"/>
      <sheetName val="Sumaria de analisis"/>
      <sheetName val="Calculo cuotas"/>
      <sheetName val="Calculo limite - Opcion 1 y 2"/>
      <sheetName val="Conc. Patrimonial"/>
      <sheetName val="Conc. Renta"/>
      <sheetName val="Desc. Trib."/>
      <sheetName val="Renta Presuntiva"/>
      <sheetName val="Perdidas fiscales y exces"/>
      <sheetName val="Anticipo Año Sig."/>
      <sheetName val="Calculo global aportes paraf"/>
      <sheetName val="13-7"/>
      <sheetName val="Ajustes inflación patri liqui"/>
      <sheetName val="Borrador formulario ofic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GENERALES"/>
      <sheetName val="FORMULARIO"/>
      <sheetName val="ACTIVO"/>
      <sheetName val="nivel de detalle 6"/>
      <sheetName val="PASIVOS"/>
      <sheetName val="INGRESOS"/>
      <sheetName val="DEDUCCIONES"/>
      <sheetName val="COSTOS"/>
      <sheetName val="OTROS COSTOS"/>
      <sheetName val="DEMAS  RENGLONES"/>
      <sheetName val="BALANCE"/>
      <sheetName val="RENTA PRESUNTIVA"/>
      <sheetName val="CONCILIACION GENERAL DE RENTA"/>
      <sheetName val="CONCILIACION PATRIMONIO"/>
      <sheetName val="RTA COMPARACION PATRIM"/>
      <sheetName val="GASTOS NOMINA"/>
      <sheetName val="IMPUESTOS PAGADOS"/>
      <sheetName val="PROVISIONES CARTERA"/>
      <sheetName val="ANTICIPO AÑO 2007"/>
      <sheetName val="CORRECION MONETARIA A DECLARAR"/>
      <sheetName val="AXI PATRIMONIO"/>
      <sheetName val="GASTOS EN EL EXTERIOR"/>
      <sheetName val="RETENCIONES Y AUTORETENCIONES"/>
      <sheetName val="SALDO A PAGAR O A FAVOR"/>
      <sheetName val="CONCILIACION INGRESOS"/>
      <sheetName val="BENEFICIO AUDITORIA"/>
      <sheetName val="INTERES PRESUNTIVO"/>
      <sheetName val="RENTAS EXENTAS"/>
      <sheetName val="APORTES PARAFISCALES"/>
      <sheetName val="AJUSTES FISCALES"/>
      <sheetName val="ICA PROVISIONADO"/>
      <sheetName val="AXI ACTIVOS FIJOS Y DEPRECIACIO"/>
      <sheetName val="ANEXO ACTIVOS REALES PRODUCTIVO"/>
      <sheetName val="Hoja5"/>
      <sheetName val="Hoja4"/>
      <sheetName val="Hoja3"/>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rio"/>
      <sheetName val="Anexos"/>
      <sheetName val="BALAN. IVA"/>
      <sheetName val="Ingresos"/>
      <sheetName val="LIBRO AUX."/>
      <sheetName val="BALAN. INGR"/>
      <sheetName val="planil. Iva"/>
      <sheetName val="Planilla Compras"/>
      <sheetName val="L. Compra (2)"/>
      <sheetName val="1355"/>
      <sheetName val="135517"/>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uce diciembre sandra"/>
      <sheetName val="ultimo auxiliar 3"/>
      <sheetName val="ultimo auxiliar 2"/>
      <sheetName val="CONCILIACION DIC SANDRA (3)"/>
      <sheetName val="ultimo auxiliar 1"/>
      <sheetName val="CONCILIACION DIC SANDRA (2)"/>
      <sheetName val="auxiliar dic "/>
      <sheetName val="extract dic"/>
      <sheetName val="RELACION DE CHEQUES"/>
      <sheetName val="CONCILIACION DIC SANDRA"/>
      <sheetName val="conciliacion noviembr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98"/>
      <sheetName val="abr-24-98"/>
      <sheetName val="MAY-98"/>
      <sheetName val="JUN-98"/>
      <sheetName val="JUL-15-98"/>
      <sheetName val="JUL-30-98 "/>
      <sheetName val="ago-24"/>
      <sheetName val="sep-16"/>
      <sheetName val="sep-30"/>
      <sheetName val="oct-15"/>
      <sheetName val="oct-31"/>
      <sheetName val="NOV-17"/>
      <sheetName val="NOV-17 (2)"/>
      <sheetName val="Inver-sep"/>
      <sheetName val="Hoja1"/>
      <sheetName val="DIC-23"/>
      <sheetName val="DIC-31"/>
      <sheetName val="RESUMEN"/>
      <sheetName val="DIC-31 (2)"/>
      <sheetName val="Hoja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A2">
            <v>1101</v>
          </cell>
          <cell r="B2" t="str">
            <v>CONSEJO DIRECTIVO</v>
          </cell>
        </row>
        <row r="3">
          <cell r="A3">
            <v>1201</v>
          </cell>
          <cell r="B3" t="str">
            <v>PRESIDENCIA</v>
          </cell>
        </row>
        <row r="4">
          <cell r="A4">
            <v>1202</v>
          </cell>
          <cell r="B4" t="str">
            <v>AUDITORIA INTERNA</v>
          </cell>
        </row>
        <row r="5">
          <cell r="A5">
            <v>1300</v>
          </cell>
          <cell r="B5" t="str">
            <v>VICEPRESIDENCIA DE NEGOCIOS</v>
          </cell>
        </row>
        <row r="6">
          <cell r="A6">
            <v>130101</v>
          </cell>
          <cell r="B6" t="str">
            <v>GERENCIA DE OPERACIONES</v>
          </cell>
        </row>
        <row r="7">
          <cell r="A7">
            <v>130102</v>
          </cell>
          <cell r="B7" t="str">
            <v>CUMPLIMIENTO Y TRASPASOS</v>
          </cell>
        </row>
        <row r="8">
          <cell r="A8">
            <v>130103</v>
          </cell>
          <cell r="B8" t="str">
            <v>OFICIAL DE GARANTIAS</v>
          </cell>
        </row>
        <row r="9">
          <cell r="A9">
            <v>130104</v>
          </cell>
          <cell r="B9" t="str">
            <v>OFICIAL DE COMPENSACION</v>
          </cell>
        </row>
        <row r="10">
          <cell r="A10">
            <v>130105</v>
          </cell>
          <cell r="B10" t="str">
            <v>C.A.C. Y RUEDA DE NEGOCIACION</v>
          </cell>
        </row>
        <row r="11">
          <cell r="A11">
            <v>130106</v>
          </cell>
          <cell r="B11" t="str">
            <v>OFICINA MEDELLIN</v>
          </cell>
        </row>
        <row r="12">
          <cell r="A12">
            <v>130107</v>
          </cell>
          <cell r="B12" t="str">
            <v>OFICINA NORTE</v>
          </cell>
        </row>
        <row r="13">
          <cell r="A13">
            <v>130201</v>
          </cell>
          <cell r="B13" t="str">
            <v>RELACIONES EXTERNAS</v>
          </cell>
        </row>
        <row r="14">
          <cell r="A14">
            <v>130202</v>
          </cell>
          <cell r="B14" t="str">
            <v>BIBLIOTECA</v>
          </cell>
        </row>
        <row r="15">
          <cell r="A15">
            <v>130301</v>
          </cell>
          <cell r="B15" t="str">
            <v>GERENCIA TECNICA</v>
          </cell>
        </row>
        <row r="16">
          <cell r="A16">
            <v>130302</v>
          </cell>
          <cell r="B16" t="str">
            <v>ANALISIS ECONOMICO</v>
          </cell>
        </row>
        <row r="17">
          <cell r="A17">
            <v>130303</v>
          </cell>
          <cell r="B17" t="str">
            <v>DESARROLO Y ANALISIS DE PRODUCTOS</v>
          </cell>
        </row>
        <row r="18">
          <cell r="A18">
            <v>130304</v>
          </cell>
          <cell r="B18" t="str">
            <v>INFORMACION</v>
          </cell>
        </row>
        <row r="19">
          <cell r="A19">
            <v>130401</v>
          </cell>
          <cell r="B19" t="str">
            <v>GERENCIA DESARROLLO DEL MERCADO</v>
          </cell>
        </row>
        <row r="20">
          <cell r="A20" t="str">
            <v>140000</v>
          </cell>
          <cell r="B20" t="str">
            <v>VICEP FINANCIERA Y ADMINISTRATIVA</v>
          </cell>
        </row>
        <row r="21">
          <cell r="A21">
            <v>140101</v>
          </cell>
          <cell r="B21" t="str">
            <v>DIRECCION DE SISTEMAS</v>
          </cell>
        </row>
        <row r="22">
          <cell r="A22">
            <v>140102</v>
          </cell>
          <cell r="B22" t="str">
            <v>SISTEMAS</v>
          </cell>
        </row>
        <row r="23">
          <cell r="A23">
            <v>140103</v>
          </cell>
          <cell r="B23" t="str">
            <v>COORDINACION DESARROLLO</v>
          </cell>
        </row>
        <row r="24">
          <cell r="A24">
            <v>140201</v>
          </cell>
          <cell r="B24" t="str">
            <v>DIRECCION COMERCIAL</v>
          </cell>
        </row>
        <row r="25">
          <cell r="A25">
            <v>140202</v>
          </cell>
          <cell r="B25" t="str">
            <v>COORDINADORA COMERCIAL</v>
          </cell>
        </row>
        <row r="26">
          <cell r="A26">
            <v>140203</v>
          </cell>
          <cell r="B26" t="str">
            <v>ASISTENTE COMERCIAL</v>
          </cell>
        </row>
        <row r="27">
          <cell r="A27">
            <v>140301</v>
          </cell>
          <cell r="B27" t="str">
            <v>DIVISION DE CONTABILIDAD</v>
          </cell>
        </row>
        <row r="28">
          <cell r="A28">
            <v>140302</v>
          </cell>
          <cell r="B28" t="str">
            <v>DIVISION PRESUPUESTO Y TESORERIA</v>
          </cell>
        </row>
        <row r="29">
          <cell r="A29">
            <v>140401</v>
          </cell>
          <cell r="B29" t="str">
            <v>DIRECCION SERVICIOS ADMINISTRATIVOS</v>
          </cell>
        </row>
        <row r="30">
          <cell r="A30">
            <v>140402</v>
          </cell>
          <cell r="B30" t="str">
            <v>CORRESPONDENCIA</v>
          </cell>
        </row>
        <row r="31">
          <cell r="A31">
            <v>140403</v>
          </cell>
          <cell r="B31" t="str">
            <v>PUBLICACIONES</v>
          </cell>
        </row>
        <row r="32">
          <cell r="A32">
            <v>140404</v>
          </cell>
          <cell r="B32" t="str">
            <v>ARCHIVO Y ALMACEN</v>
          </cell>
        </row>
        <row r="33">
          <cell r="A33">
            <v>140405</v>
          </cell>
          <cell r="B33" t="str">
            <v>MANTENIMIENTO</v>
          </cell>
        </row>
        <row r="34">
          <cell r="A34">
            <v>140406</v>
          </cell>
          <cell r="B34" t="str">
            <v>ASEO Y CAFETERIA</v>
          </cell>
        </row>
        <row r="35">
          <cell r="A35">
            <v>140407</v>
          </cell>
          <cell r="B35" t="str">
            <v>CONMUTADOR</v>
          </cell>
        </row>
        <row r="36">
          <cell r="A36">
            <v>140501</v>
          </cell>
          <cell r="B36" t="str">
            <v>DIRECCION DE RECURSOS HUMANOS</v>
          </cell>
        </row>
        <row r="37">
          <cell r="A37">
            <v>140502</v>
          </cell>
          <cell r="B37" t="str">
            <v>COORDINACION DESARROLLO HUMANO</v>
          </cell>
        </row>
        <row r="38">
          <cell r="A38">
            <v>140503</v>
          </cell>
          <cell r="B38" t="str">
            <v>COORDINACION DE NOMINA</v>
          </cell>
        </row>
        <row r="39">
          <cell r="A39" t="str">
            <v>1500</v>
          </cell>
          <cell r="B39" t="str">
            <v>VICEPR. JURIDICA Y SECRETARIA GENERAL</v>
          </cell>
        </row>
        <row r="40">
          <cell r="A40" t="str">
            <v>150101</v>
          </cell>
          <cell r="B40" t="str">
            <v>DIRECCION JURIDICA</v>
          </cell>
        </row>
        <row r="41">
          <cell r="A41" t="str">
            <v>1502</v>
          </cell>
          <cell r="B41" t="str">
            <v>DIRECCION DE SEGUIMIENTO</v>
          </cell>
        </row>
        <row r="42">
          <cell r="A42" t="str">
            <v>150201</v>
          </cell>
          <cell r="B42" t="str">
            <v>SUBDIRECCION DE OPERACION Y ANALISIS FIN</v>
          </cell>
        </row>
        <row r="43">
          <cell r="A43" t="str">
            <v>150202</v>
          </cell>
          <cell r="B43" t="str">
            <v>COORDINACION DE INSPECCION</v>
          </cell>
        </row>
        <row r="44">
          <cell r="A44" t="str">
            <v>1601</v>
          </cell>
          <cell r="B44" t="str">
            <v>ENLACE</v>
          </cell>
        </row>
      </sheetData>
      <sheetData sheetId="15" refreshError="1"/>
      <sheetData sheetId="16" refreshError="1"/>
      <sheetData sheetId="17" refreshError="1"/>
      <sheetData sheetId="18" refreshError="1"/>
      <sheetData sheetId="19"/>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oja3"/>
    </sheetNames>
    <sheetDataSet>
      <sheetData sheetId="0" refreshError="1"/>
      <sheetData sheetId="1" refreshError="1"/>
      <sheetData sheetId="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FS 2014"/>
      <sheetName val="ESF  2015"/>
      <sheetName val="ER 2015"/>
      <sheetName val="HTEF 2015"/>
      <sheetName val="HTEF 2015 (2)"/>
      <sheetName val="anexo ef (2)"/>
      <sheetName val="FLUJO EFECTIVO (3)"/>
      <sheetName val="FOM DE INDICADORES"/>
      <sheetName val="LEY E.F CONSOLIDADOS"/>
      <sheetName val="NIIF PYMES EF CONSOLIDADOS"/>
      <sheetName val="GASTOS NO DEDUCIBLES"/>
      <sheetName val="BFINAL 2021"/>
      <sheetName val="ESF "/>
      <sheetName val="ER "/>
      <sheetName val="ESTADO DE CAMBIOS EN EL PATRIMO"/>
      <sheetName val="FLUJO EFECTIVO"/>
      <sheetName val="IND FIN"/>
      <sheetName val="informes pàra flujo de efectivo"/>
      <sheetName val="ANEXO 1"/>
      <sheetName val="ANEXO CAJA"/>
      <sheetName val="ANEXO CORRECCION"/>
      <sheetName val="ANEXO 2"/>
      <sheetName val="ANEXO CLIE PROV COMPRA AC FIJO"/>
      <sheetName val="ANEXO 3"/>
      <sheetName val="CONCIL CONTABLE FISCAL RENTA"/>
      <sheetName val="ESTADO DE COSTOS"/>
      <sheetName val="TET"/>
      <sheetName val="EFE NIIF 2017"/>
      <sheetName val="CORRECCIONES"/>
      <sheetName val="PROVEEDORES"/>
      <sheetName val="PAGOS PENDIENTE"/>
      <sheetName val="NORMA DIST DE UTIL"/>
      <sheetName val="DIST. DE UTILID"/>
      <sheetName val="Hoja1"/>
      <sheetName val="CALCULO RESERVA LEGAL"/>
      <sheetName val="encabezado notas"/>
      <sheetName val="Informe de gestion"/>
      <sheetName val="Informe Gt LP"/>
      <sheetName val="informe er"/>
      <sheetName val="LOGO"/>
      <sheetName val="VARIACIONES  2 NIVELES EN AÑOS"/>
      <sheetName val="BPNIIF FINAL 201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ow r="6">
          <cell r="B6" t="str">
            <v>A 31 de Diciembre 2021 - 2020</v>
          </cell>
        </row>
      </sheetData>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Estados Financieros"/>
      <sheetName val="C x C "/>
      <sheetName val="C x  P"/>
      <sheetName val="Capital"/>
      <sheetName val="Historico de Costos 2008"/>
      <sheetName val="Inventario"/>
      <sheetName val="Detallado Inventario Enero 09"/>
      <sheetName val="Banco Bogota "/>
      <sheetName val="Banco Occidente"/>
      <sheetName val="Caja General"/>
      <sheetName val="Cajas"/>
      <sheetName val="Inversiones Progressa"/>
      <sheetName val="No Operacionales"/>
      <sheetName val="Conciliacion entre Empresas"/>
      <sheetName val="Diferidos"/>
      <sheetName val="Activos"/>
      <sheetName val="Evolucion  Resultados Sucursal"/>
      <sheetName val="BASE SUCURSAL"/>
      <sheetName val="BASE CUEN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FS 2014"/>
      <sheetName val="ESF  2015"/>
      <sheetName val="ER 2015"/>
      <sheetName val="HTEF 2015"/>
      <sheetName val="HTEF 2015 (2)"/>
      <sheetName val="anexo ef (2)"/>
      <sheetName val="FLUJO EFECTIVO (3)"/>
      <sheetName val="FOM DE INDICADORES"/>
      <sheetName val="GASTOS NO DEDUCIBLES"/>
      <sheetName val="BFINAL 2022"/>
      <sheetName val="ESF "/>
      <sheetName val="ER "/>
      <sheetName val="ESTADO DE CAMBIOS EN EL PATRIMO"/>
      <sheetName val="FLUJO EFECTIVO"/>
      <sheetName val="IND FIN"/>
      <sheetName val="informes pàra flujo de efectivo"/>
      <sheetName val="ANEXO 1"/>
      <sheetName val="ANEXO CORRECCION"/>
      <sheetName val="PARETOS"/>
      <sheetName val="PARTES RELACIONADAS"/>
      <sheetName val="ANEXO 2"/>
      <sheetName val="ANEXO 3"/>
      <sheetName val="CONCIL CONTABLE FISCAL RENTA"/>
      <sheetName val="BPT PREFINAL"/>
      <sheetName val="INFORME A REVISAR"/>
      <sheetName val="ESTADO DE COSTOS"/>
      <sheetName val="TET"/>
      <sheetName val="EFE NIIF 2017"/>
      <sheetName val="CORRECCIONES"/>
      <sheetName val="PROVEEDORES"/>
      <sheetName val="PAGOS PENDIENTE"/>
      <sheetName val="DIST. DE UTILID"/>
      <sheetName val="CALCULO RESERVA LEGAL"/>
      <sheetName val="encabezado notas"/>
      <sheetName val="Informe de gestion"/>
      <sheetName val="Informe Gt LP"/>
      <sheetName val="informe er"/>
      <sheetName val="LOGO"/>
      <sheetName val="NORMA DIST DE UTIL"/>
      <sheetName val="VARIACIONES  2 NIVELES EN AÑOS"/>
      <sheetName val="BPNIIF FINAL 2019"/>
    </sheetNames>
    <sheetDataSet>
      <sheetData sheetId="0"/>
      <sheetData sheetId="1"/>
      <sheetData sheetId="2"/>
      <sheetData sheetId="3"/>
      <sheetData sheetId="4"/>
      <sheetData sheetId="5"/>
      <sheetData sheetId="6"/>
      <sheetData sheetId="7"/>
      <sheetData sheetId="8"/>
      <sheetData sheetId="9">
        <row r="2">
          <cell r="F2">
            <v>37515549775.559998</v>
          </cell>
        </row>
      </sheetData>
      <sheetData sheetId="10">
        <row r="6">
          <cell r="B6" t="str">
            <v>A 31 de Diciembre 2022 - 2021</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40">
          <cell r="O40">
            <v>14040144005.189219</v>
          </cell>
        </row>
      </sheetData>
      <sheetData sheetId="32"/>
      <sheetData sheetId="33"/>
      <sheetData sheetId="34"/>
      <sheetData sheetId="35"/>
      <sheetData sheetId="36"/>
      <sheetData sheetId="37"/>
      <sheetData sheetId="38"/>
      <sheetData sheetId="39"/>
      <sheetData sheetId="4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DELO VALORACIÓN SIMPLIFICADO"/>
      <sheetName val="KPI's"/>
    </sheetNames>
    <sheetDataSet>
      <sheetData sheetId="0">
        <row r="98">
          <cell r="B98">
            <v>10488.00733208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Básicos"/>
      <sheetName val="Formulario"/>
      <sheetName val="tabla impto 2005"/>
      <sheetName val="Anticipo al 2006"/>
    </sheetNames>
    <sheetDataSet>
      <sheetData sheetId="0"/>
      <sheetData sheetId="1"/>
      <sheetData sheetId="2"/>
      <sheetData sheetId="3">
        <row r="3">
          <cell r="G3">
            <v>1</v>
          </cell>
          <cell r="H3">
            <v>0</v>
          </cell>
        </row>
        <row r="4">
          <cell r="G4">
            <v>2</v>
          </cell>
          <cell r="H4">
            <v>0</v>
          </cell>
        </row>
        <row r="6">
          <cell r="G6">
            <v>3</v>
          </cell>
          <cell r="H6">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ARÁTULA"/>
      <sheetName val="B-MENU"/>
      <sheetName val="C-INSTRUCCIONES"/>
      <sheetName val="1- DATOS INICIALES"/>
      <sheetName val="2 DECLARACION"/>
      <sheetName val="3 CONTROLES"/>
      <sheetName val="4 CÁLCULOS PRESUNT-ANTICIP."/>
      <sheetName val="5 CAMARA"/>
      <sheetName val="6 IMPTO PATRIMONIO"/>
      <sheetName val="7 SOCIOS O ACCIONISTAS"/>
      <sheetName val="8 Vrs. ABSOLUTOS"/>
    </sheetNames>
    <sheetDataSet>
      <sheetData sheetId="0" refreshError="1"/>
      <sheetData sheetId="1" refreshError="1"/>
      <sheetData sheetId="2" refreshError="1"/>
      <sheetData sheetId="3" refreshError="1">
        <row r="68">
          <cell r="C68">
            <v>0</v>
          </cell>
        </row>
        <row r="194">
          <cell r="F194">
            <v>0</v>
          </cell>
        </row>
        <row r="302">
          <cell r="E302">
            <v>0</v>
          </cell>
        </row>
        <row r="305">
          <cell r="E305">
            <v>0</v>
          </cell>
        </row>
        <row r="306">
          <cell r="E306">
            <v>0</v>
          </cell>
        </row>
        <row r="430">
          <cell r="E430">
            <v>0</v>
          </cell>
        </row>
      </sheetData>
      <sheetData sheetId="4" refreshError="1"/>
      <sheetData sheetId="5" refreshError="1"/>
      <sheetData sheetId="6" refreshError="1">
        <row r="23">
          <cell r="D23" t="e">
            <v>#DIV/0!</v>
          </cell>
        </row>
        <row r="45">
          <cell r="D45">
            <v>0</v>
          </cell>
        </row>
      </sheetData>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YG0003"/>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E GENERAL"/>
      <sheetName val="RESULTADOS"/>
      <sheetName val="EST.CAMBIOS PATRIMONIO"/>
      <sheetName val="CAMBIOS S.FINANCIERA"/>
      <sheetName val="FLUJO DE EFECTIVO DIRECTO"/>
      <sheetName val="H.W. CAMBIOS S.FINANCIERA"/>
      <sheetName val="H.W. FLUJO EFECTIVO"/>
      <sheetName val="FLUJO DE EFECTIVO INDIRECTO"/>
      <sheetName val="Hoja1"/>
    </sheetNames>
    <sheetDataSet>
      <sheetData sheetId="0">
        <row r="10">
          <cell r="C10">
            <v>0</v>
          </cell>
          <cell r="E10">
            <v>0</v>
          </cell>
        </row>
      </sheetData>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generales"/>
      <sheetName val="Provision"/>
      <sheetName val="Impuestos"/>
      <sheetName val="AIXI"/>
      <sheetName val="Pasivos estimados"/>
      <sheetName val="Anticipo año siguiente"/>
      <sheetName val="Renta presuntiva"/>
      <sheetName val="Pérdidas y excesos por amort"/>
      <sheetName val="Pensiones de jubilacion"/>
      <sheetName val="Intereses presuntivos"/>
      <sheetName val="Reserva de cartera"/>
      <sheetName val="Anexo pagos exterior"/>
      <sheetName val="Límite gastos en el exterior"/>
      <sheetName val="Rentas líquidas especiales"/>
      <sheetName val="Aportes parafiscales"/>
    </sheetNames>
    <sheetDataSet>
      <sheetData sheetId="0"/>
      <sheetData sheetId="1" refreshError="1"/>
      <sheetData sheetId="2" refreshError="1"/>
      <sheetData sheetId="3"/>
      <sheetData sheetId="4"/>
      <sheetData sheetId="5" refreshError="1"/>
      <sheetData sheetId="6" refreshError="1"/>
      <sheetData sheetId="7" refreshError="1"/>
      <sheetData sheetId="8"/>
      <sheetData sheetId="9"/>
      <sheetData sheetId="10"/>
      <sheetData sheetId="11"/>
      <sheetData sheetId="12" refreshError="1"/>
      <sheetData sheetId="13" refreshError="1"/>
      <sheetData sheetId="1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98"/>
      <sheetName val="abr-24-98"/>
      <sheetName val="MAY-98"/>
      <sheetName val="JUN-98"/>
      <sheetName val="JUL-15-98"/>
      <sheetName val="JUL-30-98 "/>
      <sheetName val="ago-24"/>
      <sheetName val="sep-16"/>
      <sheetName val="sep-30"/>
      <sheetName val="oct-15"/>
      <sheetName val="oct-31"/>
      <sheetName val="NOV-17"/>
      <sheetName val="NOV-17 (2)"/>
      <sheetName val="Inver-sep"/>
      <sheetName val="Hoja1"/>
      <sheetName val="DIC-23"/>
      <sheetName val="DIC-31"/>
      <sheetName val="RESUMEN"/>
      <sheetName val="DIC-31 (2)"/>
      <sheetName val="Hoja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A2">
            <v>1101</v>
          </cell>
          <cell r="B2" t="str">
            <v>CONSEJO DIRECTIVO</v>
          </cell>
        </row>
        <row r="3">
          <cell r="A3">
            <v>1201</v>
          </cell>
          <cell r="B3" t="str">
            <v>PRESIDENCIA</v>
          </cell>
        </row>
        <row r="4">
          <cell r="A4">
            <v>1202</v>
          </cell>
          <cell r="B4" t="str">
            <v>AUDITORIA INTERNA</v>
          </cell>
        </row>
        <row r="5">
          <cell r="A5">
            <v>1300</v>
          </cell>
          <cell r="B5" t="str">
            <v>VICEPRESIDENCIA DE NEGOCIOS</v>
          </cell>
        </row>
        <row r="6">
          <cell r="A6">
            <v>130101</v>
          </cell>
          <cell r="B6" t="str">
            <v>GERENCIA DE OPERACIONES</v>
          </cell>
        </row>
        <row r="7">
          <cell r="A7">
            <v>130102</v>
          </cell>
          <cell r="B7" t="str">
            <v>CUMPLIMIENTO Y TRASPASOS</v>
          </cell>
        </row>
        <row r="8">
          <cell r="A8">
            <v>130103</v>
          </cell>
          <cell r="B8" t="str">
            <v>OFICIAL DE GARANTIAS</v>
          </cell>
        </row>
        <row r="9">
          <cell r="A9">
            <v>130104</v>
          </cell>
          <cell r="B9" t="str">
            <v>OFICIAL DE COMPENSACION</v>
          </cell>
        </row>
        <row r="10">
          <cell r="A10">
            <v>130105</v>
          </cell>
          <cell r="B10" t="str">
            <v>C.A.C. Y RUEDA DE NEGOCIACION</v>
          </cell>
        </row>
        <row r="11">
          <cell r="A11">
            <v>130106</v>
          </cell>
          <cell r="B11" t="str">
            <v>OFICINA MEDELLIN</v>
          </cell>
        </row>
        <row r="12">
          <cell r="A12">
            <v>130107</v>
          </cell>
          <cell r="B12" t="str">
            <v>OFICINA NORTE</v>
          </cell>
        </row>
        <row r="13">
          <cell r="A13">
            <v>130201</v>
          </cell>
          <cell r="B13" t="str">
            <v>RELACIONES EXTERNAS</v>
          </cell>
        </row>
        <row r="14">
          <cell r="A14">
            <v>130202</v>
          </cell>
          <cell r="B14" t="str">
            <v>BIBLIOTECA</v>
          </cell>
        </row>
        <row r="15">
          <cell r="A15">
            <v>130301</v>
          </cell>
          <cell r="B15" t="str">
            <v>GERENCIA TECNICA</v>
          </cell>
        </row>
        <row r="16">
          <cell r="A16">
            <v>130302</v>
          </cell>
          <cell r="B16" t="str">
            <v>ANALISIS ECONOMICO</v>
          </cell>
        </row>
        <row r="17">
          <cell r="A17">
            <v>130303</v>
          </cell>
          <cell r="B17" t="str">
            <v>DESARROLO Y ANALISIS DE PRODUCTOS</v>
          </cell>
        </row>
        <row r="18">
          <cell r="A18">
            <v>130304</v>
          </cell>
          <cell r="B18" t="str">
            <v>INFORMACION</v>
          </cell>
        </row>
        <row r="19">
          <cell r="A19">
            <v>130401</v>
          </cell>
          <cell r="B19" t="str">
            <v>GERENCIA DESARROLLO DEL MERCADO</v>
          </cell>
        </row>
        <row r="20">
          <cell r="A20" t="str">
            <v>140000</v>
          </cell>
          <cell r="B20" t="str">
            <v>VICEP FINANCIERA Y ADMINISTRATIVA</v>
          </cell>
        </row>
        <row r="21">
          <cell r="A21">
            <v>140101</v>
          </cell>
          <cell r="B21" t="str">
            <v>DIRECCION DE SISTEMAS</v>
          </cell>
        </row>
        <row r="22">
          <cell r="A22">
            <v>140102</v>
          </cell>
          <cell r="B22" t="str">
            <v>SISTEMAS</v>
          </cell>
        </row>
        <row r="23">
          <cell r="A23">
            <v>140103</v>
          </cell>
          <cell r="B23" t="str">
            <v>COORDINACION DESARROLLO</v>
          </cell>
        </row>
        <row r="24">
          <cell r="A24">
            <v>140201</v>
          </cell>
          <cell r="B24" t="str">
            <v>DIRECCION COMERCIAL</v>
          </cell>
        </row>
        <row r="25">
          <cell r="A25">
            <v>140202</v>
          </cell>
          <cell r="B25" t="str">
            <v>COORDINADORA COMERCIAL</v>
          </cell>
        </row>
        <row r="26">
          <cell r="A26">
            <v>140203</v>
          </cell>
          <cell r="B26" t="str">
            <v>ASISTENTE COMERCIAL</v>
          </cell>
        </row>
        <row r="27">
          <cell r="A27">
            <v>140301</v>
          </cell>
          <cell r="B27" t="str">
            <v>DIVISION DE CONTABILIDAD</v>
          </cell>
        </row>
        <row r="28">
          <cell r="A28">
            <v>140302</v>
          </cell>
          <cell r="B28" t="str">
            <v>DIVISION PRESUPUESTO Y TESORERIA</v>
          </cell>
        </row>
        <row r="29">
          <cell r="A29">
            <v>140401</v>
          </cell>
          <cell r="B29" t="str">
            <v>DIRECCION SERVICIOS ADMINISTRATIVOS</v>
          </cell>
        </row>
        <row r="30">
          <cell r="A30">
            <v>140402</v>
          </cell>
          <cell r="B30" t="str">
            <v>CORRESPONDENCIA</v>
          </cell>
        </row>
        <row r="31">
          <cell r="A31">
            <v>140403</v>
          </cell>
          <cell r="B31" t="str">
            <v>PUBLICACIONES</v>
          </cell>
        </row>
        <row r="32">
          <cell r="A32">
            <v>140404</v>
          </cell>
          <cell r="B32" t="str">
            <v>ARCHIVO Y ALMACEN</v>
          </cell>
        </row>
        <row r="33">
          <cell r="A33">
            <v>140405</v>
          </cell>
          <cell r="B33" t="str">
            <v>MANTENIMIENTO</v>
          </cell>
        </row>
        <row r="34">
          <cell r="A34">
            <v>140406</v>
          </cell>
          <cell r="B34" t="str">
            <v>ASEO Y CAFETERIA</v>
          </cell>
        </row>
        <row r="35">
          <cell r="A35">
            <v>140407</v>
          </cell>
          <cell r="B35" t="str">
            <v>CONMUTADOR</v>
          </cell>
        </row>
        <row r="36">
          <cell r="A36">
            <v>140501</v>
          </cell>
          <cell r="B36" t="str">
            <v>DIRECCION DE RECURSOS HUMANOS</v>
          </cell>
        </row>
        <row r="37">
          <cell r="A37">
            <v>140502</v>
          </cell>
          <cell r="B37" t="str">
            <v>COORDINACION DESARROLLO HUMANO</v>
          </cell>
        </row>
        <row r="38">
          <cell r="A38">
            <v>140503</v>
          </cell>
          <cell r="B38" t="str">
            <v>COORDINACION DE NOMINA</v>
          </cell>
        </row>
        <row r="39">
          <cell r="A39" t="str">
            <v>1500</v>
          </cell>
          <cell r="B39" t="str">
            <v>VICEPR. JURIDICA Y SECRETARIA GENERAL</v>
          </cell>
        </row>
        <row r="40">
          <cell r="A40" t="str">
            <v>150101</v>
          </cell>
          <cell r="B40" t="str">
            <v>DIRECCION JURIDICA</v>
          </cell>
        </row>
        <row r="41">
          <cell r="A41" t="str">
            <v>1502</v>
          </cell>
          <cell r="B41" t="str">
            <v>DIRECCION DE SEGUIMIENTO</v>
          </cell>
        </row>
        <row r="42">
          <cell r="A42" t="str">
            <v>150201</v>
          </cell>
          <cell r="B42" t="str">
            <v>SUBDIRECCION DE OPERACION Y ANALISIS FIN</v>
          </cell>
        </row>
        <row r="43">
          <cell r="A43" t="str">
            <v>150202</v>
          </cell>
          <cell r="B43" t="str">
            <v>COORDINACION DE INSPECCION</v>
          </cell>
        </row>
        <row r="44">
          <cell r="A44" t="str">
            <v>1601</v>
          </cell>
          <cell r="B44" t="str">
            <v>ENLACE</v>
          </cell>
        </row>
      </sheetData>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98"/>
      <sheetName val="abr-24-98"/>
      <sheetName val="MAY-98"/>
      <sheetName val="JUN-98"/>
      <sheetName val="JUL-15-98"/>
      <sheetName val="JUL-30-98 "/>
      <sheetName val="ago-24"/>
      <sheetName val="sep-16"/>
      <sheetName val="sep-30"/>
      <sheetName val="oct-15"/>
      <sheetName val="oct-31"/>
      <sheetName val="NOV-17"/>
      <sheetName val="NOV-17 (2)"/>
      <sheetName val="Inver-sep"/>
      <sheetName val="Hoja1"/>
      <sheetName val="DIC-23"/>
      <sheetName val="DIC-31"/>
      <sheetName val="RESUMEN"/>
      <sheetName val="DIC-31 (2)"/>
      <sheetName val="Hoja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2">
          <cell r="A2">
            <v>1101</v>
          </cell>
          <cell r="B2" t="str">
            <v>CONSEJO DIRECTIVO</v>
          </cell>
        </row>
        <row r="3">
          <cell r="A3">
            <v>1201</v>
          </cell>
          <cell r="B3" t="str">
            <v>PRESIDENCIA</v>
          </cell>
        </row>
        <row r="4">
          <cell r="A4">
            <v>1202</v>
          </cell>
          <cell r="B4" t="str">
            <v>AUDITORIA INTERNA</v>
          </cell>
        </row>
        <row r="5">
          <cell r="A5">
            <v>1300</v>
          </cell>
          <cell r="B5" t="str">
            <v>VICEPRESIDENCIA DE NEGOCIOS</v>
          </cell>
        </row>
        <row r="6">
          <cell r="A6">
            <v>130101</v>
          </cell>
          <cell r="B6" t="str">
            <v>GERENCIA DE OPERACIONES</v>
          </cell>
        </row>
        <row r="7">
          <cell r="A7">
            <v>130102</v>
          </cell>
          <cell r="B7" t="str">
            <v>CUMPLIMIENTO Y TRASPASOS</v>
          </cell>
        </row>
        <row r="8">
          <cell r="A8">
            <v>130103</v>
          </cell>
          <cell r="B8" t="str">
            <v>OFICIAL DE GARANTIAS</v>
          </cell>
        </row>
        <row r="9">
          <cell r="A9">
            <v>130104</v>
          </cell>
          <cell r="B9" t="str">
            <v>OFICIAL DE COMPENSACION</v>
          </cell>
        </row>
        <row r="10">
          <cell r="A10">
            <v>130105</v>
          </cell>
          <cell r="B10" t="str">
            <v>C.A.C. Y RUEDA DE NEGOCIACION</v>
          </cell>
        </row>
        <row r="11">
          <cell r="A11">
            <v>130106</v>
          </cell>
          <cell r="B11" t="str">
            <v>OFICINA MEDELLIN</v>
          </cell>
        </row>
        <row r="12">
          <cell r="A12">
            <v>130107</v>
          </cell>
          <cell r="B12" t="str">
            <v>OFICINA NORTE</v>
          </cell>
        </row>
        <row r="13">
          <cell r="A13">
            <v>130201</v>
          </cell>
          <cell r="B13" t="str">
            <v>RELACIONES EXTERNAS</v>
          </cell>
        </row>
        <row r="14">
          <cell r="A14">
            <v>130202</v>
          </cell>
          <cell r="B14" t="str">
            <v>BIBLIOTECA</v>
          </cell>
        </row>
        <row r="15">
          <cell r="A15">
            <v>130301</v>
          </cell>
          <cell r="B15" t="str">
            <v>GERENCIA TECNICA</v>
          </cell>
        </row>
        <row r="16">
          <cell r="A16">
            <v>130302</v>
          </cell>
          <cell r="B16" t="str">
            <v>ANALISIS ECONOMICO</v>
          </cell>
        </row>
        <row r="17">
          <cell r="A17">
            <v>130303</v>
          </cell>
          <cell r="B17" t="str">
            <v>DESARROLO Y ANALISIS DE PRODUCTOS</v>
          </cell>
        </row>
        <row r="18">
          <cell r="A18">
            <v>130304</v>
          </cell>
          <cell r="B18" t="str">
            <v>INFORMACION</v>
          </cell>
        </row>
        <row r="19">
          <cell r="A19">
            <v>130401</v>
          </cell>
          <cell r="B19" t="str">
            <v>GERENCIA DESARROLLO DEL MERCADO</v>
          </cell>
        </row>
        <row r="20">
          <cell r="A20" t="str">
            <v>140000</v>
          </cell>
          <cell r="B20" t="str">
            <v>VICEP FINANCIERA Y ADMINISTRATIVA</v>
          </cell>
        </row>
        <row r="21">
          <cell r="A21">
            <v>140101</v>
          </cell>
          <cell r="B21" t="str">
            <v>DIRECCION DE SISTEMAS</v>
          </cell>
        </row>
        <row r="22">
          <cell r="A22">
            <v>140102</v>
          </cell>
          <cell r="B22" t="str">
            <v>SISTEMAS</v>
          </cell>
        </row>
        <row r="23">
          <cell r="A23">
            <v>140103</v>
          </cell>
          <cell r="B23" t="str">
            <v>COORDINACION DESARROLLO</v>
          </cell>
        </row>
        <row r="24">
          <cell r="A24">
            <v>140201</v>
          </cell>
          <cell r="B24" t="str">
            <v>DIRECCION COMERCIAL</v>
          </cell>
        </row>
        <row r="25">
          <cell r="A25">
            <v>140202</v>
          </cell>
          <cell r="B25" t="str">
            <v>COORDINADORA COMERCIAL</v>
          </cell>
        </row>
        <row r="26">
          <cell r="A26">
            <v>140203</v>
          </cell>
          <cell r="B26" t="str">
            <v>ASISTENTE COMERCIAL</v>
          </cell>
        </row>
        <row r="27">
          <cell r="A27">
            <v>140301</v>
          </cell>
          <cell r="B27" t="str">
            <v>DIVISION DE CONTABILIDAD</v>
          </cell>
        </row>
        <row r="28">
          <cell r="A28">
            <v>140302</v>
          </cell>
          <cell r="B28" t="str">
            <v>DIVISION PRESUPUESTO Y TESORERIA</v>
          </cell>
        </row>
        <row r="29">
          <cell r="A29">
            <v>140401</v>
          </cell>
          <cell r="B29" t="str">
            <v>DIRECCION SERVICIOS ADMINISTRATIVOS</v>
          </cell>
        </row>
        <row r="30">
          <cell r="A30">
            <v>140402</v>
          </cell>
          <cell r="B30" t="str">
            <v>CORRESPONDENCIA</v>
          </cell>
        </row>
        <row r="31">
          <cell r="A31">
            <v>140403</v>
          </cell>
          <cell r="B31" t="str">
            <v>PUBLICACIONES</v>
          </cell>
        </row>
        <row r="32">
          <cell r="A32">
            <v>140404</v>
          </cell>
          <cell r="B32" t="str">
            <v>ARCHIVO Y ALMACEN</v>
          </cell>
        </row>
        <row r="33">
          <cell r="A33">
            <v>140405</v>
          </cell>
          <cell r="B33" t="str">
            <v>MANTENIMIENTO</v>
          </cell>
        </row>
        <row r="34">
          <cell r="A34">
            <v>140406</v>
          </cell>
          <cell r="B34" t="str">
            <v>ASEO Y CAFETERIA</v>
          </cell>
        </row>
        <row r="35">
          <cell r="A35">
            <v>140407</v>
          </cell>
          <cell r="B35" t="str">
            <v>CONMUTADOR</v>
          </cell>
        </row>
        <row r="36">
          <cell r="A36">
            <v>140501</v>
          </cell>
          <cell r="B36" t="str">
            <v>DIRECCION DE RECURSOS HUMANOS</v>
          </cell>
        </row>
        <row r="37">
          <cell r="A37">
            <v>140502</v>
          </cell>
          <cell r="B37" t="str">
            <v>COORDINACION DESARROLLO HUMANO</v>
          </cell>
        </row>
        <row r="38">
          <cell r="A38">
            <v>140503</v>
          </cell>
          <cell r="B38" t="str">
            <v>COORDINACION DE NOMINA</v>
          </cell>
        </row>
        <row r="39">
          <cell r="A39" t="str">
            <v>1500</v>
          </cell>
          <cell r="B39" t="str">
            <v>VICEPR. JURIDICA Y SECRETARIA GENERAL</v>
          </cell>
        </row>
        <row r="40">
          <cell r="A40" t="str">
            <v>150101</v>
          </cell>
          <cell r="B40" t="str">
            <v>DIRECCION JURIDICA</v>
          </cell>
        </row>
        <row r="41">
          <cell r="A41" t="str">
            <v>1502</v>
          </cell>
          <cell r="B41" t="str">
            <v>DIRECCION DE SEGUIMIENTO</v>
          </cell>
        </row>
        <row r="42">
          <cell r="A42" t="str">
            <v>150201</v>
          </cell>
          <cell r="B42" t="str">
            <v>SUBDIRECCION DE OPERACION Y ANALISIS FIN</v>
          </cell>
        </row>
        <row r="43">
          <cell r="A43" t="str">
            <v>150202</v>
          </cell>
          <cell r="B43" t="str">
            <v>COORDINACION DE INSPECCION</v>
          </cell>
        </row>
        <row r="44">
          <cell r="A44" t="str">
            <v>1601</v>
          </cell>
          <cell r="B44" t="str">
            <v>ENLACE</v>
          </cell>
        </row>
      </sheetData>
      <sheetData sheetId="15" refreshError="1"/>
      <sheetData sheetId="16" refreshError="1"/>
      <sheetData sheetId="17" refreshError="1"/>
      <sheetData sheetId="18" refreshError="1"/>
      <sheetData sheetId="1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E66F-3A4F-4B80-AB12-BB3AC3C37CCE}">
  <sheetPr>
    <tabColor theme="5" tint="-0.249977111117893"/>
  </sheetPr>
  <dimension ref="A3:N64"/>
  <sheetViews>
    <sheetView showGridLines="0" topLeftCell="A7" zoomScaleNormal="166" workbookViewId="0">
      <selection activeCell="N14" sqref="N14"/>
    </sheetView>
  </sheetViews>
  <sheetFormatPr baseColWidth="10" defaultColWidth="11.44140625" defaultRowHeight="13.8"/>
  <cols>
    <col min="1" max="1" width="4.44140625" style="1" customWidth="1"/>
    <col min="2" max="2" width="43.33203125" style="1" customWidth="1"/>
    <col min="3" max="3" width="5.33203125" style="143" customWidth="1"/>
    <col min="4" max="4" width="16.6640625" style="144" bestFit="1" customWidth="1"/>
    <col min="5" max="5" width="8.5546875" style="145" bestFit="1" customWidth="1"/>
    <col min="6" max="6" width="16.33203125" style="68" bestFit="1" customWidth="1"/>
    <col min="7" max="7" width="8.5546875" style="67" bestFit="1" customWidth="1"/>
    <col min="8" max="8" width="15" style="68" customWidth="1"/>
    <col min="9" max="9" width="10.6640625" style="69" customWidth="1"/>
    <col min="10" max="10" width="16.88671875" style="1" bestFit="1" customWidth="1"/>
    <col min="11" max="16384" width="11.44140625" style="1"/>
  </cols>
  <sheetData>
    <row r="3" spans="2:10" ht="18.75" customHeight="1">
      <c r="B3" s="421" t="s">
        <v>0</v>
      </c>
      <c r="C3" s="421"/>
      <c r="D3" s="421"/>
      <c r="E3" s="421"/>
      <c r="F3" s="421"/>
      <c r="G3" s="421"/>
      <c r="H3" s="421"/>
      <c r="I3" s="421"/>
      <c r="J3" s="58"/>
    </row>
    <row r="4" spans="2:10" ht="21">
      <c r="B4" s="421" t="s">
        <v>1</v>
      </c>
      <c r="C4" s="421"/>
      <c r="D4" s="421"/>
      <c r="E4" s="421"/>
      <c r="F4" s="421"/>
      <c r="G4" s="421"/>
      <c r="H4" s="421"/>
      <c r="I4" s="421"/>
      <c r="J4" s="58"/>
    </row>
    <row r="5" spans="2:10" ht="18" customHeight="1">
      <c r="B5" s="421" t="s">
        <v>39</v>
      </c>
      <c r="C5" s="421"/>
      <c r="D5" s="421"/>
      <c r="E5" s="421"/>
      <c r="F5" s="421"/>
      <c r="G5" s="421"/>
      <c r="H5" s="421"/>
      <c r="I5" s="421"/>
    </row>
    <row r="6" spans="2:10" ht="21">
      <c r="B6" s="421" t="s">
        <v>40</v>
      </c>
      <c r="C6" s="421"/>
      <c r="D6" s="421"/>
      <c r="E6" s="421"/>
      <c r="F6" s="421"/>
      <c r="G6" s="421"/>
      <c r="H6" s="421"/>
      <c r="I6" s="421"/>
    </row>
    <row r="7" spans="2:10" ht="20.399999999999999">
      <c r="B7" s="422" t="s">
        <v>3</v>
      </c>
      <c r="C7" s="422"/>
      <c r="D7" s="422"/>
      <c r="E7" s="422"/>
      <c r="F7" s="422"/>
      <c r="G7" s="422"/>
      <c r="H7" s="422"/>
      <c r="I7" s="422"/>
    </row>
    <row r="8" spans="2:10" ht="20.399999999999999">
      <c r="B8" s="59"/>
      <c r="C8" s="59" t="s">
        <v>5</v>
      </c>
      <c r="D8" s="60" t="s">
        <v>6</v>
      </c>
      <c r="E8" s="10" t="s">
        <v>7</v>
      </c>
      <c r="F8" s="8" t="s">
        <v>8</v>
      </c>
      <c r="G8" s="10" t="s">
        <v>7</v>
      </c>
      <c r="H8" s="61" t="s">
        <v>9</v>
      </c>
      <c r="I8" s="62" t="s">
        <v>10</v>
      </c>
    </row>
    <row r="9" spans="2:10">
      <c r="B9" s="63" t="s">
        <v>41</v>
      </c>
      <c r="C9" s="14"/>
      <c r="D9" s="64"/>
      <c r="E9" s="65"/>
      <c r="F9" s="66"/>
    </row>
    <row r="10" spans="2:10">
      <c r="B10" s="63" t="s">
        <v>42</v>
      </c>
      <c r="C10" s="14"/>
      <c r="D10" s="64"/>
      <c r="E10" s="65"/>
      <c r="F10" s="66"/>
    </row>
    <row r="11" spans="2:10">
      <c r="B11" s="70" t="s">
        <v>43</v>
      </c>
      <c r="C11" s="14">
        <v>1.1000000000000001</v>
      </c>
      <c r="D11" s="71">
        <v>755101448.57000005</v>
      </c>
      <c r="E11" s="72">
        <f>+D11/$D$25</f>
        <v>2.2997234676156279E-2</v>
      </c>
      <c r="F11" s="73">
        <v>437372722.17000002</v>
      </c>
      <c r="G11" s="74">
        <f>+F11/$F$25</f>
        <v>1.3762059207689725E-2</v>
      </c>
      <c r="H11" s="75">
        <f>+D11-F11</f>
        <v>317728726.40000004</v>
      </c>
      <c r="I11" s="76">
        <f t="shared" ref="I11:I52" si="0">+D11/F11-1</f>
        <v>0.72644842783886232</v>
      </c>
    </row>
    <row r="12" spans="2:10">
      <c r="B12" s="70" t="s">
        <v>44</v>
      </c>
      <c r="C12" s="14">
        <v>1.2</v>
      </c>
      <c r="D12" s="71">
        <v>1727880423.0699999</v>
      </c>
      <c r="E12" s="72">
        <f t="shared" ref="E12:E15" si="1">+D12/$D$25</f>
        <v>5.2624017152833331E-2</v>
      </c>
      <c r="F12" s="73">
        <v>1193154283.24</v>
      </c>
      <c r="G12" s="74">
        <f t="shared" ref="G12:G17" si="2">+F12/$F$25</f>
        <v>3.7542944627157557E-2</v>
      </c>
      <c r="H12" s="75">
        <f t="shared" ref="H12:H16" si="3">+D12-F12</f>
        <v>534726139.82999992</v>
      </c>
      <c r="I12" s="76">
        <f t="shared" si="0"/>
        <v>0.44816177366262799</v>
      </c>
    </row>
    <row r="13" spans="2:10">
      <c r="B13" s="77" t="s">
        <v>45</v>
      </c>
      <c r="C13" s="14">
        <v>1.3</v>
      </c>
      <c r="D13" s="71">
        <v>21725046</v>
      </c>
      <c r="E13" s="72">
        <f t="shared" si="1"/>
        <v>6.6165411569326954E-4</v>
      </c>
      <c r="F13" s="73">
        <v>127925904</v>
      </c>
      <c r="G13" s="74">
        <f t="shared" si="2"/>
        <v>4.0252255703339072E-3</v>
      </c>
      <c r="H13" s="75">
        <f t="shared" si="3"/>
        <v>-106200858</v>
      </c>
      <c r="I13" s="76">
        <f t="shared" si="0"/>
        <v>-0.83017477054529942</v>
      </c>
    </row>
    <row r="14" spans="2:10">
      <c r="B14" s="70" t="s">
        <v>46</v>
      </c>
      <c r="C14" s="14">
        <v>2</v>
      </c>
      <c r="D14" s="71">
        <v>6439385556.9499998</v>
      </c>
      <c r="E14" s="72">
        <f t="shared" si="1"/>
        <v>0.19611677491001694</v>
      </c>
      <c r="F14" s="73">
        <v>5325026031.3999996</v>
      </c>
      <c r="G14" s="74">
        <f t="shared" si="2"/>
        <v>0.16755348427543623</v>
      </c>
      <c r="H14" s="75">
        <f t="shared" si="3"/>
        <v>1114359525.5500002</v>
      </c>
      <c r="I14" s="76">
        <f t="shared" si="0"/>
        <v>0.20926837145564603</v>
      </c>
    </row>
    <row r="15" spans="2:10">
      <c r="B15" s="70" t="s">
        <v>47</v>
      </c>
      <c r="C15" s="14">
        <v>3</v>
      </c>
      <c r="D15" s="71">
        <v>10564508473.16</v>
      </c>
      <c r="E15" s="72">
        <f t="shared" si="1"/>
        <v>0.32175078071377766</v>
      </c>
      <c r="F15" s="73">
        <v>10488725580.950001</v>
      </c>
      <c r="G15" s="74">
        <f t="shared" si="2"/>
        <v>0.33003078413778736</v>
      </c>
      <c r="H15" s="75">
        <f t="shared" si="3"/>
        <v>75782892.209999084</v>
      </c>
      <c r="I15" s="76">
        <f t="shared" si="0"/>
        <v>7.2251763691519866E-3</v>
      </c>
    </row>
    <row r="16" spans="2:10" ht="15" customHeight="1">
      <c r="B16" s="70" t="s">
        <v>48</v>
      </c>
      <c r="C16" s="14">
        <v>7.1</v>
      </c>
      <c r="D16" s="78">
        <v>1201820000</v>
      </c>
      <c r="E16" s="72">
        <f>+D16/$D$25</f>
        <v>3.6602414987866316E-2</v>
      </c>
      <c r="F16" s="73">
        <v>1325799000</v>
      </c>
      <c r="G16" s="74">
        <f t="shared" si="2"/>
        <v>4.1716649005842661E-2</v>
      </c>
      <c r="H16" s="75">
        <f t="shared" si="3"/>
        <v>-123979000</v>
      </c>
      <c r="I16" s="76">
        <f t="shared" si="0"/>
        <v>-9.3512666701362712E-2</v>
      </c>
    </row>
    <row r="17" spans="2:9">
      <c r="B17" s="63" t="s">
        <v>49</v>
      </c>
      <c r="C17" s="14"/>
      <c r="D17" s="79">
        <v>20710420947.75</v>
      </c>
      <c r="E17" s="80">
        <f>SUM(E11:E16)</f>
        <v>0.63075287655634382</v>
      </c>
      <c r="F17" s="81">
        <v>18898003521.760002</v>
      </c>
      <c r="G17" s="82">
        <f t="shared" si="2"/>
        <v>0.59463114682424756</v>
      </c>
      <c r="H17" s="83">
        <f>SUM(H11:H16)</f>
        <v>1812417425.9899993</v>
      </c>
      <c r="I17" s="76">
        <f t="shared" si="0"/>
        <v>9.5905232735463253E-2</v>
      </c>
    </row>
    <row r="18" spans="2:9">
      <c r="B18" s="70" t="s">
        <v>14</v>
      </c>
      <c r="C18" s="14"/>
      <c r="D18" s="84"/>
      <c r="E18" s="74"/>
      <c r="F18" s="85"/>
      <c r="G18" s="74"/>
      <c r="H18" s="75"/>
      <c r="I18" s="86"/>
    </row>
    <row r="19" spans="2:9">
      <c r="B19" s="63" t="s">
        <v>50</v>
      </c>
      <c r="C19" s="14"/>
      <c r="D19" s="84"/>
      <c r="E19" s="74"/>
      <c r="F19" s="85"/>
      <c r="G19" s="74"/>
      <c r="H19" s="75"/>
      <c r="I19" s="86"/>
    </row>
    <row r="20" spans="2:9" ht="15" customHeight="1">
      <c r="B20" s="70" t="s">
        <v>51</v>
      </c>
      <c r="C20" s="14">
        <v>4.0999999999999996</v>
      </c>
      <c r="D20" s="71">
        <v>10637138060.860001</v>
      </c>
      <c r="E20" s="72">
        <f t="shared" ref="E20:E25" si="4">+D20/$D$25</f>
        <v>0.32396277444777533</v>
      </c>
      <c r="F20" s="73">
        <v>11105028797.299999</v>
      </c>
      <c r="G20" s="74">
        <f t="shared" ref="G20:G25" si="5">+F20/$F$25</f>
        <v>0.34942294309826688</v>
      </c>
      <c r="H20" s="75">
        <f t="shared" ref="H20:H23" si="6">+D20-F20</f>
        <v>-467890736.43999863</v>
      </c>
      <c r="I20" s="76">
        <f t="shared" si="0"/>
        <v>-4.2133230357201623E-2</v>
      </c>
    </row>
    <row r="21" spans="2:9" ht="15" customHeight="1">
      <c r="B21" s="70" t="s">
        <v>52</v>
      </c>
      <c r="C21" s="14">
        <v>4.5</v>
      </c>
      <c r="D21" s="71">
        <v>1223030000</v>
      </c>
      <c r="E21" s="72">
        <f t="shared" si="4"/>
        <v>3.7248382954693834E-2</v>
      </c>
      <c r="F21" s="73">
        <v>1223030000</v>
      </c>
      <c r="G21" s="74">
        <f t="shared" si="5"/>
        <v>3.8482992696189808E-2</v>
      </c>
      <c r="H21" s="75">
        <f t="shared" si="6"/>
        <v>0</v>
      </c>
      <c r="I21" s="76">
        <f t="shared" si="0"/>
        <v>0</v>
      </c>
    </row>
    <row r="22" spans="2:9" ht="15" customHeight="1">
      <c r="B22" s="70" t="s">
        <v>53</v>
      </c>
      <c r="C22" s="14"/>
      <c r="D22" s="71">
        <v>0</v>
      </c>
      <c r="E22" s="72">
        <f t="shared" si="4"/>
        <v>0</v>
      </c>
      <c r="F22" s="73">
        <v>5970000</v>
      </c>
      <c r="G22" s="74">
        <f t="shared" si="5"/>
        <v>1.8784777674811997E-4</v>
      </c>
      <c r="H22" s="75">
        <f t="shared" si="6"/>
        <v>-5970000</v>
      </c>
      <c r="I22" s="76">
        <v>0</v>
      </c>
    </row>
    <row r="23" spans="2:9">
      <c r="B23" s="70" t="s">
        <v>48</v>
      </c>
      <c r="C23" s="14">
        <v>7.2</v>
      </c>
      <c r="D23" s="87">
        <v>263856489</v>
      </c>
      <c r="E23" s="72">
        <f t="shared" si="4"/>
        <v>8.0359660411870194E-3</v>
      </c>
      <c r="F23" s="73">
        <v>549019889</v>
      </c>
      <c r="G23" s="74">
        <f t="shared" si="5"/>
        <v>1.7275069604547673E-2</v>
      </c>
      <c r="H23" s="75">
        <f t="shared" si="6"/>
        <v>-285163400</v>
      </c>
      <c r="I23" s="76">
        <f t="shared" si="0"/>
        <v>-0.5194044982949606</v>
      </c>
    </row>
    <row r="24" spans="2:9">
      <c r="B24" s="63" t="s">
        <v>55</v>
      </c>
      <c r="C24" s="14"/>
      <c r="D24" s="79">
        <v>12124024549.860001</v>
      </c>
      <c r="E24" s="80">
        <f t="shared" si="4"/>
        <v>0.36924712344365618</v>
      </c>
      <c r="F24" s="81">
        <v>12883048686.299999</v>
      </c>
      <c r="G24" s="82">
        <f t="shared" si="5"/>
        <v>0.4053688531757525</v>
      </c>
      <c r="H24" s="83">
        <f>SUM(H20:H23)</f>
        <v>-759024136.43999863</v>
      </c>
      <c r="I24" s="76">
        <f t="shared" si="0"/>
        <v>-5.8916499884623996E-2</v>
      </c>
    </row>
    <row r="25" spans="2:9" ht="14.4" thickBot="1">
      <c r="B25" s="63" t="s">
        <v>56</v>
      </c>
      <c r="C25" s="14"/>
      <c r="D25" s="88">
        <v>32834445497.610001</v>
      </c>
      <c r="E25" s="80">
        <f t="shared" si="4"/>
        <v>1</v>
      </c>
      <c r="F25" s="89">
        <v>31781052208.060001</v>
      </c>
      <c r="G25" s="82">
        <f t="shared" si="5"/>
        <v>1</v>
      </c>
      <c r="H25" s="90">
        <f>+H17+H24</f>
        <v>1053393289.5500007</v>
      </c>
      <c r="I25" s="76">
        <f t="shared" si="0"/>
        <v>3.3145324536575593E-2</v>
      </c>
    </row>
    <row r="26" spans="2:9" ht="14.4" thickTop="1">
      <c r="B26" s="70" t="s">
        <v>14</v>
      </c>
      <c r="C26" s="14"/>
      <c r="D26" s="92"/>
      <c r="E26" s="74"/>
      <c r="F26" s="93"/>
      <c r="G26" s="74"/>
      <c r="H26" s="75"/>
      <c r="I26" s="86"/>
    </row>
    <row r="27" spans="2:9">
      <c r="B27" s="63" t="s">
        <v>57</v>
      </c>
      <c r="C27" s="14"/>
      <c r="D27" s="92"/>
      <c r="E27" s="74"/>
      <c r="F27" s="93"/>
      <c r="G27" s="74"/>
      <c r="H27" s="75"/>
      <c r="I27" s="86"/>
    </row>
    <row r="28" spans="2:9" ht="15" customHeight="1">
      <c r="B28" s="63" t="s">
        <v>58</v>
      </c>
      <c r="C28" s="14"/>
      <c r="D28" s="92"/>
      <c r="E28" s="74"/>
      <c r="F28" s="93"/>
      <c r="G28" s="74"/>
      <c r="H28" s="75"/>
      <c r="I28" s="86"/>
    </row>
    <row r="29" spans="2:9">
      <c r="B29" s="70" t="s">
        <v>59</v>
      </c>
      <c r="C29" s="14">
        <v>5.2</v>
      </c>
      <c r="D29" s="71">
        <v>1944884000</v>
      </c>
      <c r="E29" s="72">
        <f t="shared" ref="E29:E34" si="7">+D29/$D$52</f>
        <v>5.923303928196582E-2</v>
      </c>
      <c r="F29" s="73">
        <v>2046420000</v>
      </c>
      <c r="G29" s="74">
        <f t="shared" ref="G29:G34" si="8">+F29/$F$52</f>
        <v>6.4391197202197853E-2</v>
      </c>
      <c r="H29" s="75">
        <f t="shared" ref="H29:H33" si="9">+D29-F29</f>
        <v>-101536000</v>
      </c>
      <c r="I29" s="76">
        <f t="shared" si="0"/>
        <v>-4.9616403279874155E-2</v>
      </c>
    </row>
    <row r="30" spans="2:9">
      <c r="B30" s="70" t="s">
        <v>60</v>
      </c>
      <c r="C30" s="14">
        <v>5.3</v>
      </c>
      <c r="D30" s="71">
        <v>2295243321.1700001</v>
      </c>
      <c r="E30" s="72">
        <f t="shared" si="7"/>
        <v>6.990352010944216E-2</v>
      </c>
      <c r="F30" s="73">
        <v>2730342363.25</v>
      </c>
      <c r="G30" s="74">
        <f t="shared" si="8"/>
        <v>8.5911012178118709E-2</v>
      </c>
      <c r="H30" s="75">
        <f t="shared" si="9"/>
        <v>-435099042.07999992</v>
      </c>
      <c r="I30" s="76">
        <f t="shared" si="0"/>
        <v>-0.15935695388840898</v>
      </c>
    </row>
    <row r="31" spans="2:9" s="33" customFormat="1" ht="15" customHeight="1">
      <c r="B31" s="94" t="s">
        <v>61</v>
      </c>
      <c r="C31" s="14">
        <v>6.1</v>
      </c>
      <c r="D31" s="95">
        <v>7725520950.0100002</v>
      </c>
      <c r="E31" s="96">
        <f t="shared" si="7"/>
        <v>0.23528708442539104</v>
      </c>
      <c r="F31" s="97">
        <v>8361658286.2700005</v>
      </c>
      <c r="G31" s="74">
        <f t="shared" si="8"/>
        <v>0.26310199648586474</v>
      </c>
      <c r="H31" s="75">
        <f t="shared" si="9"/>
        <v>-636137336.26000023</v>
      </c>
      <c r="I31" s="76">
        <f t="shared" si="0"/>
        <v>-7.6077892025861571E-2</v>
      </c>
    </row>
    <row r="32" spans="2:9" ht="15" customHeight="1">
      <c r="B32" s="70" t="s">
        <v>62</v>
      </c>
      <c r="C32" s="14">
        <v>6.2</v>
      </c>
      <c r="D32" s="71">
        <v>238563887</v>
      </c>
      <c r="E32" s="72">
        <f t="shared" si="7"/>
        <v>7.2656590778316108E-3</v>
      </c>
      <c r="F32" s="73">
        <v>163024849.31</v>
      </c>
      <c r="G32" s="74">
        <f t="shared" si="8"/>
        <v>5.1296240365021834E-3</v>
      </c>
      <c r="H32" s="75">
        <f>+D32-F32</f>
        <v>75539037.689999998</v>
      </c>
      <c r="I32" s="76">
        <f>+D32/F32-1</f>
        <v>0.46335904010779783</v>
      </c>
    </row>
    <row r="33" spans="2:10">
      <c r="B33" s="70" t="s">
        <v>63</v>
      </c>
      <c r="C33" s="14">
        <v>7</v>
      </c>
      <c r="D33" s="78">
        <v>1400982999.9453151</v>
      </c>
      <c r="E33" s="72">
        <f t="shared" si="7"/>
        <v>4.2668087695269828E-2</v>
      </c>
      <c r="F33" s="73">
        <v>1334443000</v>
      </c>
      <c r="G33" s="74">
        <f t="shared" si="8"/>
        <v>4.1988634966474384E-2</v>
      </c>
      <c r="H33" s="75">
        <f t="shared" si="9"/>
        <v>66539999.945315123</v>
      </c>
      <c r="I33" s="76">
        <f t="shared" si="0"/>
        <v>4.9863501060229076E-2</v>
      </c>
    </row>
    <row r="34" spans="2:10">
      <c r="B34" s="63" t="s">
        <v>64</v>
      </c>
      <c r="C34" s="14"/>
      <c r="D34" s="79">
        <v>13605195158.125315</v>
      </c>
      <c r="E34" s="72">
        <f t="shared" si="7"/>
        <v>0.41435739058990045</v>
      </c>
      <c r="F34" s="81">
        <v>14635888498.83</v>
      </c>
      <c r="G34" s="82">
        <f t="shared" si="8"/>
        <v>0.46052246486915788</v>
      </c>
      <c r="H34" s="83">
        <f>SUM(H29:H33)</f>
        <v>-1030693340.704685</v>
      </c>
      <c r="I34" s="76">
        <f t="shared" si="0"/>
        <v>-7.0422328018355684E-2</v>
      </c>
    </row>
    <row r="35" spans="2:10">
      <c r="B35" s="70" t="s">
        <v>14</v>
      </c>
      <c r="C35" s="14"/>
      <c r="D35" s="92"/>
      <c r="E35" s="72"/>
      <c r="F35" s="93"/>
      <c r="G35" s="74"/>
      <c r="H35" s="75"/>
      <c r="I35" s="86"/>
    </row>
    <row r="36" spans="2:10">
      <c r="B36" s="63" t="s">
        <v>65</v>
      </c>
      <c r="C36" s="14"/>
      <c r="D36" s="92"/>
      <c r="E36" s="72"/>
      <c r="F36" s="93"/>
      <c r="G36" s="74"/>
      <c r="H36" s="75"/>
      <c r="I36" s="86"/>
    </row>
    <row r="37" spans="2:10" ht="15" customHeight="1">
      <c r="B37" s="70" t="s">
        <v>60</v>
      </c>
      <c r="C37" s="14">
        <v>5.3</v>
      </c>
      <c r="D37" s="71">
        <v>1961264510.98</v>
      </c>
      <c r="E37" s="72">
        <f t="shared" ref="E37:E42" si="10">+D37/$D$52</f>
        <v>5.9731921194890708E-2</v>
      </c>
      <c r="F37" s="73">
        <v>3153009184.98</v>
      </c>
      <c r="G37" s="74">
        <f t="shared" ref="G37:G42" si="11">+F37/$F$52</f>
        <v>9.9210345975111816E-2</v>
      </c>
      <c r="H37" s="75">
        <f t="shared" ref="H37:H40" si="12">+D37-F37</f>
        <v>-1191744674</v>
      </c>
      <c r="I37" s="76">
        <f t="shared" si="0"/>
        <v>-0.37797056845794108</v>
      </c>
    </row>
    <row r="38" spans="2:10">
      <c r="B38" s="70" t="s">
        <v>66</v>
      </c>
      <c r="C38" s="14">
        <v>8</v>
      </c>
      <c r="D38" s="71">
        <v>452006325.44</v>
      </c>
      <c r="E38" s="72">
        <f t="shared" si="10"/>
        <v>1.3766223811026542E-2</v>
      </c>
      <c r="F38" s="73">
        <v>192275625.22</v>
      </c>
      <c r="G38" s="74">
        <f t="shared" si="11"/>
        <v>6.0500081609429672E-3</v>
      </c>
      <c r="H38" s="75">
        <f t="shared" si="12"/>
        <v>259730700.22</v>
      </c>
      <c r="I38" s="76">
        <f t="shared" si="0"/>
        <v>1.3508248896490054</v>
      </c>
    </row>
    <row r="39" spans="2:10">
      <c r="B39" s="70" t="s">
        <v>67</v>
      </c>
      <c r="C39" s="14"/>
      <c r="D39" s="71">
        <v>4282558733.21</v>
      </c>
      <c r="E39" s="72">
        <f t="shared" si="10"/>
        <v>0.13042884288808676</v>
      </c>
      <c r="F39" s="73">
        <v>3504726255.8899999</v>
      </c>
      <c r="G39" s="74">
        <f t="shared" si="11"/>
        <v>0.11027722534119756</v>
      </c>
      <c r="H39" s="75">
        <f t="shared" si="12"/>
        <v>777832477.32000017</v>
      </c>
      <c r="I39" s="76">
        <f t="shared" si="0"/>
        <v>0.22193815451714216</v>
      </c>
    </row>
    <row r="40" spans="2:10">
      <c r="B40" s="70" t="s">
        <v>63</v>
      </c>
      <c r="C40" s="14">
        <v>7.2</v>
      </c>
      <c r="D40" s="99">
        <v>539915397</v>
      </c>
      <c r="E40" s="72">
        <f t="shared" si="10"/>
        <v>1.6443566772845666E-2</v>
      </c>
      <c r="F40" s="73">
        <v>1026572878</v>
      </c>
      <c r="G40" s="74">
        <f t="shared" si="11"/>
        <v>3.2301412530040659E-2</v>
      </c>
      <c r="H40" s="75">
        <f t="shared" si="12"/>
        <v>-486657481</v>
      </c>
      <c r="I40" s="76">
        <f t="shared" si="0"/>
        <v>-0.47406033359085098</v>
      </c>
    </row>
    <row r="41" spans="2:10">
      <c r="B41" s="63" t="s">
        <v>68</v>
      </c>
      <c r="C41" s="14"/>
      <c r="D41" s="79">
        <v>7235744966.6300001</v>
      </c>
      <c r="E41" s="80">
        <f t="shared" si="10"/>
        <v>0.22037055466684966</v>
      </c>
      <c r="F41" s="81">
        <v>7876583944.0900002</v>
      </c>
      <c r="G41" s="82">
        <f t="shared" si="11"/>
        <v>0.24783899200729301</v>
      </c>
      <c r="H41" s="100">
        <f>SUM(H37:H40)</f>
        <v>-640838977.4599998</v>
      </c>
      <c r="I41" s="76">
        <f t="shared" si="0"/>
        <v>-8.1360013682179821E-2</v>
      </c>
    </row>
    <row r="42" spans="2:10">
      <c r="B42" s="63" t="s">
        <v>69</v>
      </c>
      <c r="C42" s="14"/>
      <c r="D42" s="79">
        <v>20840940124.755314</v>
      </c>
      <c r="E42" s="80">
        <f t="shared" si="10"/>
        <v>0.63472794525675003</v>
      </c>
      <c r="F42" s="81">
        <v>22512472442.919998</v>
      </c>
      <c r="G42" s="82">
        <f t="shared" si="11"/>
        <v>0.7083614568764508</v>
      </c>
      <c r="H42" s="100">
        <f>+H34+H41</f>
        <v>-1671532318.1646848</v>
      </c>
      <c r="I42" s="76">
        <f t="shared" si="0"/>
        <v>-7.4249166652078147E-2</v>
      </c>
      <c r="J42" s="19"/>
    </row>
    <row r="43" spans="2:10" ht="15" customHeight="1">
      <c r="B43" s="70" t="s">
        <v>14</v>
      </c>
      <c r="C43" s="14"/>
      <c r="D43" s="92"/>
      <c r="E43" s="72"/>
      <c r="F43" s="93"/>
      <c r="G43" s="74"/>
      <c r="H43" s="75"/>
      <c r="I43" s="86"/>
    </row>
    <row r="44" spans="2:10" ht="15" customHeight="1">
      <c r="B44" s="63" t="s">
        <v>70</v>
      </c>
      <c r="C44" s="14"/>
      <c r="D44" s="92"/>
      <c r="E44" s="72"/>
      <c r="F44" s="93"/>
      <c r="G44" s="74"/>
      <c r="H44" s="75"/>
      <c r="I44" s="86"/>
    </row>
    <row r="45" spans="2:10">
      <c r="B45" s="70" t="s">
        <v>71</v>
      </c>
      <c r="C45" s="14">
        <v>9</v>
      </c>
      <c r="D45" s="71">
        <v>2060803967.3599999</v>
      </c>
      <c r="E45" s="72">
        <f>+D45/$D$52</f>
        <v>6.276347707681583E-2</v>
      </c>
      <c r="F45" s="73">
        <v>2060803967.3599999</v>
      </c>
      <c r="G45" s="74">
        <f t="shared" ref="G45:G50" si="13">+F45/$F$52</f>
        <v>6.4843792895568589E-2</v>
      </c>
      <c r="H45" s="75">
        <f t="shared" ref="H45:H49" si="14">+D45-F45</f>
        <v>0</v>
      </c>
      <c r="I45" s="76">
        <f t="shared" si="0"/>
        <v>0</v>
      </c>
    </row>
    <row r="46" spans="2:10">
      <c r="B46" s="70" t="s">
        <v>72</v>
      </c>
      <c r="C46" s="14">
        <v>9.1999999999999993</v>
      </c>
      <c r="D46" s="71">
        <v>2000000000</v>
      </c>
      <c r="E46" s="72">
        <f>+D46/$D$52</f>
        <v>6.0911642321049293E-2</v>
      </c>
      <c r="F46" s="73">
        <v>2000000000</v>
      </c>
      <c r="G46" s="74">
        <f t="shared" si="13"/>
        <v>6.2930578475775115E-2</v>
      </c>
      <c r="H46" s="75">
        <f t="shared" si="14"/>
        <v>0</v>
      </c>
      <c r="I46" s="76">
        <v>0</v>
      </c>
    </row>
    <row r="47" spans="2:10">
      <c r="B47" s="70" t="s">
        <v>73</v>
      </c>
      <c r="C47" s="14">
        <v>9.1</v>
      </c>
      <c r="D47" s="71">
        <v>1774057625.79</v>
      </c>
      <c r="E47" s="72">
        <f>+D47/$D$52</f>
        <v>5.4030381779525197E-2</v>
      </c>
      <c r="F47" s="73">
        <v>2403311966.3299999</v>
      </c>
      <c r="G47" s="74">
        <f t="shared" si="13"/>
        <v>7.5620906149449732E-2</v>
      </c>
      <c r="H47" s="75">
        <f t="shared" si="14"/>
        <v>-629254340.53999996</v>
      </c>
      <c r="I47" s="76">
        <f t="shared" si="0"/>
        <v>-0.2618279896059057</v>
      </c>
    </row>
    <row r="48" spans="2:10">
      <c r="B48" s="70" t="s">
        <v>74</v>
      </c>
      <c r="C48" s="14">
        <v>9</v>
      </c>
      <c r="D48" s="71">
        <v>3313032491.5100002</v>
      </c>
      <c r="E48" s="72">
        <f>+D48/$D$52</f>
        <v>0.10090112506043596</v>
      </c>
      <c r="F48" s="73">
        <v>3313032491.5100002</v>
      </c>
      <c r="G48" s="74">
        <f t="shared" si="13"/>
        <v>0.10424552559988141</v>
      </c>
      <c r="H48" s="75">
        <f t="shared" si="14"/>
        <v>0</v>
      </c>
      <c r="I48" s="76">
        <f t="shared" si="0"/>
        <v>0</v>
      </c>
    </row>
    <row r="49" spans="1:14" ht="15" customHeight="1">
      <c r="B49" s="70" t="s">
        <v>75</v>
      </c>
      <c r="C49" s="14">
        <v>9</v>
      </c>
      <c r="D49" s="71">
        <v>120685682.13</v>
      </c>
      <c r="E49" s="72">
        <f t="shared" ref="E49" si="15">+D49/$D$52</f>
        <v>3.675581551587205E-3</v>
      </c>
      <c r="F49" s="73">
        <v>120685682.13</v>
      </c>
      <c r="G49" s="74">
        <f t="shared" si="13"/>
        <v>3.7974098950922072E-3</v>
      </c>
      <c r="H49" s="75">
        <f t="shared" si="14"/>
        <v>0</v>
      </c>
      <c r="I49" s="76">
        <f t="shared" si="0"/>
        <v>0</v>
      </c>
    </row>
    <row r="50" spans="1:14">
      <c r="B50" s="70" t="s">
        <v>76</v>
      </c>
      <c r="C50" s="14"/>
      <c r="D50" s="71">
        <v>2724925607.7146826</v>
      </c>
      <c r="E50" s="72">
        <f>+D50/$D$52</f>
        <v>8.298984698429232E-2</v>
      </c>
      <c r="F50" s="73">
        <v>-629254342.53999949</v>
      </c>
      <c r="G50" s="74">
        <f t="shared" si="13"/>
        <v>-1.9799669892217854E-2</v>
      </c>
      <c r="H50" s="75">
        <f>+D50-F50</f>
        <v>3354179950.2546821</v>
      </c>
      <c r="I50" s="76">
        <f t="shared" si="0"/>
        <v>-5.3304041362916275</v>
      </c>
    </row>
    <row r="51" spans="1:14">
      <c r="B51" s="63" t="s">
        <v>77</v>
      </c>
      <c r="C51" s="14"/>
      <c r="D51" s="79">
        <v>11993505374.504681</v>
      </c>
      <c r="E51" s="80">
        <f>+D51/$D$52</f>
        <v>0.36527205477370572</v>
      </c>
      <c r="F51" s="81">
        <v>9268579764.7900009</v>
      </c>
      <c r="G51" s="82">
        <f>SUM(G45:G50)</f>
        <v>0.2916385431235492</v>
      </c>
      <c r="H51" s="81">
        <f>SUM(H45:H50)</f>
        <v>2724925609.7146821</v>
      </c>
      <c r="I51" s="76">
        <f t="shared" si="0"/>
        <v>0.2939960251587066</v>
      </c>
    </row>
    <row r="52" spans="1:14" ht="14.4" thickBot="1">
      <c r="B52" s="63" t="s">
        <v>78</v>
      </c>
      <c r="C52" s="14"/>
      <c r="D52" s="88">
        <v>32834445498.259995</v>
      </c>
      <c r="E52" s="80">
        <f>+D52/$D$52</f>
        <v>1</v>
      </c>
      <c r="F52" s="89">
        <v>31781052207.709999</v>
      </c>
      <c r="G52" s="82">
        <f>+F52/$F$52</f>
        <v>1</v>
      </c>
      <c r="H52" s="89">
        <f>+H42+H51</f>
        <v>1053393291.5499973</v>
      </c>
      <c r="I52" s="76">
        <f t="shared" si="0"/>
        <v>3.3145324568405687E-2</v>
      </c>
    </row>
    <row r="53" spans="1:14" ht="14.4" thickTop="1">
      <c r="B53" s="51"/>
      <c r="C53" s="101"/>
      <c r="D53" s="102">
        <f>+D52-D25</f>
        <v>0.649993896484375</v>
      </c>
      <c r="E53" s="103"/>
      <c r="F53" s="104"/>
    </row>
    <row r="54" spans="1:14">
      <c r="B54" s="423" t="s">
        <v>28</v>
      </c>
      <c r="C54" s="423"/>
      <c r="D54" s="423"/>
      <c r="E54" s="105"/>
      <c r="F54" s="106"/>
    </row>
    <row r="55" spans="1:14">
      <c r="B55" s="107"/>
      <c r="C55" s="108"/>
      <c r="D55" s="109"/>
      <c r="E55" s="110"/>
      <c r="F55" s="111"/>
    </row>
    <row r="56" spans="1:14">
      <c r="B56" s="112"/>
      <c r="C56" s="113"/>
      <c r="D56" s="114"/>
      <c r="E56" s="115"/>
      <c r="F56" s="116"/>
    </row>
    <row r="57" spans="1:14">
      <c r="B57" s="117"/>
      <c r="C57" s="118"/>
      <c r="D57" s="119"/>
      <c r="E57" s="120"/>
      <c r="F57" s="121"/>
    </row>
    <row r="58" spans="1:14" s="124" customFormat="1" ht="15" customHeight="1">
      <c r="B58" s="122"/>
      <c r="C58" s="123"/>
      <c r="D58" s="419"/>
      <c r="E58" s="419"/>
      <c r="F58" s="419"/>
      <c r="G58" s="419"/>
      <c r="H58" s="419"/>
      <c r="I58" s="419"/>
    </row>
    <row r="59" spans="1:14" s="47" customFormat="1" ht="16.2" customHeight="1">
      <c r="B59" s="125" t="s">
        <v>29</v>
      </c>
      <c r="C59" s="126"/>
      <c r="D59" s="420" t="s">
        <v>79</v>
      </c>
      <c r="E59" s="420"/>
      <c r="F59" s="420"/>
      <c r="G59" s="420" t="s">
        <v>80</v>
      </c>
      <c r="H59" s="420"/>
      <c r="I59" s="420"/>
    </row>
    <row r="60" spans="1:14" ht="9.75" customHeight="1">
      <c r="B60" s="50"/>
      <c r="C60" s="127"/>
      <c r="D60" s="128"/>
      <c r="E60" s="129"/>
      <c r="F60" s="130"/>
      <c r="G60" s="53" t="s">
        <v>33</v>
      </c>
      <c r="H60" s="131"/>
      <c r="I60" s="132"/>
    </row>
    <row r="61" spans="1:14">
      <c r="B61" s="50"/>
      <c r="C61" s="127"/>
      <c r="D61" s="128"/>
      <c r="E61" s="50"/>
      <c r="F61" s="133"/>
    </row>
    <row r="62" spans="1:14">
      <c r="C62" s="108"/>
      <c r="D62" s="134"/>
      <c r="E62" s="135"/>
      <c r="F62" s="136"/>
    </row>
    <row r="63" spans="1:14">
      <c r="C63" s="113"/>
      <c r="D63" s="137"/>
      <c r="E63" s="138"/>
      <c r="F63" s="139"/>
    </row>
    <row r="64" spans="1:14" s="67" customFormat="1">
      <c r="A64" s="1"/>
      <c r="B64" s="1"/>
      <c r="C64" s="118"/>
      <c r="D64" s="140"/>
      <c r="E64" s="141"/>
      <c r="F64" s="142"/>
      <c r="H64" s="68"/>
      <c r="I64" s="69"/>
      <c r="J64" s="1"/>
      <c r="K64" s="1"/>
      <c r="L64" s="1"/>
      <c r="M64" s="1"/>
      <c r="N64" s="1"/>
    </row>
  </sheetData>
  <mergeCells count="10">
    <mergeCell ref="D58:F58"/>
    <mergeCell ref="G58:I58"/>
    <mergeCell ref="D59:F59"/>
    <mergeCell ref="G59:I59"/>
    <mergeCell ref="B3:I3"/>
    <mergeCell ref="B4:I4"/>
    <mergeCell ref="B5:I5"/>
    <mergeCell ref="B6:I6"/>
    <mergeCell ref="B7:I7"/>
    <mergeCell ref="B54:D54"/>
  </mergeCells>
  <printOptions horizontalCentered="1" verticalCentered="1"/>
  <pageMargins left="0" right="0" top="0" bottom="0" header="0.31496062992125984" footer="0.31496062992125984"/>
  <pageSetup scale="80" orientation="portrait"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3320-E844-4588-9489-B844D8B330E6}">
  <dimension ref="A1:C38"/>
  <sheetViews>
    <sheetView showGridLines="0" workbookViewId="0"/>
  </sheetViews>
  <sheetFormatPr baseColWidth="10" defaultColWidth="11.44140625" defaultRowHeight="13.8"/>
  <cols>
    <col min="1" max="1" width="32.5546875" style="1" customWidth="1"/>
    <col min="2" max="2" width="20.6640625" style="1" bestFit="1" customWidth="1"/>
    <col min="3" max="3" width="16.88671875" style="1" bestFit="1" customWidth="1"/>
    <col min="4" max="16384" width="11.44140625" style="1"/>
  </cols>
  <sheetData>
    <row r="1" spans="1:3">
      <c r="B1" s="300">
        <v>2022</v>
      </c>
      <c r="C1" s="300">
        <v>2023</v>
      </c>
    </row>
    <row r="3" spans="1:3">
      <c r="A3" s="1" t="s">
        <v>137</v>
      </c>
      <c r="B3" s="287">
        <f>+'VALORACIÓN ALUICA'!E30</f>
        <v>0.181530930298581</v>
      </c>
      <c r="C3" s="287">
        <f>+'VALORACIÓN ALUICA'!F30</f>
        <v>0.181530930298581</v>
      </c>
    </row>
    <row r="5" spans="1:3">
      <c r="A5" s="1" t="s">
        <v>251</v>
      </c>
      <c r="B5" s="345">
        <f>+'VALORACIÓN ALUICA'!E112/'VALORACIÓN ALUICA'!E103</f>
        <v>0.10948689430923833</v>
      </c>
      <c r="C5" s="345">
        <f>+'VALORACIÓN ALUICA'!F112/'VALORACIÓN ALUICA'!F103</f>
        <v>0.1100850141688573</v>
      </c>
    </row>
    <row r="6" spans="1:3">
      <c r="A6" s="1" t="s">
        <v>252</v>
      </c>
    </row>
    <row r="7" spans="1:3">
      <c r="A7" s="1" t="s">
        <v>253</v>
      </c>
      <c r="B7" s="289">
        <f>+'VALORACIÓN ALUICA'!E110/'VALORACIÓN ALUICA'!E130</f>
        <v>-69.738114900526</v>
      </c>
      <c r="C7" s="289">
        <f>+'VALORACIÓN ALUICA'!F110/'VALORACIÓN ALUICA'!F130</f>
        <v>-70.417661207454756</v>
      </c>
    </row>
    <row r="8" spans="1:3">
      <c r="A8" s="1" t="s">
        <v>254</v>
      </c>
      <c r="B8" s="347">
        <f>+'VALORACIÓN ALUICA'!E110/('VALORACIÓN ALUICA'!E56+'VALORACIÓN ALUICA'!E57-'VALORACIÓN ALUICA'!E74-'VALORACIÓN ALUICA'!E75-'VALORACIÓN ALUICA'!E76-'VALORACIÓN ALUICA'!E72+'VALORACIÓN ALUICA'!E62)</f>
        <v>0.59595296541812659</v>
      </c>
      <c r="C8" s="347">
        <f>+'VALORACIÓN ALUICA'!F110/('VALORACIÓN ALUICA'!F56+'VALORACIÓN ALUICA'!F57-'VALORACIÓN ALUICA'!F74-'VALORACIÓN ALUICA'!F75-'VALORACIÓN ALUICA'!F76-'VALORACIÓN ALUICA'!F72+'VALORACIÓN ALUICA'!F62)</f>
        <v>0.52541083871263461</v>
      </c>
    </row>
    <row r="9" spans="1:3">
      <c r="A9" s="1" t="s">
        <v>264</v>
      </c>
      <c r="B9" s="67">
        <f>+'VALORACIÓN ALUICA'!E130/('VALORACIÓN ALUICA'!E54+'VALORACIÓN ALUICA'!E55+'VALORACIÓN ALUICA'!E58+'VALORACIÓN ALUICA'!E63+'VALORACIÓN ALUICA'!E64+'VALORACIÓN ALUICA'!E65-'VALORACIÓN ALUICA'!E80-'VALORACIÓN ALUICA'!E81-'VALORACIÓN ALUICA'!E82-'VALORACIÓN ALUICA'!E83)</f>
        <v>-3.2455978356038633E-2</v>
      </c>
      <c r="C9" s="67">
        <f>+'VALORACIÓN ALUICA'!F130/('VALORACIÓN ALUICA'!F54+'VALORACIÓN ALUICA'!F55+'VALORACIÓN ALUICA'!F58+'VALORACIÓN ALUICA'!F63+'VALORACIÓN ALUICA'!F64+'VALORACIÓN ALUICA'!F65-'VALORACIÓN ALUICA'!F80-'VALORACIÓN ALUICA'!F81-'VALORACIÓN ALUICA'!F82-'VALORACIÓN ALUICA'!F83)</f>
        <v>-2.9339211008825774E-2</v>
      </c>
    </row>
    <row r="11" spans="1:3">
      <c r="A11" s="1" t="s">
        <v>303</v>
      </c>
      <c r="B11" s="67">
        <f>+('VALORACIÓN ALUICA'!E88-'VALORACIÓN ALUICA'!E87)/'VALORACIÓN ALUICA'!E88</f>
        <v>0.39426495161827135</v>
      </c>
      <c r="C11" s="67">
        <f>+('VALORACIÓN ALUICA'!F88-'VALORACIÓN ALUICA'!F87)/'VALORACIÓN ALUICA'!F88</f>
        <v>0.33755959418257525</v>
      </c>
    </row>
    <row r="12" spans="1:3">
      <c r="A12" s="1" t="s">
        <v>304</v>
      </c>
      <c r="B12" s="67">
        <f t="shared" ref="B12:C12" si="0">1-B11</f>
        <v>0.60573504838172865</v>
      </c>
      <c r="C12" s="67">
        <f t="shared" si="0"/>
        <v>0.66244040581742469</v>
      </c>
    </row>
    <row r="14" spans="1:3">
      <c r="A14" s="1" t="s">
        <v>255</v>
      </c>
      <c r="B14" s="145">
        <v>3.4299999999999997E-2</v>
      </c>
      <c r="C14" s="145">
        <v>3.4299999999999997E-2</v>
      </c>
    </row>
    <row r="15" spans="1:3">
      <c r="A15" s="1" t="s">
        <v>256</v>
      </c>
      <c r="B15" s="145">
        <v>2.6599999999999999E-2</v>
      </c>
      <c r="C15" s="145">
        <v>2.6599999999999999E-2</v>
      </c>
    </row>
    <row r="16" spans="1:3">
      <c r="A16" s="1" t="s">
        <v>257</v>
      </c>
      <c r="B16" s="346">
        <v>1.1459577381297801</v>
      </c>
      <c r="C16" s="346">
        <v>1.1459577381297801</v>
      </c>
    </row>
    <row r="17" spans="1:3">
      <c r="A17" s="1" t="s">
        <v>258</v>
      </c>
      <c r="B17" s="145">
        <v>3.8399999999999997E-2</v>
      </c>
      <c r="C17" s="145">
        <v>3.8399999999999997E-2</v>
      </c>
    </row>
    <row r="18" spans="1:3">
      <c r="A18" s="1" t="s">
        <v>259</v>
      </c>
      <c r="B18" s="145">
        <f>B14+B16*B15+B17</f>
        <v>0.10318247583425214</v>
      </c>
      <c r="C18" s="145">
        <f>C14+C16*C15+C17</f>
        <v>0.10318247583425214</v>
      </c>
    </row>
    <row r="19" spans="1:3">
      <c r="A19" s="1" t="s">
        <v>260</v>
      </c>
      <c r="B19" s="145">
        <f>(B3-B18*B12)/(B11*(1-'VALORACIÓN ALUICA'!E12))</f>
        <v>0.46771560431092934</v>
      </c>
      <c r="C19" s="145">
        <f>(C3-C18*C12)/(C11*(1-'VALORACIÓN ALUICA'!F12))</f>
        <v>0.51582317080137285</v>
      </c>
    </row>
    <row r="21" spans="1:3">
      <c r="A21" s="1" t="s">
        <v>261</v>
      </c>
      <c r="B21" s="144">
        <f>+'VALORACIÓN ALUICA'!E34</f>
        <v>90224924508.630005</v>
      </c>
      <c r="C21" s="144">
        <f>+'VALORACIÓN ALUICA'!F34</f>
        <v>76691185832.335495</v>
      </c>
    </row>
    <row r="22" spans="1:3">
      <c r="A22" s="1" t="s">
        <v>262</v>
      </c>
      <c r="B22" s="144">
        <f>+('VALORACIÓN ALUICA'!E56+'VALORACIÓN ALUICA'!E57-'VALORACIÓN ALUICA'!E74-'VALORACIÓN ALUICA'!E75-'VALORACIÓN ALUICA'!E76-'VALORACIÓN ALUICA'!E72+'VALORACIÓN ALUICA'!E62)*(B8-B3)</f>
        <v>6845024497.0384884</v>
      </c>
      <c r="C22" s="144">
        <f>+('VALORACIÓN ALUICA'!F56+'VALORACIÓN ALUICA'!F57-'VALORACIÓN ALUICA'!F74-'VALORACIÓN ALUICA'!F75-'VALORACIÓN ALUICA'!F76-'VALORACIÓN ALUICA'!F72+'VALORACIÓN ALUICA'!F62)*(C8-C3)</f>
        <v>5513906823.1197548</v>
      </c>
    </row>
    <row r="23" spans="1:3">
      <c r="A23" s="1" t="s">
        <v>263</v>
      </c>
      <c r="B23" s="144">
        <f>+('VALORACIÓN ALUICA'!E54+'VALORACIÓN ALUICA'!E55+'VALORACIÓN ALUICA'!E58+'VALORACIÓN ALUICA'!E63+'VALORACIÓN ALUICA'!E64+'VALORACIÓN ALUICA'!E65-'VALORACIÓN ALUICA'!E80-'VALORACIÓN ALUICA'!E81-'VALORACIÓN ALUICA'!E82-'VALORACIÓN ALUICA'!E83)*(B9-B3)</f>
        <v>-930607286.65271831</v>
      </c>
      <c r="C23" s="144">
        <f>+('VALORACIÓN ALUICA'!F54+'VALORACIÓN ALUICA'!F55+'VALORACIÓN ALUICA'!F58+'VALORACIÓN ALUICA'!F63+'VALORACIÓN ALUICA'!F64+'VALORACIÓN ALUICA'!F65-'VALORACIÓN ALUICA'!F80-'VALORACIÓN ALUICA'!F81-'VALORACIÓN ALUICA'!F82-'VALORACIÓN ALUICA'!F83)*(C9-C3)</f>
        <v>-859877747.02825224</v>
      </c>
    </row>
    <row r="24" spans="1:3">
      <c r="A24" s="1" t="s">
        <v>265</v>
      </c>
      <c r="B24" s="19">
        <f t="shared" ref="B24:C24" si="1">+B22+B23</f>
        <v>5914417210.3857698</v>
      </c>
      <c r="C24" s="19">
        <f t="shared" si="1"/>
        <v>4654029076.0915022</v>
      </c>
    </row>
    <row r="25" spans="1:3">
      <c r="A25" s="1" t="s">
        <v>266</v>
      </c>
      <c r="B25" s="67">
        <f t="shared" ref="B25:C25" si="2">+B24/B21</f>
        <v>6.5551921961653256E-2</v>
      </c>
      <c r="C25" s="67">
        <f t="shared" si="2"/>
        <v>6.0685318991758407E-2</v>
      </c>
    </row>
    <row r="26" spans="1:3">
      <c r="A26" s="1" t="s">
        <v>267</v>
      </c>
      <c r="C26" s="345">
        <f>+C21/B21-1</f>
        <v>-0.15000000000000013</v>
      </c>
    </row>
    <row r="27" spans="1:3">
      <c r="A27" s="1" t="s">
        <v>268</v>
      </c>
    </row>
    <row r="29" spans="1:3">
      <c r="A29" s="1" t="s">
        <v>269</v>
      </c>
      <c r="C29" s="345">
        <f>+C25*C26</f>
        <v>-9.1027978487637686E-3</v>
      </c>
    </row>
    <row r="30" spans="1:3">
      <c r="A30" s="1" t="s">
        <v>270</v>
      </c>
      <c r="C30" s="282">
        <f>+C25-B25</f>
        <v>-4.8666029698948496E-3</v>
      </c>
    </row>
    <row r="32" spans="1:3">
      <c r="A32" s="1" t="s">
        <v>271</v>
      </c>
      <c r="B32" s="345">
        <f>+'VALORACIÓN ALUICA'!E110/'VALORACIÓN ALUICA'!E87</f>
        <v>0.4331617847288875</v>
      </c>
      <c r="C32" s="345">
        <f>+'VALORACIÓN ALUICA'!F110/'VALORACIÓN ALUICA'!F87</f>
        <v>0.34189512182470416</v>
      </c>
    </row>
    <row r="33" spans="1:3">
      <c r="A33" s="1" t="s">
        <v>272</v>
      </c>
      <c r="B33" s="345">
        <f>+'VALORACIÓN ALUICA'!E110/'VALORACIÓN ALUICA'!E67</f>
        <v>0.26238127463425476</v>
      </c>
      <c r="C33" s="345">
        <f ca="1">+'VALORACIÓN ALUICA'!F110/'VALORACIÓN ALUICA'!F67</f>
        <v>0.2264851432485549</v>
      </c>
    </row>
    <row r="34" spans="1:3">
      <c r="A34" s="193" t="s">
        <v>273</v>
      </c>
      <c r="B34" s="299">
        <v>1</v>
      </c>
      <c r="C34" s="299">
        <v>1</v>
      </c>
    </row>
    <row r="35" spans="1:3">
      <c r="A35" s="1" t="s">
        <v>274</v>
      </c>
      <c r="B35" s="282">
        <f>(B33*B34)/(1-(B33*B34))</f>
        <v>0.35571395574882414</v>
      </c>
      <c r="C35" s="282">
        <f ca="1">(C33*C34)/(1-(C33*C34))</f>
        <v>0.29279999119827088</v>
      </c>
    </row>
    <row r="36" spans="1:3">
      <c r="A36" s="1" t="s">
        <v>275</v>
      </c>
      <c r="B36" s="282">
        <f>(B32*B34)/(1-(B32*B34))</f>
        <v>0.76417180962598119</v>
      </c>
      <c r="C36" s="282">
        <f>(C32*C34)/(1-(C32*C34))</f>
        <v>0.51951464449354134</v>
      </c>
    </row>
    <row r="38" spans="1:3">
      <c r="A38" s="1" t="s">
        <v>276</v>
      </c>
      <c r="B38" s="345">
        <f>+'VALORACIÓN ALUICA'!E67/'VALORACIÓN ALUICA'!E34</f>
        <v>0.4158002899968567</v>
      </c>
      <c r="C38" s="345">
        <f ca="1">+'VALORACIÓN ALUICA'!F67/'VALORACIÓN ALUICA'!F34</f>
        <v>0.48502762657183845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57E1-2C43-4753-8A0E-72C52FF81577}">
  <sheetPr>
    <tabColor theme="5" tint="-0.249977111117893"/>
  </sheetPr>
  <dimension ref="B1:K46"/>
  <sheetViews>
    <sheetView showGridLines="0" topLeftCell="A10" zoomScale="88" zoomScaleNormal="160" workbookViewId="0">
      <selection activeCell="N14" sqref="N14"/>
    </sheetView>
  </sheetViews>
  <sheetFormatPr baseColWidth="10" defaultColWidth="11.44140625" defaultRowHeight="13.8"/>
  <cols>
    <col min="1" max="1" width="6.6640625" style="1" customWidth="1"/>
    <col min="2" max="2" width="37.88671875" style="1" customWidth="1"/>
    <col min="3" max="3" width="8.44140625" style="2" customWidth="1"/>
    <col min="4" max="4" width="19.44140625" style="3" bestFit="1" customWidth="1"/>
    <col min="5" max="5" width="10" style="1" bestFit="1" customWidth="1"/>
    <col min="6" max="6" width="1.88671875" style="1" customWidth="1"/>
    <col min="7" max="7" width="19.88671875" style="3" bestFit="1" customWidth="1"/>
    <col min="8" max="8" width="15.6640625" style="1" bestFit="1" customWidth="1"/>
    <col min="9" max="9" width="19.88671875" style="1" bestFit="1" customWidth="1"/>
    <col min="10" max="10" width="10" style="1" bestFit="1" customWidth="1"/>
    <col min="11" max="11" width="16.88671875" style="1" bestFit="1" customWidth="1"/>
    <col min="12" max="16384" width="11.44140625" style="1"/>
  </cols>
  <sheetData>
    <row r="1" spans="2:11" ht="36" customHeight="1"/>
    <row r="2" spans="2:11" ht="23.25" customHeight="1"/>
    <row r="3" spans="2:11" ht="18.75" customHeight="1">
      <c r="B3" s="421" t="s">
        <v>0</v>
      </c>
      <c r="C3" s="421"/>
      <c r="D3" s="421"/>
      <c r="E3" s="421"/>
      <c r="F3" s="421"/>
      <c r="G3" s="421"/>
      <c r="H3" s="421"/>
      <c r="I3" s="421"/>
      <c r="J3" s="421"/>
    </row>
    <row r="4" spans="2:11" ht="21">
      <c r="B4" s="421" t="s">
        <v>1</v>
      </c>
      <c r="C4" s="421"/>
      <c r="D4" s="421"/>
      <c r="E4" s="421"/>
      <c r="F4" s="421"/>
      <c r="G4" s="421"/>
      <c r="H4" s="421"/>
      <c r="I4" s="421"/>
      <c r="J4" s="421"/>
    </row>
    <row r="5" spans="2:11" ht="18.75" customHeight="1">
      <c r="B5" s="421" t="s">
        <v>2</v>
      </c>
      <c r="C5" s="421"/>
      <c r="D5" s="421"/>
      <c r="E5" s="421"/>
      <c r="F5" s="421"/>
      <c r="G5" s="421"/>
      <c r="H5" s="421"/>
      <c r="I5" s="421"/>
      <c r="J5" s="421"/>
    </row>
    <row r="6" spans="2:11" ht="21">
      <c r="B6" s="421" t="str">
        <f>+'[19]ESF '!B6:I6</f>
        <v>A 31 de Diciembre 2021 - 2020</v>
      </c>
      <c r="C6" s="421"/>
      <c r="D6" s="421"/>
      <c r="E6" s="421"/>
      <c r="F6" s="421"/>
      <c r="G6" s="421"/>
      <c r="H6" s="421"/>
      <c r="I6" s="421"/>
      <c r="J6" s="421"/>
    </row>
    <row r="7" spans="2:11" ht="20.399999999999999">
      <c r="B7" s="422" t="s">
        <v>3</v>
      </c>
      <c r="C7" s="422"/>
      <c r="D7" s="422"/>
      <c r="E7" s="422"/>
      <c r="F7" s="422"/>
      <c r="G7" s="422"/>
      <c r="H7" s="422"/>
      <c r="I7" s="422"/>
      <c r="J7" s="422"/>
    </row>
    <row r="8" spans="2:11">
      <c r="B8" s="4"/>
      <c r="C8" s="5"/>
    </row>
    <row r="9" spans="2:11" ht="23.25" customHeight="1">
      <c r="B9" s="6" t="s">
        <v>4</v>
      </c>
      <c r="C9" s="7" t="s">
        <v>5</v>
      </c>
      <c r="D9" s="8" t="s">
        <v>6</v>
      </c>
      <c r="E9" s="9" t="s">
        <v>7</v>
      </c>
      <c r="F9" s="9"/>
      <c r="G9" s="8" t="s">
        <v>8</v>
      </c>
      <c r="H9" s="10" t="s">
        <v>7</v>
      </c>
      <c r="I9" s="11" t="s">
        <v>9</v>
      </c>
      <c r="J9" s="12" t="s">
        <v>10</v>
      </c>
    </row>
    <row r="10" spans="2:11">
      <c r="B10" s="13" t="s">
        <v>11</v>
      </c>
      <c r="C10" s="14">
        <v>10.1</v>
      </c>
      <c r="D10" s="15">
        <v>60053379137.809998</v>
      </c>
      <c r="E10" s="16">
        <f>+D10/$D$10</f>
        <v>1</v>
      </c>
      <c r="F10" s="16"/>
      <c r="G10" s="17">
        <v>37394688757.330002</v>
      </c>
      <c r="H10" s="16">
        <f>+G10/$G$10</f>
        <v>1</v>
      </c>
      <c r="I10" s="17">
        <f>+D10-G10</f>
        <v>22658690380.479996</v>
      </c>
      <c r="J10" s="18">
        <f>+(D10/G10-1)</f>
        <v>0.6059333860891809</v>
      </c>
      <c r="K10" s="19"/>
    </row>
    <row r="11" spans="2:11">
      <c r="B11" s="20" t="s">
        <v>12</v>
      </c>
      <c r="C11" s="21">
        <v>10.199999999999999</v>
      </c>
      <c r="D11" s="22">
        <v>51897171186</v>
      </c>
      <c r="E11" s="23">
        <f t="shared" ref="E11:E12" si="0">+D11/$D$10</f>
        <v>0.86418402979300801</v>
      </c>
      <c r="F11" s="23"/>
      <c r="G11" s="24">
        <v>29483514718.740002</v>
      </c>
      <c r="H11" s="23">
        <f t="shared" ref="H11:H12" si="1">+G11/$G$10</f>
        <v>0.78844123854248493</v>
      </c>
      <c r="I11" s="24">
        <f t="shared" ref="I11:I12" si="2">+D11-G11</f>
        <v>22413656467.259998</v>
      </c>
      <c r="J11" s="25">
        <f t="shared" ref="J11:J12" si="3">+(D11/G11-1)</f>
        <v>0.76020978777722403</v>
      </c>
    </row>
    <row r="12" spans="2:11">
      <c r="B12" s="26" t="s">
        <v>13</v>
      </c>
      <c r="C12" s="21"/>
      <c r="D12" s="15">
        <v>8156207951.8099976</v>
      </c>
      <c r="E12" s="16">
        <f t="shared" si="0"/>
        <v>0.13581597020699199</v>
      </c>
      <c r="F12" s="16"/>
      <c r="G12" s="17">
        <v>7911174038.5900002</v>
      </c>
      <c r="H12" s="16">
        <f t="shared" si="1"/>
        <v>0.21155876145751512</v>
      </c>
      <c r="I12" s="17">
        <f t="shared" si="2"/>
        <v>245033913.21999741</v>
      </c>
      <c r="J12" s="18">
        <f t="shared" si="3"/>
        <v>3.0973141536862148E-2</v>
      </c>
    </row>
    <row r="13" spans="2:11">
      <c r="B13" s="20" t="s">
        <v>14</v>
      </c>
      <c r="C13" s="21"/>
      <c r="D13" s="27"/>
      <c r="E13" s="28"/>
      <c r="F13" s="28"/>
      <c r="G13" s="29"/>
      <c r="H13" s="28"/>
      <c r="I13" s="28"/>
      <c r="J13" s="28"/>
    </row>
    <row r="14" spans="2:11">
      <c r="B14" s="20" t="s">
        <v>15</v>
      </c>
      <c r="C14" s="21">
        <v>11.1</v>
      </c>
      <c r="D14" s="27">
        <v>621747595</v>
      </c>
      <c r="E14" s="30">
        <f t="shared" ref="E14:E20" si="4">+D14/$D$10</f>
        <v>1.0353249124803099E-2</v>
      </c>
      <c r="F14" s="28"/>
      <c r="G14" s="29">
        <v>542085355.61000001</v>
      </c>
      <c r="H14" s="30">
        <f>+G14/$G$10</f>
        <v>1.4496319494135166E-2</v>
      </c>
      <c r="I14" s="24">
        <f t="shared" ref="I14:I18" si="5">+D14-G14</f>
        <v>79662239.389999986</v>
      </c>
      <c r="J14" s="25">
        <f t="shared" ref="J14:J18" si="6">+(D14/G14-1)</f>
        <v>0.14695515856604779</v>
      </c>
    </row>
    <row r="15" spans="2:11">
      <c r="B15" s="20" t="s">
        <v>16</v>
      </c>
      <c r="C15" s="21">
        <v>10.199999999999999</v>
      </c>
      <c r="D15" s="27">
        <v>1949592871.48</v>
      </c>
      <c r="E15" s="30">
        <f t="shared" si="4"/>
        <v>3.2464332556642488E-2</v>
      </c>
      <c r="F15" s="28"/>
      <c r="G15" s="29">
        <v>1412465074.45</v>
      </c>
      <c r="H15" s="30">
        <f t="shared" ref="H15:H24" si="7">+G15/$G$10</f>
        <v>3.7771809884983534E-2</v>
      </c>
      <c r="I15" s="24">
        <f t="shared" si="5"/>
        <v>537127797.02999997</v>
      </c>
      <c r="J15" s="25">
        <f t="shared" si="6"/>
        <v>0.38027686966996499</v>
      </c>
    </row>
    <row r="16" spans="2:11">
      <c r="B16" s="20" t="s">
        <v>17</v>
      </c>
      <c r="C16" s="21">
        <v>10.199999999999999</v>
      </c>
      <c r="D16" s="27">
        <v>1646078488.9200001</v>
      </c>
      <c r="E16" s="30">
        <f t="shared" si="4"/>
        <v>2.7410255884895218E-2</v>
      </c>
      <c r="F16" s="28"/>
      <c r="G16" s="29">
        <v>1416103261.5699999</v>
      </c>
      <c r="H16" s="30">
        <f t="shared" si="7"/>
        <v>3.7869101432016043E-2</v>
      </c>
      <c r="I16" s="24">
        <f t="shared" si="5"/>
        <v>229975227.35000014</v>
      </c>
      <c r="J16" s="25">
        <f t="shared" si="6"/>
        <v>0.16240004072516023</v>
      </c>
    </row>
    <row r="17" spans="2:10">
      <c r="B17" s="20" t="s">
        <v>18</v>
      </c>
      <c r="C17" s="21">
        <v>11.3</v>
      </c>
      <c r="D17" s="27">
        <v>829110027.19000006</v>
      </c>
      <c r="E17" s="30">
        <f>+D17/$D$10</f>
        <v>1.3806217719861612E-2</v>
      </c>
      <c r="F17" s="28"/>
      <c r="G17" s="29">
        <v>1460476548.73</v>
      </c>
      <c r="H17" s="30">
        <f>+G17/$G$10</f>
        <v>3.9055721474449266E-2</v>
      </c>
      <c r="I17" s="24">
        <f>+D17-G17</f>
        <v>-631366521.53999996</v>
      </c>
      <c r="J17" s="25">
        <f>+(D17/G17-1)</f>
        <v>-0.43230171829121333</v>
      </c>
    </row>
    <row r="18" spans="2:10">
      <c r="B18" s="20" t="s">
        <v>19</v>
      </c>
      <c r="C18" s="21">
        <v>11.2</v>
      </c>
      <c r="D18" s="27">
        <v>303311459.56</v>
      </c>
      <c r="E18" s="30">
        <f t="shared" si="4"/>
        <v>5.0506976279213762E-3</v>
      </c>
      <c r="F18" s="28"/>
      <c r="G18" s="29">
        <v>3630738148.9899998</v>
      </c>
      <c r="H18" s="30">
        <f t="shared" si="7"/>
        <v>9.7092348396089073E-2</v>
      </c>
      <c r="I18" s="24">
        <f t="shared" si="5"/>
        <v>-3327426689.4299998</v>
      </c>
      <c r="J18" s="25">
        <f t="shared" si="6"/>
        <v>-0.91646011165956009</v>
      </c>
    </row>
    <row r="19" spans="2:10">
      <c r="B19" s="20"/>
      <c r="C19" s="21"/>
      <c r="D19" s="27"/>
      <c r="E19" s="30"/>
      <c r="F19" s="28"/>
      <c r="G19" s="29"/>
      <c r="H19" s="28"/>
      <c r="I19" s="28"/>
      <c r="J19" s="28"/>
    </row>
    <row r="20" spans="2:10" s="33" customFormat="1" ht="26.4">
      <c r="B20" s="31" t="s">
        <v>20</v>
      </c>
      <c r="C20" s="14"/>
      <c r="D20" s="15">
        <v>4049862699.6599975</v>
      </c>
      <c r="E20" s="16">
        <f t="shared" si="4"/>
        <v>6.7437715542474408E-2</v>
      </c>
      <c r="F20" s="32"/>
      <c r="G20" s="17">
        <v>533476360.46000051</v>
      </c>
      <c r="H20" s="16">
        <f t="shared" si="7"/>
        <v>1.4266099764112356E-2</v>
      </c>
      <c r="I20" s="17">
        <f t="shared" ref="I20" si="8">+D20-G20</f>
        <v>3516386339.1999969</v>
      </c>
      <c r="J20" s="18">
        <f t="shared" ref="J20" si="9">+(D20/G20-1)</f>
        <v>6.5914567164099331</v>
      </c>
    </row>
    <row r="21" spans="2:10">
      <c r="B21" s="26"/>
      <c r="C21" s="21"/>
      <c r="D21" s="27"/>
      <c r="E21" s="28"/>
      <c r="F21" s="28"/>
      <c r="G21" s="29"/>
      <c r="H21" s="28"/>
      <c r="I21" s="28"/>
      <c r="J21" s="28"/>
    </row>
    <row r="22" spans="2:10" s="33" customFormat="1">
      <c r="B22" s="34" t="s">
        <v>21</v>
      </c>
      <c r="C22" s="14">
        <v>7</v>
      </c>
      <c r="D22" s="35">
        <v>1400982999.9453151</v>
      </c>
      <c r="E22" s="23">
        <f t="shared" ref="E22:E24" si="10">+D22/$D$10</f>
        <v>2.332896200112821E-2</v>
      </c>
      <c r="F22" s="36"/>
      <c r="G22" s="37">
        <v>1204331000</v>
      </c>
      <c r="H22" s="23">
        <f t="shared" si="7"/>
        <v>3.2205937260647223E-2</v>
      </c>
      <c r="I22" s="24">
        <f t="shared" ref="I22" si="11">+D22-G22</f>
        <v>196651999.94531512</v>
      </c>
      <c r="J22" s="25">
        <f t="shared" ref="J22" si="12">+(D22/G22-1)</f>
        <v>0.16328733541303442</v>
      </c>
    </row>
    <row r="23" spans="2:10">
      <c r="B23" s="20"/>
      <c r="C23" s="21"/>
      <c r="D23" s="27"/>
      <c r="E23" s="30"/>
      <c r="F23" s="28"/>
      <c r="G23" s="29"/>
      <c r="H23" s="30"/>
      <c r="I23" s="28"/>
      <c r="J23" s="28"/>
    </row>
    <row r="24" spans="2:10" s="33" customFormat="1" ht="26.4">
      <c r="B24" s="31" t="s">
        <v>22</v>
      </c>
      <c r="C24" s="14"/>
      <c r="D24" s="15">
        <v>2648879699.7146826</v>
      </c>
      <c r="E24" s="16">
        <f t="shared" si="10"/>
        <v>4.4108753541346198E-2</v>
      </c>
      <c r="F24" s="32"/>
      <c r="G24" s="17">
        <v>-670854639.53999949</v>
      </c>
      <c r="H24" s="16">
        <f t="shared" si="7"/>
        <v>-1.7939837496534865E-2</v>
      </c>
      <c r="I24" s="17">
        <f t="shared" ref="I24" si="13">+D24-G24</f>
        <v>3319734339.2546821</v>
      </c>
      <c r="J24" s="18">
        <f t="shared" ref="J24" si="14">+(D24/G24-1)</f>
        <v>-4.9485151381393173</v>
      </c>
    </row>
    <row r="25" spans="2:10">
      <c r="B25" s="20" t="s">
        <v>14</v>
      </c>
      <c r="C25" s="21"/>
      <c r="D25" s="29"/>
      <c r="E25" s="28"/>
      <c r="F25" s="28"/>
      <c r="G25" s="29"/>
      <c r="H25" s="28"/>
      <c r="I25" s="28"/>
      <c r="J25" s="28"/>
    </row>
    <row r="26" spans="2:10" ht="26.4">
      <c r="B26" s="26" t="s">
        <v>23</v>
      </c>
      <c r="C26" s="21"/>
      <c r="D26" s="29"/>
      <c r="E26" s="28"/>
      <c r="F26" s="28"/>
      <c r="G26" s="29"/>
      <c r="H26" s="28"/>
      <c r="I26" s="28"/>
      <c r="J26" s="28"/>
    </row>
    <row r="27" spans="2:10">
      <c r="B27" s="20" t="s">
        <v>24</v>
      </c>
      <c r="C27" s="21">
        <v>11.4</v>
      </c>
      <c r="D27" s="27">
        <v>496089060</v>
      </c>
      <c r="E27" s="23">
        <f t="shared" ref="E27:E31" si="15">+D27/$D$10</f>
        <v>8.260801758741651E-3</v>
      </c>
      <c r="F27" s="28"/>
      <c r="G27" s="29">
        <v>708670310</v>
      </c>
      <c r="H27" s="23">
        <f t="shared" ref="H27:H31" si="16">+G27/$G$10</f>
        <v>1.8951095290533428E-2</v>
      </c>
      <c r="I27" s="24">
        <f t="shared" ref="I27:I28" si="17">+D27-G27</f>
        <v>-212581250</v>
      </c>
      <c r="J27" s="18">
        <v>0</v>
      </c>
    </row>
    <row r="28" spans="2:10">
      <c r="B28" s="20" t="s">
        <v>25</v>
      </c>
      <c r="C28" s="21"/>
      <c r="D28" s="35">
        <v>420043152</v>
      </c>
      <c r="E28" s="35">
        <v>0</v>
      </c>
      <c r="F28" s="28"/>
      <c r="G28" s="29">
        <v>667070013</v>
      </c>
      <c r="H28" s="23">
        <f t="shared" si="16"/>
        <v>1.7838629900863736E-2</v>
      </c>
      <c r="I28" s="24">
        <f t="shared" si="17"/>
        <v>-247026861</v>
      </c>
      <c r="J28" s="25">
        <v>0</v>
      </c>
    </row>
    <row r="29" spans="2:10">
      <c r="B29" s="26" t="s">
        <v>26</v>
      </c>
      <c r="C29" s="21"/>
      <c r="D29" s="38">
        <v>76045908</v>
      </c>
      <c r="E29" s="16">
        <f t="shared" si="15"/>
        <v>1.2663052286448441E-3</v>
      </c>
      <c r="F29" s="39"/>
      <c r="G29" s="38">
        <v>41600297</v>
      </c>
      <c r="H29" s="16">
        <f t="shared" si="16"/>
        <v>1.1124653896696928E-3</v>
      </c>
      <c r="I29" s="38">
        <f>+I27+I28</f>
        <v>-459608111</v>
      </c>
      <c r="J29" s="40">
        <f>SUM(J27:J28)</f>
        <v>0</v>
      </c>
    </row>
    <row r="30" spans="2:10">
      <c r="B30" s="20"/>
      <c r="C30" s="21"/>
      <c r="D30" s="29"/>
      <c r="E30" s="41"/>
      <c r="F30" s="41"/>
      <c r="G30" s="29"/>
      <c r="H30" s="41"/>
      <c r="I30" s="41"/>
      <c r="J30" s="41"/>
    </row>
    <row r="31" spans="2:10" ht="26.4">
      <c r="B31" s="31" t="s">
        <v>27</v>
      </c>
      <c r="C31" s="14"/>
      <c r="D31" s="17">
        <v>2724925607.7146826</v>
      </c>
      <c r="E31" s="16">
        <f t="shared" si="15"/>
        <v>4.5375058769991039E-2</v>
      </c>
      <c r="F31" s="42"/>
      <c r="G31" s="17">
        <v>-629254342.53999949</v>
      </c>
      <c r="H31" s="16">
        <f t="shared" si="16"/>
        <v>-1.682737210686517E-2</v>
      </c>
      <c r="I31" s="17">
        <f t="shared" ref="I31" si="18">+D31-G31</f>
        <v>3354179950.2546821</v>
      </c>
      <c r="J31" s="18">
        <f t="shared" ref="J31" si="19">+(D31/G31-1)</f>
        <v>-5.3304041362916275</v>
      </c>
    </row>
    <row r="32" spans="2:10">
      <c r="B32" s="20"/>
      <c r="C32" s="21"/>
      <c r="D32" s="29"/>
      <c r="E32" s="29"/>
      <c r="F32" s="29"/>
      <c r="G32" s="29"/>
      <c r="H32" s="29"/>
      <c r="I32" s="29"/>
      <c r="J32" s="29"/>
    </row>
    <row r="33" spans="2:10">
      <c r="B33" s="423" t="s">
        <v>28</v>
      </c>
      <c r="C33" s="423"/>
      <c r="D33" s="423"/>
    </row>
    <row r="34" spans="2:10">
      <c r="B34" s="43"/>
      <c r="C34" s="43"/>
      <c r="D34" s="44"/>
    </row>
    <row r="35" spans="2:10">
      <c r="B35" s="43"/>
      <c r="C35" s="43"/>
      <c r="D35" s="43"/>
    </row>
    <row r="36" spans="2:10">
      <c r="B36" s="43"/>
      <c r="C36" s="43"/>
      <c r="D36" s="43"/>
    </row>
    <row r="37" spans="2:10">
      <c r="B37" s="20"/>
      <c r="C37" s="21"/>
    </row>
    <row r="38" spans="2:10">
      <c r="B38" s="20"/>
      <c r="C38" s="21"/>
    </row>
    <row r="39" spans="2:10">
      <c r="B39" s="20"/>
      <c r="C39" s="21"/>
    </row>
    <row r="40" spans="2:10" s="47" customFormat="1" ht="15" customHeight="1">
      <c r="B40" s="45"/>
      <c r="C40" s="46"/>
      <c r="D40" s="424"/>
      <c r="E40" s="424"/>
      <c r="F40" s="424"/>
      <c r="G40" s="424"/>
      <c r="H40" s="424"/>
      <c r="I40" s="424"/>
      <c r="J40" s="424"/>
    </row>
    <row r="41" spans="2:10" ht="15" customHeight="1">
      <c r="B41" s="48" t="s">
        <v>29</v>
      </c>
      <c r="C41" s="49"/>
      <c r="D41" s="425" t="s">
        <v>81</v>
      </c>
      <c r="E41" s="425"/>
      <c r="F41" s="425"/>
      <c r="G41" s="425"/>
      <c r="H41" s="425" t="s">
        <v>82</v>
      </c>
      <c r="I41" s="425"/>
      <c r="J41" s="425"/>
    </row>
    <row r="42" spans="2:10" ht="9.75" customHeight="1">
      <c r="B42" s="51"/>
      <c r="C42" s="52"/>
      <c r="H42" s="53" t="s">
        <v>33</v>
      </c>
      <c r="I42" s="53"/>
      <c r="J42" s="53"/>
    </row>
    <row r="44" spans="2:10">
      <c r="B44" s="54" t="s">
        <v>34</v>
      </c>
      <c r="C44" s="55"/>
      <c r="D44" s="56">
        <f>+D20-D22</f>
        <v>2648879699.7146826</v>
      </c>
      <c r="E44" s="57"/>
      <c r="F44" s="57"/>
      <c r="G44" s="56">
        <f>+G20-G22</f>
        <v>-670854639.53999949</v>
      </c>
    </row>
    <row r="45" spans="2:10">
      <c r="B45" s="54" t="s">
        <v>35</v>
      </c>
      <c r="C45" s="55"/>
      <c r="D45" s="56">
        <f>+D44*0.1</f>
        <v>264887969.97146827</v>
      </c>
      <c r="E45" s="57"/>
      <c r="F45" s="57"/>
      <c r="G45" s="56">
        <f>+G44*0.1</f>
        <v>-67085463.953999951</v>
      </c>
    </row>
    <row r="46" spans="2:10">
      <c r="B46" s="54" t="s">
        <v>36</v>
      </c>
      <c r="C46" s="55"/>
      <c r="D46" s="56" t="s">
        <v>37</v>
      </c>
      <c r="E46" s="57"/>
      <c r="F46" s="57"/>
      <c r="G46" s="56" t="s">
        <v>38</v>
      </c>
    </row>
  </sheetData>
  <mergeCells count="10">
    <mergeCell ref="D40:G40"/>
    <mergeCell ref="H40:J40"/>
    <mergeCell ref="D41:G41"/>
    <mergeCell ref="H41:J41"/>
    <mergeCell ref="B3:J3"/>
    <mergeCell ref="B4:J4"/>
    <mergeCell ref="B5:J5"/>
    <mergeCell ref="B6:J6"/>
    <mergeCell ref="B7:J7"/>
    <mergeCell ref="B33:D33"/>
  </mergeCells>
  <pageMargins left="0" right="0" top="0" bottom="0.74803149606299213" header="0.31496062992125984" footer="0.31496062992125984"/>
  <pageSetup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1877-6D04-4F5D-A00D-550B2C14058D}">
  <dimension ref="B2:S46"/>
  <sheetViews>
    <sheetView showGridLines="0" workbookViewId="0"/>
  </sheetViews>
  <sheetFormatPr baseColWidth="10" defaultColWidth="11.44140625" defaultRowHeight="14.4"/>
  <cols>
    <col min="2" max="2" width="38.33203125" bestFit="1" customWidth="1"/>
    <col min="4" max="4" width="16.88671875" bestFit="1" customWidth="1"/>
    <col min="7" max="7" width="14.44140625" bestFit="1" customWidth="1"/>
    <col min="9" max="9" width="14.44140625" bestFit="1" customWidth="1"/>
    <col min="12" max="12" width="39.109375" customWidth="1"/>
    <col min="14" max="14" width="16.88671875" bestFit="1" customWidth="1"/>
    <col min="15" max="15" width="7" bestFit="1" customWidth="1"/>
    <col min="16" max="16" width="16.88671875" bestFit="1" customWidth="1"/>
    <col min="17" max="17" width="7" bestFit="1" customWidth="1"/>
    <col min="18" max="18" width="13.109375" bestFit="1" customWidth="1"/>
    <col min="19" max="19" width="9.5546875" bestFit="1" customWidth="1"/>
  </cols>
  <sheetData>
    <row r="2" spans="2:19">
      <c r="B2" s="180" t="s">
        <v>97</v>
      </c>
      <c r="C2" s="179"/>
      <c r="D2" s="179"/>
      <c r="E2" s="179"/>
      <c r="F2" s="179"/>
      <c r="G2" s="179"/>
      <c r="H2" s="179"/>
      <c r="I2" s="179"/>
      <c r="J2" s="179"/>
      <c r="L2" s="180" t="s">
        <v>98</v>
      </c>
      <c r="M2" s="180"/>
      <c r="N2" s="180"/>
      <c r="O2" s="180"/>
      <c r="P2" s="180"/>
      <c r="Q2" s="180"/>
      <c r="R2" s="180"/>
      <c r="S2" s="180"/>
    </row>
    <row r="3" spans="2:19" ht="20.399999999999999">
      <c r="B3" s="152" t="s">
        <v>4</v>
      </c>
      <c r="C3" s="153" t="s">
        <v>5</v>
      </c>
      <c r="D3" s="147" t="s">
        <v>84</v>
      </c>
      <c r="E3" s="154" t="s">
        <v>7</v>
      </c>
      <c r="F3" s="154"/>
      <c r="G3" s="147" t="s">
        <v>6</v>
      </c>
      <c r="H3" s="148" t="s">
        <v>7</v>
      </c>
      <c r="I3" s="155" t="s">
        <v>9</v>
      </c>
      <c r="J3" s="156" t="s">
        <v>10</v>
      </c>
      <c r="L3" s="146"/>
      <c r="M3" s="146" t="s">
        <v>5</v>
      </c>
      <c r="N3" s="147" t="s">
        <v>84</v>
      </c>
      <c r="O3" s="148"/>
      <c r="P3" s="147" t="s">
        <v>6</v>
      </c>
      <c r="Q3" s="148"/>
      <c r="R3" s="149" t="s">
        <v>9</v>
      </c>
      <c r="S3" s="150" t="s">
        <v>10</v>
      </c>
    </row>
    <row r="4" spans="2:19">
      <c r="B4" s="13" t="s">
        <v>11</v>
      </c>
      <c r="C4" s="13">
        <v>10.1</v>
      </c>
      <c r="D4" s="157">
        <v>90224924508.630005</v>
      </c>
      <c r="E4" s="158">
        <v>1</v>
      </c>
      <c r="F4" s="158"/>
      <c r="G4" s="159">
        <v>60053379137.809998</v>
      </c>
      <c r="H4" s="158">
        <v>1</v>
      </c>
      <c r="I4" s="159">
        <f t="shared" ref="I4:I10" si="0">+D4-G4</f>
        <v>30171545370.820007</v>
      </c>
      <c r="J4" s="160">
        <f t="shared" ref="J4" si="1">+(D4-G4)/G4</f>
        <v>0.50241211741944769</v>
      </c>
      <c r="L4" s="181" t="s">
        <v>43</v>
      </c>
      <c r="M4" s="14">
        <v>1.1000000000000001</v>
      </c>
      <c r="N4" s="71">
        <v>2376856670.0599999</v>
      </c>
      <c r="O4" s="72"/>
      <c r="P4" s="73">
        <v>755101448.57000005</v>
      </c>
      <c r="Q4" s="74"/>
      <c r="R4" s="75"/>
      <c r="S4" s="76"/>
    </row>
    <row r="5" spans="2:19">
      <c r="B5" s="70" t="s">
        <v>12</v>
      </c>
      <c r="C5" s="63">
        <v>10.199999999999999</v>
      </c>
      <c r="D5" s="161">
        <v>70068461015.720001</v>
      </c>
      <c r="E5" s="162">
        <v>0.77659761310210862</v>
      </c>
      <c r="F5" s="162"/>
      <c r="G5" s="163">
        <v>51897171186</v>
      </c>
      <c r="H5" s="162">
        <v>0.86418402979300801</v>
      </c>
      <c r="I5" s="163">
        <f t="shared" si="0"/>
        <v>18171289829.720001</v>
      </c>
      <c r="J5" s="164">
        <f t="shared" ref="J5:J6" si="2">+(D5-G5)/G5</f>
        <v>0.35014027575017354</v>
      </c>
      <c r="L5" s="181" t="s">
        <v>94</v>
      </c>
      <c r="M5" s="14"/>
      <c r="N5" s="71">
        <v>7633538705.3000002</v>
      </c>
      <c r="O5" s="72"/>
      <c r="P5" s="73">
        <v>6439385556.9499998</v>
      </c>
      <c r="Q5" s="74"/>
      <c r="R5" s="75"/>
      <c r="S5" s="76"/>
    </row>
    <row r="6" spans="2:19">
      <c r="B6" s="63" t="s">
        <v>13</v>
      </c>
      <c r="C6" s="63"/>
      <c r="D6" s="157">
        <f>+D4-D5</f>
        <v>20156463492.910004</v>
      </c>
      <c r="E6" s="158">
        <v>0.22340238689789138</v>
      </c>
      <c r="F6" s="158"/>
      <c r="G6" s="157">
        <f>+G4-G5</f>
        <v>8156207951.8099976</v>
      </c>
      <c r="H6" s="158">
        <v>0.13581597020699199</v>
      </c>
      <c r="I6" s="159">
        <f t="shared" si="0"/>
        <v>12000255541.100006</v>
      </c>
      <c r="J6" s="160">
        <f t="shared" si="2"/>
        <v>1.471303283584984</v>
      </c>
      <c r="L6" s="181" t="s">
        <v>47</v>
      </c>
      <c r="M6" s="14">
        <v>3</v>
      </c>
      <c r="N6" s="71">
        <v>10866193153.99</v>
      </c>
      <c r="O6" s="72"/>
      <c r="P6" s="73">
        <v>10564508473.16</v>
      </c>
      <c r="Q6" s="74"/>
      <c r="R6" s="75"/>
      <c r="S6" s="76"/>
    </row>
    <row r="7" spans="2:19">
      <c r="B7" s="70" t="s">
        <v>16</v>
      </c>
      <c r="C7" s="63">
        <v>10.199999999999999</v>
      </c>
      <c r="D7" s="165">
        <v>2930296270.71</v>
      </c>
      <c r="E7" s="168">
        <v>3.2477680493151508E-2</v>
      </c>
      <c r="F7" s="166"/>
      <c r="G7" s="167">
        <v>1949592871.48</v>
      </c>
      <c r="H7" s="168">
        <v>3.2464332556642488E-2</v>
      </c>
      <c r="I7" s="163">
        <f t="shared" si="0"/>
        <v>980703399.23000002</v>
      </c>
      <c r="J7" s="164">
        <f t="shared" ref="J7:J11" si="3">+(D7-G7)/G7</f>
        <v>0.50302984462879974</v>
      </c>
      <c r="L7" s="181" t="s">
        <v>48</v>
      </c>
      <c r="M7" s="14">
        <v>7.1</v>
      </c>
      <c r="N7" s="71">
        <v>1569994000</v>
      </c>
      <c r="O7" s="72"/>
      <c r="P7" s="73">
        <v>1201820000</v>
      </c>
      <c r="Q7" s="74"/>
      <c r="R7" s="75"/>
      <c r="S7" s="76"/>
    </row>
    <row r="8" spans="2:19">
      <c r="B8" s="70" t="s">
        <v>17</v>
      </c>
      <c r="C8" s="63">
        <v>10.199999999999999</v>
      </c>
      <c r="D8" s="165">
        <v>1976551926.4200001</v>
      </c>
      <c r="E8" s="168">
        <v>2.190693909897307E-2</v>
      </c>
      <c r="F8" s="166"/>
      <c r="G8" s="167">
        <v>1646078488.9200001</v>
      </c>
      <c r="H8" s="168">
        <v>2.7410255884895218E-2</v>
      </c>
      <c r="I8" s="163">
        <f t="shared" si="0"/>
        <v>330473437.5</v>
      </c>
      <c r="J8" s="164">
        <f t="shared" si="3"/>
        <v>0.20076408246901106</v>
      </c>
      <c r="K8" s="169"/>
      <c r="L8" s="182" t="s">
        <v>99</v>
      </c>
      <c r="M8" s="183"/>
      <c r="N8" s="184">
        <f>+N4+N5+N6+N7</f>
        <v>22446582529.349998</v>
      </c>
      <c r="O8" s="183"/>
      <c r="P8" s="184">
        <f>+P4+P5+P6+P7</f>
        <v>18960815478.68</v>
      </c>
      <c r="Q8" s="183"/>
      <c r="R8" s="183"/>
      <c r="S8" s="183"/>
    </row>
    <row r="9" spans="2:19">
      <c r="B9" s="63" t="s">
        <v>86</v>
      </c>
      <c r="C9" s="63"/>
      <c r="D9" s="157">
        <f>+D4-D5-D7-D8</f>
        <v>15249615295.780005</v>
      </c>
      <c r="E9" s="158">
        <f t="shared" ref="E9" si="4">+D9/$D$4</f>
        <v>0.16901776730576681</v>
      </c>
      <c r="F9" s="158"/>
      <c r="G9" s="157">
        <f>+G4-G5-G7-G8</f>
        <v>4560536591.4099979</v>
      </c>
      <c r="H9" s="158">
        <f t="shared" ref="H9" si="5">+G9/$G$4</f>
        <v>7.5941381765454299E-2</v>
      </c>
      <c r="I9" s="159">
        <f t="shared" si="0"/>
        <v>10689078704.370007</v>
      </c>
      <c r="J9" s="160">
        <f t="shared" si="3"/>
        <v>2.3438204014201811</v>
      </c>
      <c r="L9" s="181" t="s">
        <v>59</v>
      </c>
      <c r="M9" s="14">
        <v>5.2</v>
      </c>
      <c r="N9" s="71">
        <v>2157079000</v>
      </c>
      <c r="O9" s="72"/>
      <c r="P9" s="73">
        <v>1944884000</v>
      </c>
      <c r="Q9" s="74"/>
      <c r="R9" s="75"/>
      <c r="S9" s="76"/>
    </row>
    <row r="10" spans="2:19">
      <c r="B10" s="70" t="s">
        <v>89</v>
      </c>
      <c r="C10" s="63"/>
      <c r="D10" s="165">
        <f>'ER 2022-2021 '!D37*D9</f>
        <v>5406237527.0446253</v>
      </c>
      <c r="E10" s="168"/>
      <c r="F10" s="166"/>
      <c r="G10" s="165">
        <f>'ER 2022-2021 '!G37*G9</f>
        <v>1577642184.1980872</v>
      </c>
      <c r="H10" s="168"/>
      <c r="I10" s="163">
        <f t="shared" si="0"/>
        <v>3828595342.8465381</v>
      </c>
      <c r="J10" s="164">
        <f t="shared" si="3"/>
        <v>2.4267830698204906</v>
      </c>
      <c r="L10" s="181" t="s">
        <v>85</v>
      </c>
      <c r="M10" s="14">
        <v>6.1</v>
      </c>
      <c r="N10" s="71">
        <v>4480219088.4399996</v>
      </c>
      <c r="O10" s="72"/>
      <c r="P10" s="73">
        <v>7725520950.0100002</v>
      </c>
      <c r="Q10" s="74"/>
      <c r="R10" s="75"/>
      <c r="S10" s="76"/>
    </row>
    <row r="11" spans="2:19">
      <c r="B11" s="63" t="s">
        <v>88</v>
      </c>
      <c r="C11" s="63"/>
      <c r="D11" s="157">
        <f>+D9-D10</f>
        <v>9843377768.7353783</v>
      </c>
      <c r="E11" s="158">
        <f t="shared" ref="E11" si="6">+D11/$D$4</f>
        <v>0.10909821008266801</v>
      </c>
      <c r="F11" s="158"/>
      <c r="G11" s="157">
        <f>+G9-G10</f>
        <v>2982894407.2119107</v>
      </c>
      <c r="H11" s="158">
        <f t="shared" ref="H11" si="7">+G11/$G$4</f>
        <v>4.967071711929464E-2</v>
      </c>
      <c r="I11" s="159">
        <f t="shared" ref="I11" si="8">+D11-G11</f>
        <v>6860483361.523468</v>
      </c>
      <c r="J11" s="160">
        <f t="shared" si="3"/>
        <v>2.2999417428040676</v>
      </c>
      <c r="L11" s="181" t="s">
        <v>62</v>
      </c>
      <c r="M11" s="14">
        <v>6.2</v>
      </c>
      <c r="N11" s="71">
        <v>275806899</v>
      </c>
      <c r="O11" s="72"/>
      <c r="P11" s="73">
        <v>238563887</v>
      </c>
      <c r="Q11" s="74"/>
      <c r="R11" s="75"/>
      <c r="S11" s="76"/>
    </row>
    <row r="12" spans="2:19">
      <c r="B12" s="70" t="s">
        <v>18</v>
      </c>
      <c r="C12" s="63">
        <v>11.3</v>
      </c>
      <c r="D12" s="165">
        <v>701702582.53999996</v>
      </c>
      <c r="E12" s="168">
        <v>7.7772587382201929E-3</v>
      </c>
      <c r="F12" s="166"/>
      <c r="G12" s="165">
        <v>829110027.19000006</v>
      </c>
      <c r="H12" s="168">
        <v>1.3806217719861612E-2</v>
      </c>
      <c r="I12" s="163">
        <v>-127407444.6500001</v>
      </c>
      <c r="J12" s="164">
        <v>-0.15366771655362366</v>
      </c>
      <c r="L12" s="181" t="s">
        <v>63</v>
      </c>
      <c r="M12" s="14">
        <v>7</v>
      </c>
      <c r="N12" s="71">
        <v>5079950517.1600008</v>
      </c>
      <c r="O12" s="72"/>
      <c r="P12" s="73">
        <v>1400982999.9453151</v>
      </c>
      <c r="Q12" s="74"/>
      <c r="R12" s="75"/>
      <c r="S12" s="76"/>
    </row>
    <row r="13" spans="2:19">
      <c r="B13" s="70" t="s">
        <v>19</v>
      </c>
      <c r="C13" s="63">
        <v>11.2</v>
      </c>
      <c r="D13" s="165">
        <v>629843016.67999995</v>
      </c>
      <c r="E13" s="168">
        <v>6.9808095724120615E-3</v>
      </c>
      <c r="F13" s="166"/>
      <c r="G13" s="165">
        <v>303311459.56</v>
      </c>
      <c r="H13" s="168">
        <v>5.0506976279213762E-3</v>
      </c>
      <c r="I13" s="163">
        <v>326531557.11999995</v>
      </c>
      <c r="J13" s="164">
        <v>1.0765552926806139</v>
      </c>
      <c r="L13" s="182" t="s">
        <v>100</v>
      </c>
      <c r="M13" s="183"/>
      <c r="N13" s="184">
        <f>+N9+N10+N11+N12</f>
        <v>11993055504.6</v>
      </c>
      <c r="O13" s="183"/>
      <c r="P13" s="184">
        <f>+P9+P10+P11+P12</f>
        <v>11309951836.955315</v>
      </c>
      <c r="Q13" s="183"/>
      <c r="R13" s="183"/>
      <c r="S13" s="183"/>
    </row>
    <row r="14" spans="2:19">
      <c r="B14" s="70" t="s">
        <v>15</v>
      </c>
      <c r="C14" s="63">
        <v>11.1</v>
      </c>
      <c r="D14" s="165">
        <v>411173278.94</v>
      </c>
      <c r="E14" s="168">
        <v>4.5572028037626265E-3</v>
      </c>
      <c r="F14" s="166"/>
      <c r="G14" s="167">
        <v>621747595</v>
      </c>
      <c r="H14" s="168">
        <v>1.0353249124803099E-2</v>
      </c>
      <c r="I14" s="163">
        <f t="shared" ref="I14" si="9">+D14-G14</f>
        <v>-210574316.06</v>
      </c>
      <c r="J14" s="164">
        <f t="shared" ref="J14" si="10">+(D14-G14)/G14</f>
        <v>-0.33868135197209731</v>
      </c>
      <c r="L14" s="187" t="s">
        <v>101</v>
      </c>
      <c r="M14" s="188"/>
      <c r="N14" s="189">
        <f>+N8-N13</f>
        <v>10453527024.749998</v>
      </c>
      <c r="O14" s="188"/>
      <c r="P14" s="189">
        <f>+P8-P13</f>
        <v>7650863641.7246857</v>
      </c>
      <c r="Q14" s="188"/>
      <c r="R14" s="188"/>
      <c r="S14" s="188"/>
    </row>
    <row r="15" spans="2:19">
      <c r="B15" s="70" t="s">
        <v>90</v>
      </c>
      <c r="C15" s="63"/>
      <c r="D15" s="165">
        <f>+'ER 2022-2021 '!D37*'EVA 2021-2022'!D12</f>
        <v>248765018.72159779</v>
      </c>
      <c r="E15" s="168"/>
      <c r="F15" s="166"/>
      <c r="G15" s="165">
        <f>+'ER 2022-2021 '!G37*'EVA 2021-2022'!G12</f>
        <v>286816897.0950315</v>
      </c>
      <c r="H15" s="168"/>
      <c r="I15" s="163"/>
      <c r="J15" s="164"/>
      <c r="L15" s="181" t="s">
        <v>51</v>
      </c>
      <c r="M15" s="14">
        <v>4.0999999999999996</v>
      </c>
      <c r="N15" s="71">
        <v>9741985241.0799999</v>
      </c>
      <c r="O15" s="72"/>
      <c r="P15" s="73">
        <v>10637138060.860001</v>
      </c>
      <c r="Q15" s="74"/>
      <c r="R15" s="75"/>
      <c r="S15" s="76"/>
    </row>
    <row r="16" spans="2:19">
      <c r="B16" s="70" t="s">
        <v>91</v>
      </c>
      <c r="C16" s="63"/>
      <c r="D16" s="165">
        <f>+'ER 2022-2021 '!$D$37*('EVA 2021-2022'!D14-D13)</f>
        <v>-77521991.163025379</v>
      </c>
      <c r="E16" s="168"/>
      <c r="F16" s="166"/>
      <c r="G16" s="165">
        <f>+'ER 2022-2021 '!$G$37*('EVA 2021-2022'!G14-G13)</f>
        <v>110157712.84225951</v>
      </c>
      <c r="H16" s="168"/>
      <c r="I16" s="163"/>
      <c r="J16" s="164"/>
      <c r="L16" s="182" t="s">
        <v>102</v>
      </c>
      <c r="M16" s="183"/>
      <c r="N16" s="184">
        <f>+N15</f>
        <v>9741985241.0799999</v>
      </c>
      <c r="O16" s="183"/>
      <c r="P16" s="184">
        <f>+P15</f>
        <v>10637138060.860001</v>
      </c>
      <c r="Q16" s="183"/>
      <c r="R16" s="183"/>
      <c r="S16" s="183"/>
    </row>
    <row r="17" spans="2:19">
      <c r="B17" s="185" t="s">
        <v>22</v>
      </c>
      <c r="C17" s="63"/>
      <c r="D17" s="157">
        <f>+D11-D12-D13+D14+D15-D16</f>
        <v>9249292458.3400002</v>
      </c>
      <c r="E17" s="158">
        <f t="shared" ref="E17" si="11">+D17/$D$4</f>
        <v>0.10251371789682469</v>
      </c>
      <c r="F17" s="158"/>
      <c r="G17" s="157">
        <f>+G11-G12-G13+G14+G15-G16</f>
        <v>2648879699.7146826</v>
      </c>
      <c r="H17" s="158">
        <f t="shared" ref="H17" si="12">+G17/$G$4</f>
        <v>4.4108753541346198E-2</v>
      </c>
      <c r="I17" s="159">
        <f t="shared" ref="I17" si="13">+D17-G17</f>
        <v>6600412758.6253176</v>
      </c>
      <c r="J17" s="160">
        <f t="shared" ref="J17" si="14">+(D17-G17)/G17</f>
        <v>2.4917752056978144</v>
      </c>
      <c r="L17" s="181" t="s">
        <v>67</v>
      </c>
      <c r="M17" s="14"/>
      <c r="N17" s="71">
        <v>1790011691.4200001</v>
      </c>
      <c r="O17" s="72"/>
      <c r="P17" s="73">
        <v>4282558733.21</v>
      </c>
      <c r="Q17" s="74"/>
      <c r="R17" s="75"/>
      <c r="S17" s="76"/>
    </row>
    <row r="18" spans="2:19">
      <c r="B18" s="63"/>
      <c r="C18" s="63"/>
      <c r="D18" s="157"/>
      <c r="E18" s="158"/>
      <c r="F18" s="158"/>
      <c r="G18" s="157"/>
      <c r="H18" s="158"/>
      <c r="I18" s="159"/>
      <c r="J18" s="160"/>
      <c r="L18" s="182" t="s">
        <v>103</v>
      </c>
      <c r="M18" s="183"/>
      <c r="N18" s="184">
        <f>+N17</f>
        <v>1790011691.4200001</v>
      </c>
      <c r="O18" s="183"/>
      <c r="P18" s="184">
        <f>+P17</f>
        <v>4282558733.21</v>
      </c>
      <c r="Q18" s="183"/>
      <c r="R18" s="183"/>
      <c r="S18" s="183"/>
    </row>
    <row r="19" spans="2:19">
      <c r="B19" s="186" t="s">
        <v>23</v>
      </c>
      <c r="C19" s="13"/>
      <c r="D19" s="157"/>
      <c r="E19" s="158"/>
      <c r="F19" s="158"/>
      <c r="G19" s="159"/>
      <c r="H19" s="158"/>
      <c r="I19" s="159"/>
      <c r="J19" s="160"/>
      <c r="L19" s="187" t="s">
        <v>108</v>
      </c>
      <c r="M19" s="188"/>
      <c r="N19" s="189">
        <f>+N16-N18</f>
        <v>7951973549.6599998</v>
      </c>
      <c r="O19" s="188"/>
      <c r="P19" s="189">
        <f>+P16-P18</f>
        <v>6354579327.6500006</v>
      </c>
      <c r="Q19" s="188"/>
      <c r="R19" s="188"/>
      <c r="S19" s="188"/>
    </row>
    <row r="20" spans="2:19">
      <c r="B20" s="70" t="s">
        <v>24</v>
      </c>
      <c r="C20" s="63">
        <v>11.4</v>
      </c>
      <c r="D20" s="165">
        <v>1481685529</v>
      </c>
      <c r="E20" s="168">
        <v>1.6422130991733629E-2</v>
      </c>
      <c r="F20" s="166"/>
      <c r="G20" s="165">
        <v>496089060</v>
      </c>
      <c r="H20" s="168">
        <v>8.260801758741651E-3</v>
      </c>
      <c r="I20" s="163">
        <v>985596469</v>
      </c>
      <c r="J20" s="164">
        <v>0</v>
      </c>
      <c r="L20" s="190" t="s">
        <v>104</v>
      </c>
      <c r="M20" s="191"/>
      <c r="N20" s="192">
        <f>+N14+N19</f>
        <v>18405500574.409996</v>
      </c>
      <c r="O20" s="191"/>
      <c r="P20" s="192">
        <f>+P14+P19</f>
        <v>14005442969.374687</v>
      </c>
      <c r="Q20" s="191"/>
      <c r="R20" s="191"/>
      <c r="S20" s="191"/>
    </row>
    <row r="21" spans="2:19">
      <c r="B21" s="70" t="s">
        <v>25</v>
      </c>
      <c r="C21" s="63"/>
      <c r="D21" s="165">
        <v>0</v>
      </c>
      <c r="E21" s="168">
        <v>0</v>
      </c>
      <c r="F21" s="166"/>
      <c r="G21" s="165">
        <v>420043152</v>
      </c>
      <c r="H21" s="168">
        <v>6.9944965300968069E-3</v>
      </c>
      <c r="I21" s="163">
        <v>-420043152</v>
      </c>
      <c r="J21" s="164">
        <v>0</v>
      </c>
      <c r="L21" s="181" t="s">
        <v>44</v>
      </c>
      <c r="M21" s="14">
        <v>1.2</v>
      </c>
      <c r="N21" s="71">
        <v>2594834404.1300001</v>
      </c>
      <c r="O21" s="72"/>
      <c r="P21" s="73">
        <v>1727880423.0699999</v>
      </c>
      <c r="Q21" s="74"/>
      <c r="R21" s="75"/>
      <c r="S21" s="76"/>
    </row>
    <row r="22" spans="2:19">
      <c r="B22" s="185" t="s">
        <v>27</v>
      </c>
      <c r="C22" s="63"/>
      <c r="D22" s="157">
        <f>+D17+D20-D21</f>
        <v>10730977987.34</v>
      </c>
      <c r="E22" s="158"/>
      <c r="F22" s="158"/>
      <c r="G22" s="157">
        <f>+G17+G20-G21</f>
        <v>2724925607.7146826</v>
      </c>
      <c r="H22" s="158"/>
      <c r="I22" s="159"/>
      <c r="J22" s="160"/>
      <c r="L22" s="181" t="s">
        <v>45</v>
      </c>
      <c r="M22" s="14">
        <v>1.3</v>
      </c>
      <c r="N22" s="71">
        <v>0</v>
      </c>
      <c r="O22" s="72"/>
      <c r="P22" s="73">
        <v>21725046</v>
      </c>
      <c r="Q22" s="74"/>
      <c r="R22" s="75"/>
      <c r="S22" s="76"/>
    </row>
    <row r="23" spans="2:19">
      <c r="L23" s="181" t="s">
        <v>95</v>
      </c>
      <c r="M23" s="14"/>
      <c r="N23" s="71">
        <v>268376392</v>
      </c>
      <c r="O23" s="72"/>
      <c r="P23" s="73">
        <v>0</v>
      </c>
      <c r="Q23" s="74"/>
      <c r="R23" s="75"/>
      <c r="S23" s="76"/>
    </row>
    <row r="24" spans="2:19">
      <c r="L24" s="181" t="s">
        <v>52</v>
      </c>
      <c r="M24" s="14">
        <v>4.5</v>
      </c>
      <c r="N24" s="71">
        <v>1223030000</v>
      </c>
      <c r="O24" s="72"/>
      <c r="P24" s="73">
        <v>1223030000</v>
      </c>
      <c r="Q24" s="74"/>
      <c r="R24" s="75"/>
      <c r="S24" s="76"/>
    </row>
    <row r="25" spans="2:19">
      <c r="L25" s="181" t="s">
        <v>48</v>
      </c>
      <c r="M25" s="14">
        <v>7.1</v>
      </c>
      <c r="N25" s="71">
        <v>1240741209.072855</v>
      </c>
      <c r="O25" s="72"/>
      <c r="P25" s="73">
        <v>263856489</v>
      </c>
      <c r="Q25" s="74"/>
      <c r="R25" s="75"/>
      <c r="S25" s="76"/>
    </row>
    <row r="26" spans="2:19">
      <c r="L26" s="187" t="s">
        <v>107</v>
      </c>
      <c r="M26" s="188"/>
      <c r="N26" s="189">
        <f>+SUM(N21:N25)</f>
        <v>5326982005.2028551</v>
      </c>
      <c r="O26" s="188"/>
      <c r="P26" s="189">
        <f>+SUM(P21:P25)</f>
        <v>3236491958.0699997</v>
      </c>
      <c r="Q26" s="188"/>
      <c r="R26" s="188"/>
      <c r="S26" s="188"/>
    </row>
    <row r="27" spans="2:19">
      <c r="L27" s="181" t="s">
        <v>66</v>
      </c>
      <c r="M27" s="14">
        <v>8</v>
      </c>
      <c r="N27" s="71">
        <v>217884946.44</v>
      </c>
      <c r="O27" s="72"/>
      <c r="P27" s="73">
        <v>452006325.44</v>
      </c>
      <c r="Q27" s="74"/>
      <c r="R27" s="75"/>
      <c r="S27" s="76"/>
    </row>
    <row r="28" spans="2:19">
      <c r="L28" s="181" t="s">
        <v>63</v>
      </c>
      <c r="M28" s="14">
        <v>7.1</v>
      </c>
      <c r="N28" s="71">
        <v>35114588</v>
      </c>
      <c r="O28" s="72"/>
      <c r="P28" s="73">
        <v>539915397</v>
      </c>
      <c r="Q28" s="74"/>
      <c r="R28" s="75"/>
      <c r="S28" s="76"/>
    </row>
    <row r="29" spans="2:19">
      <c r="L29" s="187" t="s">
        <v>106</v>
      </c>
      <c r="M29" s="188"/>
      <c r="N29" s="189">
        <f>+N27+N28</f>
        <v>252999534.44</v>
      </c>
      <c r="O29" s="188"/>
      <c r="P29" s="189">
        <f>+P27+P28</f>
        <v>991921722.44000006</v>
      </c>
      <c r="Q29" s="188"/>
      <c r="R29" s="188"/>
      <c r="S29" s="188"/>
    </row>
    <row r="30" spans="2:19">
      <c r="L30" s="190" t="s">
        <v>105</v>
      </c>
      <c r="M30" s="191"/>
      <c r="N30" s="192">
        <f>+N26-N29</f>
        <v>5073982470.7628555</v>
      </c>
      <c r="O30" s="191"/>
      <c r="P30" s="192">
        <f>+P26-P29</f>
        <v>2244570235.6299996</v>
      </c>
      <c r="Q30" s="191"/>
      <c r="R30" s="191"/>
      <c r="S30" s="191"/>
    </row>
    <row r="31" spans="2:19">
      <c r="L31" s="195" t="s">
        <v>109</v>
      </c>
      <c r="M31" s="195"/>
      <c r="N31" s="196">
        <f>+N30+N20</f>
        <v>23479483045.172852</v>
      </c>
      <c r="O31" s="195"/>
      <c r="P31" s="196">
        <f>+P30+P20</f>
        <v>16250013205.004686</v>
      </c>
      <c r="Q31" s="195"/>
      <c r="R31" s="195"/>
      <c r="S31" s="195"/>
    </row>
    <row r="32" spans="2:19">
      <c r="L32" s="181" t="s">
        <v>60</v>
      </c>
      <c r="M32" s="14">
        <v>5.3</v>
      </c>
      <c r="N32" s="71">
        <v>518309522.00999999</v>
      </c>
      <c r="O32" s="72"/>
      <c r="P32" s="73">
        <v>2295243321.1700001</v>
      </c>
      <c r="Q32" s="74"/>
      <c r="R32" s="75"/>
      <c r="S32" s="76"/>
    </row>
    <row r="33" spans="12:19">
      <c r="L33" s="197" t="s">
        <v>110</v>
      </c>
      <c r="M33" s="183"/>
      <c r="N33" s="184">
        <f>+N32</f>
        <v>518309522.00999999</v>
      </c>
      <c r="O33" s="183"/>
      <c r="P33" s="184">
        <f>+P32</f>
        <v>2295243321.1700001</v>
      </c>
      <c r="Q33" s="183"/>
      <c r="R33" s="183"/>
      <c r="S33" s="183"/>
    </row>
    <row r="34" spans="12:19">
      <c r="L34" s="181" t="s">
        <v>60</v>
      </c>
      <c r="M34" s="14">
        <v>5.3</v>
      </c>
      <c r="N34" s="71">
        <v>236690165</v>
      </c>
      <c r="O34" s="72"/>
      <c r="P34" s="73">
        <v>1961264510.98</v>
      </c>
      <c r="Q34" s="74"/>
      <c r="R34" s="75"/>
      <c r="S34" s="76"/>
    </row>
    <row r="35" spans="12:19">
      <c r="L35" s="197" t="s">
        <v>111</v>
      </c>
      <c r="M35" s="183"/>
      <c r="N35" s="184">
        <f>+N34</f>
        <v>236690165</v>
      </c>
      <c r="O35" s="183"/>
      <c r="P35" s="184">
        <f>+P34</f>
        <v>1961264510.98</v>
      </c>
      <c r="Q35" s="183"/>
      <c r="R35" s="183"/>
      <c r="S35" s="183"/>
    </row>
    <row r="36" spans="12:19">
      <c r="L36" s="187" t="s">
        <v>112</v>
      </c>
      <c r="M36" s="188"/>
      <c r="N36" s="189">
        <f>+N33+N35</f>
        <v>754999687.00999999</v>
      </c>
      <c r="O36" s="188"/>
      <c r="P36" s="189">
        <f>+P33+P35</f>
        <v>4256507832.1500001</v>
      </c>
      <c r="Q36" s="188"/>
      <c r="R36" s="188"/>
      <c r="S36" s="188"/>
    </row>
    <row r="37" spans="12:19">
      <c r="L37" s="181" t="s">
        <v>71</v>
      </c>
      <c r="M37" s="14">
        <v>9</v>
      </c>
      <c r="N37" s="71">
        <v>2060803967.3599999</v>
      </c>
      <c r="O37" s="72"/>
      <c r="P37" s="73">
        <v>2060803967.3599999</v>
      </c>
      <c r="Q37" s="74"/>
      <c r="R37" s="75"/>
      <c r="S37" s="76"/>
    </row>
    <row r="38" spans="12:19">
      <c r="L38" s="181" t="s">
        <v>72</v>
      </c>
      <c r="M38" s="14">
        <v>9.1999999999999993</v>
      </c>
      <c r="N38" s="71">
        <v>2000000000</v>
      </c>
      <c r="O38" s="72"/>
      <c r="P38" s="73">
        <v>2000000000</v>
      </c>
      <c r="Q38" s="74"/>
      <c r="R38" s="75"/>
      <c r="S38" s="76"/>
    </row>
    <row r="39" spans="12:19">
      <c r="L39" s="181" t="s">
        <v>73</v>
      </c>
      <c r="M39" s="14">
        <v>9.1</v>
      </c>
      <c r="N39" s="71">
        <v>4234095263.4499998</v>
      </c>
      <c r="O39" s="72"/>
      <c r="P39" s="73">
        <v>1774057625.79</v>
      </c>
      <c r="Q39" s="74"/>
      <c r="R39" s="75"/>
      <c r="S39" s="76"/>
    </row>
    <row r="40" spans="12:19">
      <c r="L40" s="181" t="s">
        <v>74</v>
      </c>
      <c r="M40" s="14">
        <v>9</v>
      </c>
      <c r="N40" s="71">
        <v>3313032491.5100002</v>
      </c>
      <c r="O40" s="72"/>
      <c r="P40" s="73">
        <v>3313032491.5100002</v>
      </c>
      <c r="Q40" s="74"/>
      <c r="R40" s="75"/>
      <c r="S40" s="76"/>
    </row>
    <row r="41" spans="12:19">
      <c r="L41" s="181" t="s">
        <v>75</v>
      </c>
      <c r="M41" s="14">
        <v>9</v>
      </c>
      <c r="N41" s="71">
        <v>385573649.13</v>
      </c>
      <c r="O41" s="72"/>
      <c r="P41" s="73">
        <v>120685682.13</v>
      </c>
      <c r="Q41" s="74"/>
      <c r="R41" s="75"/>
      <c r="S41" s="76"/>
    </row>
    <row r="42" spans="12:19">
      <c r="L42" s="181" t="s">
        <v>76</v>
      </c>
      <c r="M42" s="14"/>
      <c r="N42" s="71">
        <v>10730977987.340004</v>
      </c>
      <c r="O42" s="72"/>
      <c r="P42" s="73">
        <v>2724925607.7146826</v>
      </c>
      <c r="Q42" s="74"/>
      <c r="R42" s="75"/>
      <c r="S42" s="76"/>
    </row>
    <row r="43" spans="12:19">
      <c r="L43" s="187" t="s">
        <v>113</v>
      </c>
      <c r="M43" s="188"/>
      <c r="N43" s="189">
        <f>+SUM(N37:N42)</f>
        <v>22724483358.790001</v>
      </c>
      <c r="O43" s="188"/>
      <c r="P43" s="189">
        <f>+SUM(P37:P42)</f>
        <v>11993505374.504681</v>
      </c>
      <c r="Q43" s="188"/>
      <c r="R43" s="188"/>
      <c r="S43" s="188"/>
    </row>
    <row r="44" spans="12:19">
      <c r="L44" s="190" t="s">
        <v>114</v>
      </c>
      <c r="M44" s="191"/>
      <c r="N44" s="192">
        <f>+N36+N43</f>
        <v>23479483045.799999</v>
      </c>
      <c r="O44" s="191"/>
      <c r="P44" s="192">
        <f>+P36+P43</f>
        <v>16250013206.65468</v>
      </c>
      <c r="Q44" s="191"/>
      <c r="R44" s="191"/>
      <c r="S44" s="191"/>
    </row>
    <row r="45" spans="12:19">
      <c r="N45" s="170"/>
      <c r="P45" s="170"/>
    </row>
    <row r="46" spans="12:19">
      <c r="N46" s="170"/>
      <c r="P46" s="17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D33D5-F7AB-4DB0-AA1B-BAD0B867C934}">
  <sheetPr>
    <tabColor theme="8" tint="-0.499984740745262"/>
  </sheetPr>
  <dimension ref="B3:Q67"/>
  <sheetViews>
    <sheetView showGridLines="0" zoomScale="93" zoomScaleNormal="150" workbookViewId="0"/>
  </sheetViews>
  <sheetFormatPr baseColWidth="10" defaultColWidth="11.44140625" defaultRowHeight="13.8"/>
  <cols>
    <col min="1" max="1" width="4.44140625" style="1" customWidth="1"/>
    <col min="2" max="2" width="43.33203125" style="1" customWidth="1"/>
    <col min="3" max="3" width="5.33203125" style="143" customWidth="1"/>
    <col min="4" max="4" width="18.33203125" style="144" bestFit="1" customWidth="1"/>
    <col min="5" max="5" width="8.5546875" style="145" bestFit="1" customWidth="1"/>
    <col min="6" max="6" width="18.33203125" style="68" bestFit="1" customWidth="1"/>
    <col min="7" max="7" width="8.5546875" style="67" bestFit="1" customWidth="1"/>
    <col min="8" max="8" width="15" style="68" customWidth="1"/>
    <col min="9" max="9" width="10.6640625" style="69" customWidth="1"/>
    <col min="10" max="10" width="16.88671875" style="1" bestFit="1" customWidth="1"/>
    <col min="11" max="11" width="6.6640625" style="1" customWidth="1"/>
    <col min="12" max="12" width="17.44140625" style="1" customWidth="1"/>
    <col min="13" max="16" width="11.44140625" style="1"/>
    <col min="17" max="17" width="18.109375" style="1" bestFit="1" customWidth="1"/>
    <col min="18" max="16384" width="11.44140625" style="1"/>
  </cols>
  <sheetData>
    <row r="3" spans="2:12" ht="18.75" customHeight="1">
      <c r="B3" s="421" t="s">
        <v>0</v>
      </c>
      <c r="C3" s="421"/>
      <c r="D3" s="421"/>
      <c r="E3" s="421"/>
      <c r="F3" s="421"/>
      <c r="G3" s="421"/>
      <c r="H3" s="421"/>
      <c r="I3" s="421"/>
      <c r="J3" s="58"/>
    </row>
    <row r="4" spans="2:12" ht="21">
      <c r="B4" s="421" t="s">
        <v>1</v>
      </c>
      <c r="C4" s="421"/>
      <c r="D4" s="421"/>
      <c r="E4" s="421"/>
      <c r="F4" s="421"/>
      <c r="G4" s="421"/>
      <c r="H4" s="421"/>
      <c r="I4" s="421"/>
      <c r="J4" s="58"/>
    </row>
    <row r="5" spans="2:12" ht="18" customHeight="1">
      <c r="B5" s="421" t="s">
        <v>39</v>
      </c>
      <c r="C5" s="421"/>
      <c r="D5" s="421"/>
      <c r="E5" s="421"/>
      <c r="F5" s="421"/>
      <c r="G5" s="421"/>
      <c r="H5" s="421"/>
      <c r="I5" s="421"/>
    </row>
    <row r="6" spans="2:12" ht="21">
      <c r="B6" s="421" t="s">
        <v>83</v>
      </c>
      <c r="C6" s="421"/>
      <c r="D6" s="421"/>
      <c r="E6" s="421"/>
      <c r="F6" s="421"/>
      <c r="G6" s="421"/>
      <c r="H6" s="421"/>
      <c r="I6" s="421"/>
    </row>
    <row r="7" spans="2:12" ht="20.399999999999999">
      <c r="B7" s="422" t="s">
        <v>3</v>
      </c>
      <c r="C7" s="422"/>
      <c r="D7" s="422"/>
      <c r="E7" s="422"/>
      <c r="F7" s="422"/>
      <c r="G7" s="422"/>
      <c r="H7" s="422"/>
      <c r="I7" s="422"/>
    </row>
    <row r="8" spans="2:12" ht="20.399999999999999">
      <c r="B8" s="146"/>
      <c r="C8" s="146" t="s">
        <v>5</v>
      </c>
      <c r="D8" s="147" t="s">
        <v>84</v>
      </c>
      <c r="E8" s="148" t="s">
        <v>7</v>
      </c>
      <c r="F8" s="147" t="s">
        <v>6</v>
      </c>
      <c r="G8" s="148" t="s">
        <v>7</v>
      </c>
      <c r="H8" s="149" t="s">
        <v>9</v>
      </c>
      <c r="I8" s="150" t="s">
        <v>10</v>
      </c>
    </row>
    <row r="9" spans="2:12">
      <c r="B9" s="63" t="s">
        <v>41</v>
      </c>
      <c r="C9" s="14"/>
      <c r="D9" s="64"/>
      <c r="E9" s="65"/>
      <c r="F9" s="66"/>
    </row>
    <row r="10" spans="2:12">
      <c r="B10" s="63" t="s">
        <v>42</v>
      </c>
      <c r="C10" s="14"/>
      <c r="D10" s="64"/>
      <c r="E10" s="65"/>
      <c r="F10" s="66"/>
    </row>
    <row r="11" spans="2:12">
      <c r="B11" s="70" t="s">
        <v>43</v>
      </c>
      <c r="C11" s="14">
        <v>1.1000000000000001</v>
      </c>
      <c r="D11" s="71">
        <v>2376856670.0599999</v>
      </c>
      <c r="E11" s="72">
        <f>+D11/$D$27</f>
        <v>6.3356573055043386E-2</v>
      </c>
      <c r="F11" s="73">
        <v>755101448.57000005</v>
      </c>
      <c r="G11" s="74">
        <f>+F11/$F$27</f>
        <v>2.2997234676156279E-2</v>
      </c>
      <c r="H11" s="75">
        <f>+D11-F11</f>
        <v>1621755221.4899998</v>
      </c>
      <c r="I11" s="76">
        <f t="shared" ref="I11:I54" si="0">+D11/F11-1</f>
        <v>2.1477315724413666</v>
      </c>
      <c r="J11" s="193" t="s">
        <v>92</v>
      </c>
    </row>
    <row r="12" spans="2:12">
      <c r="B12" s="211" t="s">
        <v>44</v>
      </c>
      <c r="C12" s="14">
        <v>1.2</v>
      </c>
      <c r="D12" s="71">
        <v>2594834404.1300001</v>
      </c>
      <c r="E12" s="72">
        <f t="shared" ref="E12:E18" si="1">+D12/$D$27</f>
        <v>6.9166903314726302E-2</v>
      </c>
      <c r="F12" s="73">
        <v>1727880423.0699999</v>
      </c>
      <c r="G12" s="74">
        <f t="shared" ref="G12:G19" si="2">+F12/$F$27</f>
        <v>5.2624017152833331E-2</v>
      </c>
      <c r="H12" s="204">
        <f t="shared" ref="H12:H14" si="3">+D12-F12</f>
        <v>866953981.06000018</v>
      </c>
      <c r="I12" s="76">
        <f t="shared" si="0"/>
        <v>0.5017442002842103</v>
      </c>
      <c r="J12" s="193" t="s">
        <v>93</v>
      </c>
      <c r="L12" s="19">
        <f>+F12-D12</f>
        <v>-866953981.06000018</v>
      </c>
    </row>
    <row r="13" spans="2:12">
      <c r="B13" s="213" t="s">
        <v>45</v>
      </c>
      <c r="C13" s="14">
        <v>1.3</v>
      </c>
      <c r="D13" s="71">
        <v>0</v>
      </c>
      <c r="E13" s="72">
        <f t="shared" si="1"/>
        <v>0</v>
      </c>
      <c r="F13" s="73">
        <v>21725046</v>
      </c>
      <c r="G13" s="74">
        <f t="shared" si="2"/>
        <v>6.6165411569326954E-4</v>
      </c>
      <c r="H13" s="204">
        <f t="shared" si="3"/>
        <v>-21725046</v>
      </c>
      <c r="I13" s="76">
        <f t="shared" si="0"/>
        <v>-1</v>
      </c>
      <c r="J13" s="193" t="s">
        <v>93</v>
      </c>
      <c r="L13" s="19">
        <f t="shared" ref="L13:L25" si="4">+F13-D13</f>
        <v>21725046</v>
      </c>
    </row>
    <row r="14" spans="2:12">
      <c r="B14" s="211" t="s">
        <v>46</v>
      </c>
      <c r="C14" s="14">
        <v>2</v>
      </c>
      <c r="D14" s="71">
        <v>7901915097.3000002</v>
      </c>
      <c r="E14" s="72">
        <f t="shared" si="1"/>
        <v>0.21063039578410925</v>
      </c>
      <c r="F14" s="73">
        <v>6439385556.9499998</v>
      </c>
      <c r="G14" s="74">
        <f t="shared" si="2"/>
        <v>0.19611677491001694</v>
      </c>
      <c r="H14" s="204">
        <f t="shared" si="3"/>
        <v>1462529540.3500004</v>
      </c>
      <c r="I14" s="76">
        <f t="shared" si="0"/>
        <v>0.22712253015685624</v>
      </c>
      <c r="L14" s="19">
        <f t="shared" si="4"/>
        <v>-1462529540.3500004</v>
      </c>
    </row>
    <row r="15" spans="2:12">
      <c r="B15" s="171" t="s">
        <v>94</v>
      </c>
      <c r="C15" s="172"/>
      <c r="D15" s="173">
        <f>+D14-D16</f>
        <v>7633538705.3000002</v>
      </c>
      <c r="E15" s="174"/>
      <c r="F15" s="173">
        <f>+F14-F16</f>
        <v>6439385556.9499998</v>
      </c>
      <c r="G15" s="175"/>
      <c r="H15" s="176"/>
      <c r="I15" s="177"/>
      <c r="J15" s="193" t="s">
        <v>92</v>
      </c>
      <c r="L15" s="19"/>
    </row>
    <row r="16" spans="2:12">
      <c r="B16" s="171" t="s">
        <v>95</v>
      </c>
      <c r="C16" s="172"/>
      <c r="D16" s="173">
        <v>268376392</v>
      </c>
      <c r="E16" s="174"/>
      <c r="F16" s="178">
        <v>0</v>
      </c>
      <c r="G16" s="175"/>
      <c r="H16" s="176"/>
      <c r="I16" s="177"/>
      <c r="J16" s="193" t="s">
        <v>93</v>
      </c>
      <c r="L16" s="19"/>
    </row>
    <row r="17" spans="2:17">
      <c r="B17" s="211" t="s">
        <v>47</v>
      </c>
      <c r="C17" s="14">
        <v>3</v>
      </c>
      <c r="D17" s="71">
        <v>10866193153.99</v>
      </c>
      <c r="E17" s="72">
        <f t="shared" si="1"/>
        <v>0.28964504636015814</v>
      </c>
      <c r="F17" s="73">
        <v>10564508473.16</v>
      </c>
      <c r="G17" s="74">
        <f t="shared" si="2"/>
        <v>0.32175078071377766</v>
      </c>
      <c r="H17" s="204">
        <f t="shared" ref="H17:H18" si="5">+D17-F17</f>
        <v>301684680.82999992</v>
      </c>
      <c r="I17" s="76">
        <f t="shared" si="0"/>
        <v>2.8556433230798595E-2</v>
      </c>
      <c r="J17" s="193" t="s">
        <v>92</v>
      </c>
      <c r="L17" s="19">
        <f t="shared" si="4"/>
        <v>-301684680.82999992</v>
      </c>
    </row>
    <row r="18" spans="2:17" ht="15" customHeight="1">
      <c r="B18" s="211" t="s">
        <v>48</v>
      </c>
      <c r="C18" s="14">
        <v>7.1</v>
      </c>
      <c r="D18" s="78">
        <v>1569994000</v>
      </c>
      <c r="E18" s="72">
        <f t="shared" si="1"/>
        <v>4.1849153468083898E-2</v>
      </c>
      <c r="F18" s="73">
        <v>1201820000</v>
      </c>
      <c r="G18" s="74">
        <f t="shared" si="2"/>
        <v>3.6602414987866316E-2</v>
      </c>
      <c r="H18" s="204">
        <f t="shared" si="5"/>
        <v>368174000</v>
      </c>
      <c r="I18" s="76">
        <f t="shared" si="0"/>
        <v>0.30634704032217797</v>
      </c>
      <c r="J18" s="193" t="s">
        <v>92</v>
      </c>
      <c r="L18" s="19">
        <f t="shared" si="4"/>
        <v>-368174000</v>
      </c>
    </row>
    <row r="19" spans="2:17">
      <c r="B19" s="63" t="s">
        <v>49</v>
      </c>
      <c r="C19" s="14"/>
      <c r="D19" s="79">
        <v>25309793325.480003</v>
      </c>
      <c r="E19" s="80">
        <f>SUM(E11:E18)</f>
        <v>0.67464807198212096</v>
      </c>
      <c r="F19" s="81">
        <v>20710420947.75</v>
      </c>
      <c r="G19" s="82">
        <f t="shared" si="2"/>
        <v>0.63075287655634382</v>
      </c>
      <c r="H19" s="83">
        <f>SUM(H11:H18)</f>
        <v>4599372377.7300005</v>
      </c>
      <c r="I19" s="76">
        <f t="shared" si="0"/>
        <v>0.22208010109179765</v>
      </c>
      <c r="L19" s="19"/>
    </row>
    <row r="20" spans="2:17">
      <c r="B20" s="70" t="s">
        <v>14</v>
      </c>
      <c r="C20" s="14"/>
      <c r="D20" s="84"/>
      <c r="E20" s="74"/>
      <c r="F20" s="85"/>
      <c r="G20" s="74"/>
      <c r="H20" s="75"/>
      <c r="I20" s="86"/>
      <c r="L20" s="19"/>
    </row>
    <row r="21" spans="2:17">
      <c r="B21" s="63" t="s">
        <v>50</v>
      </c>
      <c r="C21" s="14"/>
      <c r="D21" s="84"/>
      <c r="E21" s="74"/>
      <c r="F21" s="85"/>
      <c r="G21" s="74"/>
      <c r="H21" s="75"/>
      <c r="I21" s="86"/>
      <c r="L21" s="19"/>
    </row>
    <row r="22" spans="2:17" ht="15" customHeight="1">
      <c r="B22" s="211" t="s">
        <v>51</v>
      </c>
      <c r="C22" s="14">
        <v>4.0999999999999996</v>
      </c>
      <c r="D22" s="71">
        <v>9741985241.0799999</v>
      </c>
      <c r="E22" s="72">
        <f t="shared" ref="E22:E27" si="6">+D22/$D$27</f>
        <v>0.25967859459193171</v>
      </c>
      <c r="F22" s="73">
        <v>10637138060.860001</v>
      </c>
      <c r="G22" s="74">
        <f t="shared" ref="G22:G27" si="7">+F22/$F$27</f>
        <v>0.32396277444777533</v>
      </c>
      <c r="H22" s="204">
        <f t="shared" ref="H22:H25" si="8">+D22-F22</f>
        <v>-895152819.78000069</v>
      </c>
      <c r="I22" s="76">
        <f t="shared" si="0"/>
        <v>-8.4153539670014266E-2</v>
      </c>
      <c r="J22" s="193" t="s">
        <v>92</v>
      </c>
      <c r="L22" s="19">
        <f t="shared" si="4"/>
        <v>895152819.78000069</v>
      </c>
      <c r="P22" s="1">
        <v>10637</v>
      </c>
    </row>
    <row r="23" spans="2:17" ht="15" customHeight="1">
      <c r="B23" s="211" t="s">
        <v>52</v>
      </c>
      <c r="C23" s="14">
        <v>4.5</v>
      </c>
      <c r="D23" s="71">
        <v>1223030000</v>
      </c>
      <c r="E23" s="72">
        <f t="shared" si="6"/>
        <v>3.2600615139975475E-2</v>
      </c>
      <c r="F23" s="73">
        <v>1223030000</v>
      </c>
      <c r="G23" s="74">
        <f t="shared" si="7"/>
        <v>3.7248382954693834E-2</v>
      </c>
      <c r="H23" s="204">
        <f t="shared" si="8"/>
        <v>0</v>
      </c>
      <c r="I23" s="76">
        <f t="shared" si="0"/>
        <v>0</v>
      </c>
      <c r="J23" s="193" t="s">
        <v>93</v>
      </c>
      <c r="L23" s="19">
        <f t="shared" si="4"/>
        <v>0</v>
      </c>
      <c r="P23" s="1">
        <v>803</v>
      </c>
    </row>
    <row r="24" spans="2:17" ht="15" hidden="1" customHeight="1">
      <c r="B24" s="70" t="s">
        <v>53</v>
      </c>
      <c r="C24" s="14"/>
      <c r="D24" s="71">
        <v>0</v>
      </c>
      <c r="E24" s="72">
        <f t="shared" si="6"/>
        <v>0</v>
      </c>
      <c r="F24" s="73">
        <v>0</v>
      </c>
      <c r="G24" s="74">
        <f t="shared" si="7"/>
        <v>0</v>
      </c>
      <c r="H24" s="75">
        <f t="shared" si="8"/>
        <v>0</v>
      </c>
      <c r="I24" s="76">
        <v>0</v>
      </c>
      <c r="L24" s="19">
        <f t="shared" si="4"/>
        <v>0</v>
      </c>
    </row>
    <row r="25" spans="2:17">
      <c r="B25" s="211" t="s">
        <v>48</v>
      </c>
      <c r="C25" s="14">
        <v>7.1</v>
      </c>
      <c r="D25" s="87">
        <v>1240741209.072855</v>
      </c>
      <c r="E25" s="72">
        <f t="shared" si="6"/>
        <v>3.3072718285971719E-2</v>
      </c>
      <c r="F25" s="73">
        <v>263856489</v>
      </c>
      <c r="G25" s="74">
        <f t="shared" si="7"/>
        <v>8.0359660411870194E-3</v>
      </c>
      <c r="H25" s="204">
        <f t="shared" si="8"/>
        <v>976884720.072855</v>
      </c>
      <c r="I25" s="76">
        <f t="shared" si="0"/>
        <v>3.7023335062752807</v>
      </c>
      <c r="J25" s="193" t="s">
        <v>93</v>
      </c>
      <c r="K25" s="1" t="s">
        <v>54</v>
      </c>
      <c r="L25" s="19">
        <f t="shared" si="4"/>
        <v>-976884720.072855</v>
      </c>
      <c r="P25" s="1">
        <v>-1155</v>
      </c>
    </row>
    <row r="26" spans="2:17">
      <c r="B26" s="63" t="s">
        <v>55</v>
      </c>
      <c r="C26" s="14"/>
      <c r="D26" s="79">
        <v>12205756450.152855</v>
      </c>
      <c r="E26" s="80">
        <f t="shared" si="6"/>
        <v>0.32535192801787893</v>
      </c>
      <c r="F26" s="81">
        <v>12124024549.860001</v>
      </c>
      <c r="G26" s="82">
        <f t="shared" si="7"/>
        <v>0.36924712344365618</v>
      </c>
      <c r="H26" s="83">
        <f>SUM(H22:H25)</f>
        <v>81731900.292854309</v>
      </c>
      <c r="I26" s="76">
        <f t="shared" si="0"/>
        <v>6.7413176174901945E-3</v>
      </c>
      <c r="P26" s="1">
        <v>203</v>
      </c>
    </row>
    <row r="27" spans="2:17" ht="14.4" thickBot="1">
      <c r="B27" s="63" t="s">
        <v>56</v>
      </c>
      <c r="C27" s="14"/>
      <c r="D27" s="88">
        <v>37515549775.632858</v>
      </c>
      <c r="E27" s="80">
        <f t="shared" si="6"/>
        <v>1</v>
      </c>
      <c r="F27" s="89">
        <v>32834445497.610001</v>
      </c>
      <c r="G27" s="82">
        <f t="shared" si="7"/>
        <v>1</v>
      </c>
      <c r="H27" s="90">
        <f>+H19+H26</f>
        <v>4681104278.0228548</v>
      </c>
      <c r="I27" s="76">
        <f t="shared" si="0"/>
        <v>0.14256687472805329</v>
      </c>
      <c r="J27" s="19"/>
      <c r="K27" s="91"/>
      <c r="P27" s="1">
        <v>-746</v>
      </c>
      <c r="Q27" s="144">
        <v>-746001231</v>
      </c>
    </row>
    <row r="28" spans="2:17" ht="14.4" thickTop="1">
      <c r="B28" s="70" t="s">
        <v>14</v>
      </c>
      <c r="C28" s="14"/>
      <c r="D28" s="92">
        <f>+D27-D11</f>
        <v>35138693105.572861</v>
      </c>
      <c r="E28" s="74"/>
      <c r="F28" s="92">
        <f>+F27-F11</f>
        <v>32079344049.040001</v>
      </c>
      <c r="G28" s="74"/>
      <c r="H28" s="75"/>
      <c r="I28" s="86"/>
      <c r="P28" s="1">
        <f>+SUM(P22:P27)</f>
        <v>9742</v>
      </c>
    </row>
    <row r="29" spans="2:17">
      <c r="B29" s="63" t="s">
        <v>57</v>
      </c>
      <c r="C29" s="14"/>
      <c r="D29" s="92"/>
      <c r="E29" s="74"/>
      <c r="F29" s="93"/>
      <c r="G29" s="74"/>
      <c r="H29" s="75"/>
      <c r="I29" s="86"/>
    </row>
    <row r="30" spans="2:17" ht="15" customHeight="1">
      <c r="B30" s="63" t="s">
        <v>58</v>
      </c>
      <c r="C30" s="14"/>
      <c r="D30" s="92"/>
      <c r="E30" s="74"/>
      <c r="F30" s="93"/>
      <c r="G30" s="74"/>
      <c r="H30" s="75"/>
      <c r="I30" s="86"/>
    </row>
    <row r="31" spans="2:17">
      <c r="B31" s="214" t="s">
        <v>59</v>
      </c>
      <c r="C31" s="215">
        <v>5.2</v>
      </c>
      <c r="D31" s="216">
        <v>2157079000</v>
      </c>
      <c r="E31" s="217">
        <f t="shared" ref="E31:E36" si="9">+D31/$D$54</f>
        <v>5.7498264397620714E-2</v>
      </c>
      <c r="F31" s="218">
        <v>1944884000</v>
      </c>
      <c r="G31" s="219">
        <f t="shared" ref="G31:G36" si="10">+F31/$F$54</f>
        <v>5.923303928196582E-2</v>
      </c>
      <c r="H31" s="220">
        <f t="shared" ref="H31:H35" si="11">+D31-F31</f>
        <v>212195000</v>
      </c>
      <c r="I31" s="221">
        <f t="shared" si="0"/>
        <v>0.10910419336063226</v>
      </c>
      <c r="J31" s="222" t="s">
        <v>92</v>
      </c>
      <c r="K31" s="222"/>
      <c r="L31" s="223">
        <f>+D31-F31</f>
        <v>212195000</v>
      </c>
    </row>
    <row r="32" spans="2:17">
      <c r="B32" s="214" t="s">
        <v>60</v>
      </c>
      <c r="C32" s="215">
        <v>5.3</v>
      </c>
      <c r="D32" s="216">
        <v>518309522.00999999</v>
      </c>
      <c r="E32" s="217">
        <f t="shared" si="9"/>
        <v>1.3815858360465887E-2</v>
      </c>
      <c r="F32" s="218">
        <v>2295243321.1700001</v>
      </c>
      <c r="G32" s="219">
        <f t="shared" si="10"/>
        <v>6.990352010944216E-2</v>
      </c>
      <c r="H32" s="220">
        <f t="shared" si="11"/>
        <v>-1776933799.1600001</v>
      </c>
      <c r="I32" s="221">
        <f t="shared" si="0"/>
        <v>-0.774181012867171</v>
      </c>
      <c r="J32" s="222" t="s">
        <v>96</v>
      </c>
      <c r="K32" s="222"/>
      <c r="L32" s="223">
        <f t="shared" ref="L32:L35" si="12">+D32-F32</f>
        <v>-1776933799.1600001</v>
      </c>
    </row>
    <row r="33" spans="2:12" s="33" customFormat="1">
      <c r="B33" s="212" t="s">
        <v>85</v>
      </c>
      <c r="C33" s="14">
        <v>6.1</v>
      </c>
      <c r="D33" s="95">
        <v>4480219088.4399996</v>
      </c>
      <c r="E33" s="96">
        <f t="shared" si="9"/>
        <v>0.11942298900800126</v>
      </c>
      <c r="F33" s="97">
        <v>7725520950.0100002</v>
      </c>
      <c r="G33" s="74">
        <f t="shared" si="10"/>
        <v>0.23528708442539104</v>
      </c>
      <c r="H33" s="204">
        <f t="shared" si="11"/>
        <v>-3245301861.5700006</v>
      </c>
      <c r="I33" s="76">
        <f t="shared" si="0"/>
        <v>-0.42007547226518105</v>
      </c>
      <c r="J33" s="194" t="s">
        <v>92</v>
      </c>
      <c r="L33" s="68">
        <f t="shared" si="12"/>
        <v>-3245301861.5700006</v>
      </c>
    </row>
    <row r="34" spans="2:12" ht="15" customHeight="1">
      <c r="B34" s="211" t="s">
        <v>62</v>
      </c>
      <c r="C34" s="14">
        <v>6.2</v>
      </c>
      <c r="D34" s="71">
        <v>275806899</v>
      </c>
      <c r="E34" s="72">
        <f t="shared" si="9"/>
        <v>7.3518021367737912E-3</v>
      </c>
      <c r="F34" s="73">
        <v>238563887</v>
      </c>
      <c r="G34" s="74">
        <f t="shared" si="10"/>
        <v>7.2656590778316108E-3</v>
      </c>
      <c r="H34" s="204">
        <f>+D34-F34</f>
        <v>37243012</v>
      </c>
      <c r="I34" s="76">
        <f>+D34/F34-1</f>
        <v>0.15611336849151858</v>
      </c>
      <c r="J34" s="193" t="s">
        <v>92</v>
      </c>
      <c r="K34" s="98"/>
      <c r="L34" s="68">
        <f t="shared" si="12"/>
        <v>37243012</v>
      </c>
    </row>
    <row r="35" spans="2:12">
      <c r="B35" s="211" t="s">
        <v>63</v>
      </c>
      <c r="C35" s="14">
        <v>7</v>
      </c>
      <c r="D35" s="78">
        <v>5079950517.1600008</v>
      </c>
      <c r="E35" s="72">
        <f t="shared" si="9"/>
        <v>0.13540919825490666</v>
      </c>
      <c r="F35" s="73">
        <v>1400982999.9453151</v>
      </c>
      <c r="G35" s="74">
        <f t="shared" si="10"/>
        <v>4.2668087695269828E-2</v>
      </c>
      <c r="H35" s="204">
        <f t="shared" si="11"/>
        <v>3678967517.2146854</v>
      </c>
      <c r="I35" s="76">
        <f t="shared" si="0"/>
        <v>2.6259901207639835</v>
      </c>
      <c r="J35" s="193" t="s">
        <v>92</v>
      </c>
      <c r="L35" s="68">
        <f t="shared" si="12"/>
        <v>3678967517.2146854</v>
      </c>
    </row>
    <row r="36" spans="2:12">
      <c r="B36" s="63" t="s">
        <v>64</v>
      </c>
      <c r="C36" s="14"/>
      <c r="D36" s="79">
        <v>12511365026.610001</v>
      </c>
      <c r="E36" s="72">
        <f t="shared" si="9"/>
        <v>0.33349811215776831</v>
      </c>
      <c r="F36" s="81">
        <v>13605195158.125315</v>
      </c>
      <c r="G36" s="82">
        <f t="shared" si="10"/>
        <v>0.41435739058990045</v>
      </c>
      <c r="H36" s="83">
        <f>SUM(H31:H35)</f>
        <v>-1093830131.5153151</v>
      </c>
      <c r="I36" s="76">
        <f t="shared" si="0"/>
        <v>-8.0397974362172664E-2</v>
      </c>
    </row>
    <row r="37" spans="2:12">
      <c r="B37" s="70" t="s">
        <v>14</v>
      </c>
      <c r="C37" s="14"/>
      <c r="D37" s="92"/>
      <c r="E37" s="72"/>
      <c r="F37" s="93"/>
      <c r="G37" s="74"/>
      <c r="H37" s="75"/>
      <c r="I37" s="86"/>
    </row>
    <row r="38" spans="2:12">
      <c r="B38" s="63" t="s">
        <v>65</v>
      </c>
      <c r="C38" s="14"/>
      <c r="D38" s="92"/>
      <c r="E38" s="72"/>
      <c r="F38" s="93"/>
      <c r="G38" s="74"/>
      <c r="H38" s="75"/>
      <c r="I38" s="86"/>
    </row>
    <row r="39" spans="2:12" ht="15" customHeight="1">
      <c r="B39" s="211" t="s">
        <v>60</v>
      </c>
      <c r="C39" s="14">
        <v>5.3</v>
      </c>
      <c r="D39" s="71">
        <v>236690165</v>
      </c>
      <c r="E39" s="72">
        <f t="shared" ref="E39:E44" si="13">+D39/$D$54</f>
        <v>6.3091215887255275E-3</v>
      </c>
      <c r="F39" s="73">
        <v>1961264510.98</v>
      </c>
      <c r="G39" s="74">
        <f t="shared" ref="G39:G44" si="14">+F39/$F$54</f>
        <v>5.9731921194890708E-2</v>
      </c>
      <c r="H39" s="204">
        <f t="shared" ref="H39:H42" si="15">+D39-F39</f>
        <v>-1724574345.98</v>
      </c>
      <c r="I39" s="76">
        <f t="shared" si="0"/>
        <v>-0.87931757104923536</v>
      </c>
      <c r="J39" s="1" t="s">
        <v>96</v>
      </c>
      <c r="K39" s="98"/>
      <c r="L39" s="68">
        <f>+D39-F39</f>
        <v>-1724574345.98</v>
      </c>
    </row>
    <row r="40" spans="2:12">
      <c r="B40" s="211" t="s">
        <v>66</v>
      </c>
      <c r="C40" s="14">
        <v>8</v>
      </c>
      <c r="D40" s="71">
        <v>217884946.44</v>
      </c>
      <c r="E40" s="72">
        <f t="shared" si="13"/>
        <v>5.8078569485255516E-3</v>
      </c>
      <c r="F40" s="73">
        <v>452006325.44</v>
      </c>
      <c r="G40" s="74">
        <f t="shared" si="14"/>
        <v>1.3766223811026542E-2</v>
      </c>
      <c r="H40" s="205">
        <f t="shared" si="15"/>
        <v>-234121379</v>
      </c>
      <c r="I40" s="76">
        <f t="shared" si="0"/>
        <v>-0.51796040414279032</v>
      </c>
      <c r="J40" s="193" t="s">
        <v>93</v>
      </c>
      <c r="L40" s="68">
        <f t="shared" ref="L40:L42" si="16">+D40-F40</f>
        <v>-234121379</v>
      </c>
    </row>
    <row r="41" spans="2:12">
      <c r="B41" s="211" t="s">
        <v>67</v>
      </c>
      <c r="C41" s="14"/>
      <c r="D41" s="71">
        <v>1790011691.4200001</v>
      </c>
      <c r="E41" s="72">
        <f t="shared" si="13"/>
        <v>4.771386004318777E-2</v>
      </c>
      <c r="F41" s="73">
        <v>4282558733.21</v>
      </c>
      <c r="G41" s="74">
        <f t="shared" si="14"/>
        <v>0.13042884288808676</v>
      </c>
      <c r="H41" s="204">
        <f t="shared" si="15"/>
        <v>-2492547041.79</v>
      </c>
      <c r="I41" s="76">
        <f t="shared" si="0"/>
        <v>-0.58202285060588221</v>
      </c>
      <c r="J41" s="193" t="s">
        <v>92</v>
      </c>
      <c r="L41" s="68">
        <f t="shared" si="16"/>
        <v>-2492547041.79</v>
      </c>
    </row>
    <row r="42" spans="2:12">
      <c r="B42" s="211" t="s">
        <v>63</v>
      </c>
      <c r="C42" s="14">
        <v>7.1</v>
      </c>
      <c r="D42" s="99">
        <v>35114588</v>
      </c>
      <c r="E42" s="72">
        <f t="shared" si="13"/>
        <v>9.3600089057355781E-4</v>
      </c>
      <c r="F42" s="73">
        <v>539915397</v>
      </c>
      <c r="G42" s="74">
        <f t="shared" si="14"/>
        <v>1.6443566772845666E-2</v>
      </c>
      <c r="H42" s="204">
        <f t="shared" si="15"/>
        <v>-504800809</v>
      </c>
      <c r="I42" s="76">
        <f t="shared" si="0"/>
        <v>-0.93496279566185436</v>
      </c>
      <c r="J42" s="193" t="s">
        <v>93</v>
      </c>
      <c r="L42" s="68">
        <f t="shared" si="16"/>
        <v>-504800809</v>
      </c>
    </row>
    <row r="43" spans="2:12">
      <c r="B43" s="63" t="s">
        <v>68</v>
      </c>
      <c r="C43" s="14"/>
      <c r="D43" s="79">
        <v>2279701390.8600001</v>
      </c>
      <c r="E43" s="80">
        <f t="shared" si="13"/>
        <v>6.0766839471012406E-2</v>
      </c>
      <c r="F43" s="81">
        <v>7235744966.6300001</v>
      </c>
      <c r="G43" s="82">
        <f t="shared" si="14"/>
        <v>0.22037055466684966</v>
      </c>
      <c r="H43" s="100">
        <f>SUM(H39:H42)</f>
        <v>-4956043575.7700005</v>
      </c>
      <c r="I43" s="76">
        <f t="shared" si="0"/>
        <v>-0.68493895219171108</v>
      </c>
    </row>
    <row r="44" spans="2:12">
      <c r="B44" s="63" t="s">
        <v>69</v>
      </c>
      <c r="C44" s="14"/>
      <c r="D44" s="79">
        <v>14791066417.470001</v>
      </c>
      <c r="E44" s="80">
        <f t="shared" si="13"/>
        <v>0.39426495162878072</v>
      </c>
      <c r="F44" s="81">
        <v>20840940124.755314</v>
      </c>
      <c r="G44" s="82">
        <f t="shared" si="14"/>
        <v>0.63472794525675003</v>
      </c>
      <c r="H44" s="100">
        <f>+H36+H43</f>
        <v>-6049873707.2853155</v>
      </c>
      <c r="I44" s="76">
        <f t="shared" si="0"/>
        <v>-0.29028794627643228</v>
      </c>
      <c r="J44" s="19"/>
      <c r="K44" s="68"/>
    </row>
    <row r="45" spans="2:12" ht="15" customHeight="1">
      <c r="B45" s="70" t="s">
        <v>14</v>
      </c>
      <c r="C45" s="14"/>
      <c r="D45" s="92"/>
      <c r="E45" s="72"/>
      <c r="F45" s="93"/>
      <c r="G45" s="74"/>
      <c r="H45" s="75"/>
      <c r="I45" s="86"/>
    </row>
    <row r="46" spans="2:12" ht="15" customHeight="1">
      <c r="B46" s="63" t="s">
        <v>70</v>
      </c>
      <c r="C46" s="14"/>
      <c r="D46" s="92"/>
      <c r="E46" s="72"/>
      <c r="F46" s="93"/>
      <c r="G46" s="74"/>
      <c r="H46" s="75"/>
      <c r="I46" s="86"/>
    </row>
    <row r="47" spans="2:12">
      <c r="B47" s="70" t="s">
        <v>71</v>
      </c>
      <c r="C47" s="14">
        <v>9</v>
      </c>
      <c r="D47" s="71">
        <v>2060803967.3599999</v>
      </c>
      <c r="E47" s="72">
        <f>+D47/$D$54</f>
        <v>5.4931994325164261E-2</v>
      </c>
      <c r="F47" s="73">
        <v>2060803967.3599999</v>
      </c>
      <c r="G47" s="74">
        <f t="shared" ref="G47:G52" si="17">+F47/$F$54</f>
        <v>6.276347707681583E-2</v>
      </c>
      <c r="H47" s="204">
        <f t="shared" ref="H47:H51" si="18">+D47-F47</f>
        <v>0</v>
      </c>
      <c r="I47" s="76">
        <f t="shared" si="0"/>
        <v>0</v>
      </c>
      <c r="J47" s="1" t="s">
        <v>96</v>
      </c>
      <c r="L47" s="19">
        <f t="shared" ref="L47:L51" si="19">+D47-F47</f>
        <v>0</v>
      </c>
    </row>
    <row r="48" spans="2:12">
      <c r="B48" s="70" t="s">
        <v>72</v>
      </c>
      <c r="C48" s="14">
        <v>9.1999999999999993</v>
      </c>
      <c r="D48" s="71">
        <v>2000000000</v>
      </c>
      <c r="E48" s="72">
        <f>+D48/$D$54</f>
        <v>5.3311227263925627E-2</v>
      </c>
      <c r="F48" s="73">
        <v>2000000000</v>
      </c>
      <c r="G48" s="74">
        <f t="shared" si="17"/>
        <v>6.0911642321049293E-2</v>
      </c>
      <c r="H48" s="204">
        <f t="shared" si="18"/>
        <v>0</v>
      </c>
      <c r="I48" s="76">
        <v>0</v>
      </c>
      <c r="J48" s="1" t="s">
        <v>96</v>
      </c>
      <c r="L48" s="19">
        <f t="shared" si="19"/>
        <v>0</v>
      </c>
    </row>
    <row r="49" spans="2:14">
      <c r="B49" s="70" t="s">
        <v>73</v>
      </c>
      <c r="C49" s="14">
        <v>9.1</v>
      </c>
      <c r="D49" s="71">
        <v>4234095263.4499998</v>
      </c>
      <c r="E49" s="72">
        <f>+D49/$D$54</f>
        <v>0.112862407423447</v>
      </c>
      <c r="F49" s="73">
        <v>1774057625.79</v>
      </c>
      <c r="G49" s="74">
        <f t="shared" si="17"/>
        <v>5.4030381779525197E-2</v>
      </c>
      <c r="H49" s="204">
        <f t="shared" si="18"/>
        <v>2460037637.6599998</v>
      </c>
      <c r="I49" s="76">
        <f t="shared" si="0"/>
        <v>1.3866729027838249</v>
      </c>
      <c r="J49" s="1" t="s">
        <v>96</v>
      </c>
      <c r="L49" s="19">
        <f t="shared" si="19"/>
        <v>2460037637.6599998</v>
      </c>
    </row>
    <row r="50" spans="2:14">
      <c r="B50" s="70" t="s">
        <v>74</v>
      </c>
      <c r="C50" s="14">
        <v>9</v>
      </c>
      <c r="D50" s="71">
        <v>3313032491.5100002</v>
      </c>
      <c r="E50" s="72">
        <f>+D50/$D$54</f>
        <v>8.8310914043829694E-2</v>
      </c>
      <c r="F50" s="73">
        <v>3313032491.5100002</v>
      </c>
      <c r="G50" s="74">
        <f t="shared" si="17"/>
        <v>0.10090112506043596</v>
      </c>
      <c r="H50" s="204">
        <f t="shared" si="18"/>
        <v>0</v>
      </c>
      <c r="I50" s="76">
        <f t="shared" si="0"/>
        <v>0</v>
      </c>
      <c r="J50" s="1" t="s">
        <v>96</v>
      </c>
      <c r="L50" s="19">
        <f t="shared" si="19"/>
        <v>0</v>
      </c>
    </row>
    <row r="51" spans="2:14" ht="15" customHeight="1">
      <c r="B51" s="70" t="s">
        <v>75</v>
      </c>
      <c r="C51" s="14">
        <v>9</v>
      </c>
      <c r="D51" s="71">
        <v>385573649.13</v>
      </c>
      <c r="E51" s="72">
        <f t="shared" ref="E51" si="20">+D51/$D$54</f>
        <v>1.0277702217875275E-2</v>
      </c>
      <c r="F51" s="73">
        <v>120685682.13</v>
      </c>
      <c r="G51" s="74">
        <f t="shared" si="17"/>
        <v>3.675581551587205E-3</v>
      </c>
      <c r="H51" s="204">
        <f t="shared" si="18"/>
        <v>264887967</v>
      </c>
      <c r="I51" s="76">
        <f t="shared" si="0"/>
        <v>2.1948582659098568</v>
      </c>
      <c r="J51" s="1" t="s">
        <v>96</v>
      </c>
      <c r="L51" s="19">
        <f t="shared" si="19"/>
        <v>264887967</v>
      </c>
    </row>
    <row r="52" spans="2:14">
      <c r="B52" s="70" t="s">
        <v>76</v>
      </c>
      <c r="C52" s="14"/>
      <c r="D52" s="71">
        <v>10730977987.340004</v>
      </c>
      <c r="E52" s="72">
        <f>+D52/$D$54</f>
        <v>0.28604080312363311</v>
      </c>
      <c r="F52" s="73">
        <v>2724925607.7146826</v>
      </c>
      <c r="G52" s="74">
        <f t="shared" si="17"/>
        <v>8.298984698429232E-2</v>
      </c>
      <c r="H52" s="75">
        <f>+D52-F52</f>
        <v>8006052379.6253214</v>
      </c>
      <c r="I52" s="76">
        <f t="shared" si="0"/>
        <v>2.9380810826390849</v>
      </c>
      <c r="J52" s="1" t="s">
        <v>96</v>
      </c>
      <c r="K52" s="198"/>
      <c r="L52" s="19">
        <f>+D52-F52</f>
        <v>8006052379.6253214</v>
      </c>
    </row>
    <row r="53" spans="2:14">
      <c r="B53" s="63" t="s">
        <v>77</v>
      </c>
      <c r="C53" s="14"/>
      <c r="D53" s="79">
        <v>22724483358.790001</v>
      </c>
      <c r="E53" s="80">
        <f>+D53/$D$54</f>
        <v>0.60573504839787484</v>
      </c>
      <c r="F53" s="81">
        <v>11993505374.504681</v>
      </c>
      <c r="G53" s="82">
        <f>SUM(G47:G52)</f>
        <v>0.36527205477370583</v>
      </c>
      <c r="H53" s="81">
        <f>SUM(H47:H52)</f>
        <v>10730977984.28532</v>
      </c>
      <c r="I53" s="76">
        <f t="shared" si="0"/>
        <v>0.89473241135129755</v>
      </c>
      <c r="K53" s="206"/>
      <c r="L53" s="207"/>
      <c r="M53" s="208"/>
      <c r="N53" s="208"/>
    </row>
    <row r="54" spans="2:14" ht="14.4" thickBot="1">
      <c r="B54" s="63" t="s">
        <v>78</v>
      </c>
      <c r="C54" s="14"/>
      <c r="D54" s="88">
        <v>37515549775.260002</v>
      </c>
      <c r="E54" s="80">
        <f>+D54/$D$54</f>
        <v>1</v>
      </c>
      <c r="F54" s="89">
        <v>32834445498.259995</v>
      </c>
      <c r="G54" s="82">
        <f>+F54/$F$54</f>
        <v>1</v>
      </c>
      <c r="H54" s="89">
        <f>+H44+H53</f>
        <v>4681104277.0000048</v>
      </c>
      <c r="I54" s="76">
        <f t="shared" si="0"/>
        <v>0.14256687469407936</v>
      </c>
      <c r="K54" s="209"/>
      <c r="L54" s="208"/>
      <c r="M54" s="208"/>
      <c r="N54" s="208"/>
    </row>
    <row r="55" spans="2:14" ht="14.4" thickTop="1">
      <c r="B55" s="51"/>
      <c r="C55" s="101"/>
      <c r="D55" s="210">
        <f>+D53-D52</f>
        <v>11993505371.449997</v>
      </c>
      <c r="E55" s="103"/>
      <c r="F55" s="210">
        <f>+F53</f>
        <v>11993505374.504681</v>
      </c>
      <c r="K55" s="209"/>
      <c r="L55" s="208"/>
      <c r="M55" s="208"/>
      <c r="N55" s="208"/>
    </row>
    <row r="56" spans="2:14">
      <c r="B56" s="423" t="s">
        <v>28</v>
      </c>
      <c r="C56" s="423"/>
      <c r="D56" s="423"/>
      <c r="E56" s="105"/>
      <c r="F56" s="106"/>
      <c r="K56" s="198"/>
    </row>
    <row r="57" spans="2:14">
      <c r="B57" s="107"/>
      <c r="C57" s="108"/>
      <c r="D57" s="109"/>
      <c r="E57" s="110"/>
      <c r="F57" s="111"/>
    </row>
    <row r="58" spans="2:14">
      <c r="B58" s="112"/>
      <c r="C58" s="113"/>
      <c r="D58" s="114"/>
      <c r="E58" s="115"/>
      <c r="F58" s="116"/>
    </row>
    <row r="59" spans="2:14">
      <c r="B59" s="117"/>
      <c r="C59" s="118"/>
      <c r="D59" s="119"/>
      <c r="E59" s="120"/>
      <c r="F59" s="121"/>
      <c r="K59" s="68"/>
    </row>
    <row r="60" spans="2:14" s="124" customFormat="1" ht="15" customHeight="1">
      <c r="B60" s="151"/>
      <c r="C60" s="123"/>
      <c r="D60" s="426"/>
      <c r="E60" s="426"/>
      <c r="F60" s="426"/>
      <c r="G60" s="426"/>
      <c r="H60" s="426"/>
      <c r="I60" s="426"/>
    </row>
    <row r="61" spans="2:14" s="47" customFormat="1" ht="16.2" customHeight="1">
      <c r="B61" s="125" t="s">
        <v>29</v>
      </c>
      <c r="C61" s="126"/>
      <c r="D61" s="420" t="s">
        <v>30</v>
      </c>
      <c r="E61" s="420"/>
      <c r="F61" s="420"/>
      <c r="G61" s="420" t="s">
        <v>31</v>
      </c>
      <c r="H61" s="420"/>
      <c r="I61" s="420"/>
    </row>
    <row r="62" spans="2:14">
      <c r="B62" s="50"/>
      <c r="C62" s="127"/>
      <c r="D62" s="427"/>
      <c r="E62" s="427"/>
      <c r="F62" s="427"/>
      <c r="G62" s="428" t="s">
        <v>32</v>
      </c>
      <c r="H62" s="428"/>
      <c r="I62" s="428"/>
    </row>
    <row r="63" spans="2:14" ht="9.75" customHeight="1">
      <c r="B63" s="50"/>
      <c r="C63" s="127"/>
      <c r="D63" s="128"/>
      <c r="E63" s="129"/>
      <c r="F63" s="130"/>
      <c r="G63" s="53" t="s">
        <v>33</v>
      </c>
      <c r="H63" s="131"/>
      <c r="I63" s="132"/>
    </row>
    <row r="64" spans="2:14">
      <c r="B64" s="50"/>
      <c r="C64" s="127"/>
      <c r="D64" s="128"/>
      <c r="E64" s="50"/>
      <c r="F64" s="133"/>
    </row>
    <row r="65" spans="3:6">
      <c r="C65" s="108"/>
      <c r="D65" s="134"/>
      <c r="E65" s="135"/>
      <c r="F65" s="136"/>
    </row>
    <row r="66" spans="3:6">
      <c r="C66" s="113"/>
      <c r="D66" s="137"/>
      <c r="E66" s="138"/>
      <c r="F66" s="139"/>
    </row>
    <row r="67" spans="3:6">
      <c r="C67" s="118"/>
      <c r="D67" s="140"/>
      <c r="E67" s="141"/>
      <c r="F67" s="142"/>
    </row>
  </sheetData>
  <mergeCells count="12">
    <mergeCell ref="B56:D56"/>
    <mergeCell ref="B3:I3"/>
    <mergeCell ref="B4:I4"/>
    <mergeCell ref="B5:I5"/>
    <mergeCell ref="B6:I6"/>
    <mergeCell ref="B7:I7"/>
    <mergeCell ref="D60:F60"/>
    <mergeCell ref="G60:I60"/>
    <mergeCell ref="D61:F61"/>
    <mergeCell ref="G61:I61"/>
    <mergeCell ref="D62:F62"/>
    <mergeCell ref="G62:I62"/>
  </mergeCells>
  <printOptions horizontalCentered="1" verticalCentered="1"/>
  <pageMargins left="0" right="0" top="0" bottom="0" header="0.31496062992125984" footer="0.31496062992125984"/>
  <pageSetup scale="80" orientation="portrait"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F5DA1-EE29-489A-93C5-ECA855E9194F}">
  <sheetPr>
    <tabColor theme="8" tint="-0.499984740745262"/>
  </sheetPr>
  <dimension ref="B1:L46"/>
  <sheetViews>
    <sheetView showGridLines="0" zoomScale="97" zoomScaleNormal="160" workbookViewId="0"/>
  </sheetViews>
  <sheetFormatPr baseColWidth="10" defaultColWidth="11.44140625" defaultRowHeight="13.8"/>
  <cols>
    <col min="1" max="1" width="6.6640625" style="1" customWidth="1"/>
    <col min="2" max="2" width="39" style="1" customWidth="1"/>
    <col min="3" max="3" width="7.33203125" style="2" customWidth="1"/>
    <col min="4" max="4" width="15.6640625" style="3" bestFit="1" customWidth="1"/>
    <col min="5" max="5" width="7.6640625" style="1" bestFit="1" customWidth="1"/>
    <col min="6" max="6" width="1.88671875" style="1" customWidth="1"/>
    <col min="7" max="7" width="15.6640625" style="3" bestFit="1" customWidth="1"/>
    <col min="8" max="8" width="7.88671875" style="1" customWidth="1"/>
    <col min="9" max="9" width="15.88671875" style="1" customWidth="1"/>
    <col min="10" max="10" width="10" style="1" bestFit="1" customWidth="1"/>
    <col min="11" max="11" width="13.88671875" style="1" bestFit="1" customWidth="1"/>
    <col min="12" max="12" width="16.88671875" style="1" bestFit="1" customWidth="1"/>
    <col min="13" max="16384" width="11.44140625" style="1"/>
  </cols>
  <sheetData>
    <row r="1" spans="2:12" ht="36" customHeight="1"/>
    <row r="2" spans="2:12" ht="23.25" customHeight="1"/>
    <row r="3" spans="2:12" ht="18.75" customHeight="1">
      <c r="B3" s="421" t="s">
        <v>0</v>
      </c>
      <c r="C3" s="421"/>
      <c r="D3" s="421"/>
      <c r="E3" s="421"/>
      <c r="F3" s="421"/>
      <c r="G3" s="421"/>
      <c r="H3" s="421"/>
      <c r="I3" s="421"/>
      <c r="J3" s="421"/>
    </row>
    <row r="4" spans="2:12" ht="21">
      <c r="B4" s="421" t="s">
        <v>1</v>
      </c>
      <c r="C4" s="421"/>
      <c r="D4" s="421"/>
      <c r="E4" s="421"/>
      <c r="F4" s="421"/>
      <c r="G4" s="421"/>
      <c r="H4" s="421"/>
      <c r="I4" s="421"/>
      <c r="J4" s="421"/>
    </row>
    <row r="5" spans="2:12" ht="18.75" customHeight="1">
      <c r="B5" s="421" t="s">
        <v>2</v>
      </c>
      <c r="C5" s="421"/>
      <c r="D5" s="421"/>
      <c r="E5" s="421"/>
      <c r="F5" s="421"/>
      <c r="G5" s="421"/>
      <c r="H5" s="421"/>
      <c r="I5" s="421"/>
      <c r="J5" s="421"/>
    </row>
    <row r="6" spans="2:12" ht="21">
      <c r="B6" s="421" t="str">
        <f>+'[20]ESF '!B6:I6</f>
        <v>A 31 de Diciembre 2022 - 2021</v>
      </c>
      <c r="C6" s="421"/>
      <c r="D6" s="421"/>
      <c r="E6" s="421"/>
      <c r="F6" s="421"/>
      <c r="G6" s="421"/>
      <c r="H6" s="421"/>
      <c r="I6" s="421"/>
      <c r="J6" s="421"/>
    </row>
    <row r="7" spans="2:12" ht="20.399999999999999">
      <c r="B7" s="422" t="s">
        <v>3</v>
      </c>
      <c r="C7" s="422"/>
      <c r="D7" s="422"/>
      <c r="E7" s="422"/>
      <c r="F7" s="422"/>
      <c r="G7" s="422"/>
      <c r="H7" s="422"/>
      <c r="I7" s="422"/>
      <c r="J7" s="422"/>
    </row>
    <row r="8" spans="2:12">
      <c r="B8" s="4"/>
      <c r="C8" s="5"/>
    </row>
    <row r="9" spans="2:12" ht="23.25" customHeight="1">
      <c r="B9" s="152" t="s">
        <v>4</v>
      </c>
      <c r="C9" s="153" t="s">
        <v>5</v>
      </c>
      <c r="D9" s="147" t="s">
        <v>84</v>
      </c>
      <c r="E9" s="154" t="s">
        <v>7</v>
      </c>
      <c r="F9" s="154"/>
      <c r="G9" s="147" t="s">
        <v>6</v>
      </c>
      <c r="H9" s="148" t="s">
        <v>7</v>
      </c>
      <c r="I9" s="155" t="s">
        <v>9</v>
      </c>
      <c r="J9" s="156" t="s">
        <v>10</v>
      </c>
    </row>
    <row r="10" spans="2:12">
      <c r="B10" s="224" t="s">
        <v>11</v>
      </c>
      <c r="C10" s="14">
        <v>10.1</v>
      </c>
      <c r="D10" s="200">
        <v>90224924508.630005</v>
      </c>
      <c r="E10" s="16">
        <f>+D10/$D$10</f>
        <v>1</v>
      </c>
      <c r="F10" s="16"/>
      <c r="G10" s="17">
        <v>60053379137.809998</v>
      </c>
      <c r="H10" s="16">
        <f>+G10/$G$10</f>
        <v>1</v>
      </c>
      <c r="I10" s="17">
        <f>+D10-G10</f>
        <v>30171545370.820007</v>
      </c>
      <c r="J10" s="18">
        <f>+(D10/G10-1)</f>
        <v>0.5024121174194478</v>
      </c>
      <c r="K10" s="19"/>
    </row>
    <row r="11" spans="2:12">
      <c r="B11" s="225" t="s">
        <v>12</v>
      </c>
      <c r="C11" s="21">
        <v>10.199999999999999</v>
      </c>
      <c r="D11" s="203">
        <v>70068461015.720001</v>
      </c>
      <c r="E11" s="23">
        <f t="shared" ref="E11:E12" si="0">+D11/$D$10</f>
        <v>0.77659761310210862</v>
      </c>
      <c r="F11" s="23"/>
      <c r="G11" s="24">
        <v>51897171186</v>
      </c>
      <c r="H11" s="23">
        <f t="shared" ref="H11:H12" si="1">+G11/$G$10</f>
        <v>0.86418402979300801</v>
      </c>
      <c r="I11" s="24">
        <f t="shared" ref="I11:I12" si="2">+D11-G11</f>
        <v>18171289829.720001</v>
      </c>
      <c r="J11" s="25">
        <f t="shared" ref="J11:J12" si="3">+(D11/G11-1)</f>
        <v>0.35014027575017348</v>
      </c>
    </row>
    <row r="12" spans="2:12">
      <c r="B12" s="226" t="s">
        <v>13</v>
      </c>
      <c r="C12" s="21"/>
      <c r="D12" s="200">
        <v>20156463492.910004</v>
      </c>
      <c r="E12" s="16">
        <f t="shared" si="0"/>
        <v>0.22340238689789138</v>
      </c>
      <c r="F12" s="16"/>
      <c r="G12" s="17">
        <v>8156207951.8099976</v>
      </c>
      <c r="H12" s="16">
        <f t="shared" si="1"/>
        <v>0.13581597020699199</v>
      </c>
      <c r="I12" s="17">
        <f t="shared" si="2"/>
        <v>12000255541.100006</v>
      </c>
      <c r="J12" s="18">
        <f t="shared" si="3"/>
        <v>1.4713032835849842</v>
      </c>
    </row>
    <row r="13" spans="2:12">
      <c r="B13" s="225" t="s">
        <v>14</v>
      </c>
      <c r="C13" s="21"/>
      <c r="D13" s="27"/>
      <c r="E13" s="28"/>
      <c r="F13" s="28"/>
      <c r="G13" s="29"/>
      <c r="H13" s="28"/>
      <c r="I13" s="28"/>
      <c r="J13" s="28"/>
    </row>
    <row r="14" spans="2:12">
      <c r="B14" s="225" t="s">
        <v>15</v>
      </c>
      <c r="C14" s="21">
        <v>11.1</v>
      </c>
      <c r="D14" s="201">
        <v>411173278.94</v>
      </c>
      <c r="E14" s="30">
        <f t="shared" ref="E14:E20" si="4">+D14/$D$10</f>
        <v>4.5572028037626265E-3</v>
      </c>
      <c r="F14" s="28"/>
      <c r="G14" s="29">
        <v>621747595</v>
      </c>
      <c r="H14" s="30">
        <f>+G14/$G$10</f>
        <v>1.0353249124803099E-2</v>
      </c>
      <c r="I14" s="24">
        <f t="shared" ref="I14:I18" si="5">+D14-G14</f>
        <v>-210574316.06</v>
      </c>
      <c r="J14" s="25">
        <f t="shared" ref="J14:J18" si="6">+(D14/G14-1)</f>
        <v>-0.33868135197209726</v>
      </c>
    </row>
    <row r="15" spans="2:12">
      <c r="B15" s="225" t="s">
        <v>16</v>
      </c>
      <c r="C15" s="21">
        <v>10.199999999999999</v>
      </c>
      <c r="D15" s="201">
        <v>2930296270.71</v>
      </c>
      <c r="E15" s="30">
        <f t="shared" si="4"/>
        <v>3.2477680493151508E-2</v>
      </c>
      <c r="F15" s="28"/>
      <c r="G15" s="29">
        <v>1949592871.48</v>
      </c>
      <c r="H15" s="30">
        <f t="shared" ref="H15:H24" si="7">+G15/$G$10</f>
        <v>3.2464332556642488E-2</v>
      </c>
      <c r="I15" s="24">
        <f t="shared" si="5"/>
        <v>980703399.23000002</v>
      </c>
      <c r="J15" s="25">
        <f t="shared" si="6"/>
        <v>0.50302984462879974</v>
      </c>
    </row>
    <row r="16" spans="2:12">
      <c r="B16" s="225" t="s">
        <v>17</v>
      </c>
      <c r="C16" s="21">
        <v>10.199999999999999</v>
      </c>
      <c r="D16" s="201">
        <v>1976551926.4200001</v>
      </c>
      <c r="E16" s="30">
        <f t="shared" si="4"/>
        <v>2.190693909897307E-2</v>
      </c>
      <c r="F16" s="28"/>
      <c r="G16" s="29">
        <v>1646078488.9200001</v>
      </c>
      <c r="H16" s="30">
        <f t="shared" si="7"/>
        <v>2.7410255884895218E-2</v>
      </c>
      <c r="I16" s="24">
        <f t="shared" si="5"/>
        <v>330473437.5</v>
      </c>
      <c r="J16" s="25">
        <f t="shared" si="6"/>
        <v>0.20076408246901112</v>
      </c>
      <c r="L16" s="202"/>
    </row>
    <row r="17" spans="2:12">
      <c r="B17" s="225" t="s">
        <v>18</v>
      </c>
      <c r="C17" s="21">
        <v>11.3</v>
      </c>
      <c r="D17" s="201">
        <v>701702582.53999996</v>
      </c>
      <c r="E17" s="30">
        <f>+D17/$D$10</f>
        <v>7.7772587382201929E-3</v>
      </c>
      <c r="F17" s="28"/>
      <c r="G17" s="29">
        <v>829110027.19000006</v>
      </c>
      <c r="H17" s="30">
        <f>+G17/$G$10</f>
        <v>1.3806217719861612E-2</v>
      </c>
      <c r="I17" s="24">
        <f>+D17-G17</f>
        <v>-127407444.6500001</v>
      </c>
      <c r="J17" s="25">
        <f>+(D17/G17-1)</f>
        <v>-0.15366771655362366</v>
      </c>
    </row>
    <row r="18" spans="2:12">
      <c r="B18" s="225" t="s">
        <v>19</v>
      </c>
      <c r="C18" s="21">
        <v>11.2</v>
      </c>
      <c r="D18" s="201">
        <v>629843016.67999995</v>
      </c>
      <c r="E18" s="30">
        <f t="shared" si="4"/>
        <v>6.9808095724120615E-3</v>
      </c>
      <c r="F18" s="28"/>
      <c r="G18" s="29">
        <v>303311459.56</v>
      </c>
      <c r="H18" s="30">
        <f t="shared" si="7"/>
        <v>5.0506976279213762E-3</v>
      </c>
      <c r="I18" s="24">
        <f t="shared" si="5"/>
        <v>326531557.11999995</v>
      </c>
      <c r="J18" s="25">
        <f t="shared" si="6"/>
        <v>1.0765552926806139</v>
      </c>
    </row>
    <row r="19" spans="2:12">
      <c r="B19" s="225"/>
      <c r="C19" s="21"/>
      <c r="D19" s="27">
        <f>+D12+D14-D15-D16-D17-D18</f>
        <v>14329242975.500004</v>
      </c>
      <c r="E19" s="30"/>
      <c r="F19" s="28"/>
      <c r="G19" s="29"/>
      <c r="H19" s="28"/>
      <c r="I19" s="28"/>
      <c r="J19" s="28"/>
    </row>
    <row r="20" spans="2:12" s="33" customFormat="1" ht="26.4">
      <c r="B20" s="227" t="s">
        <v>20</v>
      </c>
      <c r="C20" s="14"/>
      <c r="D20" s="15">
        <v>14329242975.5</v>
      </c>
      <c r="E20" s="16">
        <f t="shared" si="4"/>
        <v>0.15881690179889715</v>
      </c>
      <c r="F20" s="32"/>
      <c r="G20" s="17">
        <v>4049862699.6599975</v>
      </c>
      <c r="H20" s="16">
        <f t="shared" si="7"/>
        <v>6.7437715542474408E-2</v>
      </c>
      <c r="I20" s="17">
        <f t="shared" ref="I20" si="8">+D20-G20</f>
        <v>10279380275.840002</v>
      </c>
      <c r="J20" s="18">
        <f t="shared" ref="J20" si="9">+(D20/G20-1)</f>
        <v>2.5382046351109628</v>
      </c>
      <c r="K20" s="199"/>
      <c r="L20" s="199"/>
    </row>
    <row r="21" spans="2:12">
      <c r="B21" s="226"/>
      <c r="C21" s="21"/>
      <c r="D21" s="27"/>
      <c r="E21" s="28"/>
      <c r="F21" s="28"/>
      <c r="G21" s="29"/>
      <c r="H21" s="28"/>
      <c r="I21" s="28"/>
      <c r="J21" s="28"/>
      <c r="L21" s="19"/>
    </row>
    <row r="22" spans="2:12" s="33" customFormat="1">
      <c r="B22" s="228" t="s">
        <v>21</v>
      </c>
      <c r="C22" s="14">
        <v>7</v>
      </c>
      <c r="D22" s="35">
        <v>5079950517.1600008</v>
      </c>
      <c r="E22" s="23">
        <f t="shared" ref="E22:E24" si="10">+D22/$D$10</f>
        <v>5.6303183902072472E-2</v>
      </c>
      <c r="F22" s="36"/>
      <c r="G22" s="37">
        <v>1400982999.9453151</v>
      </c>
      <c r="H22" s="23">
        <f t="shared" si="7"/>
        <v>2.332896200112821E-2</v>
      </c>
      <c r="I22" s="24">
        <f t="shared" ref="I22" si="11">+D22-G22</f>
        <v>3678967517.2146854</v>
      </c>
      <c r="J22" s="25">
        <f t="shared" ref="J22" si="12">+(D22/G22-1)</f>
        <v>2.6259901207639835</v>
      </c>
    </row>
    <row r="23" spans="2:12">
      <c r="B23" s="225"/>
      <c r="C23" s="21"/>
      <c r="D23" s="27"/>
      <c r="E23" s="30"/>
      <c r="F23" s="28"/>
      <c r="G23" s="29"/>
      <c r="H23" s="30"/>
      <c r="I23" s="28"/>
      <c r="J23" s="28"/>
    </row>
    <row r="24" spans="2:12" s="33" customFormat="1" ht="26.4">
      <c r="B24" s="227" t="s">
        <v>22</v>
      </c>
      <c r="C24" s="14"/>
      <c r="D24" s="15">
        <v>9249292458.340004</v>
      </c>
      <c r="E24" s="16">
        <f t="shared" si="10"/>
        <v>0.10251371789682473</v>
      </c>
      <c r="F24" s="32"/>
      <c r="G24" s="17">
        <v>2648879699.7146826</v>
      </c>
      <c r="H24" s="16">
        <f t="shared" si="7"/>
        <v>4.4108753541346198E-2</v>
      </c>
      <c r="I24" s="17">
        <f t="shared" ref="I24" si="13">+D24-G24</f>
        <v>6600412758.6253214</v>
      </c>
      <c r="J24" s="18">
        <f t="shared" ref="J24" si="14">+(D24/G24-1)</f>
        <v>2.4917752056978157</v>
      </c>
    </row>
    <row r="25" spans="2:12">
      <c r="B25" s="225" t="s">
        <v>14</v>
      </c>
      <c r="C25" s="21"/>
      <c r="D25" s="29"/>
      <c r="E25" s="28"/>
      <c r="F25" s="28"/>
      <c r="G25" s="29"/>
      <c r="H25" s="28"/>
      <c r="I25" s="28"/>
      <c r="J25" s="28"/>
    </row>
    <row r="26" spans="2:12" ht="26.4">
      <c r="B26" s="226" t="s">
        <v>23</v>
      </c>
      <c r="C26" s="21"/>
      <c r="D26" s="29"/>
      <c r="E26" s="28"/>
      <c r="F26" s="28"/>
      <c r="G26" s="29"/>
      <c r="H26" s="28"/>
      <c r="I26" s="28"/>
      <c r="J26" s="28"/>
    </row>
    <row r="27" spans="2:12">
      <c r="B27" s="225" t="s">
        <v>24</v>
      </c>
      <c r="C27" s="21">
        <v>11.4</v>
      </c>
      <c r="D27" s="201">
        <v>1481685529</v>
      </c>
      <c r="E27" s="23">
        <f t="shared" ref="E27:E31" si="15">+D27/$D$10</f>
        <v>1.6422130991733629E-2</v>
      </c>
      <c r="F27" s="28"/>
      <c r="G27" s="29">
        <v>496089060</v>
      </c>
      <c r="H27" s="23">
        <f t="shared" ref="H27:H31" si="16">+G27/$G$10</f>
        <v>8.260801758741651E-3</v>
      </c>
      <c r="I27" s="24">
        <f t="shared" ref="I27:I28" si="17">+D27-G27</f>
        <v>985596469</v>
      </c>
      <c r="J27" s="18">
        <v>0</v>
      </c>
    </row>
    <row r="28" spans="2:12">
      <c r="B28" s="225" t="s">
        <v>25</v>
      </c>
      <c r="C28" s="21"/>
      <c r="D28" s="35">
        <v>0</v>
      </c>
      <c r="E28" s="35">
        <v>0</v>
      </c>
      <c r="F28" s="28"/>
      <c r="G28" s="29">
        <v>420043152</v>
      </c>
      <c r="H28" s="23">
        <f t="shared" si="16"/>
        <v>6.9944965300968069E-3</v>
      </c>
      <c r="I28" s="24">
        <f t="shared" si="17"/>
        <v>-420043152</v>
      </c>
      <c r="J28" s="25">
        <v>0</v>
      </c>
    </row>
    <row r="29" spans="2:12">
      <c r="B29" s="226" t="s">
        <v>26</v>
      </c>
      <c r="C29" s="21"/>
      <c r="D29" s="38">
        <v>1481685529</v>
      </c>
      <c r="E29" s="16">
        <f t="shared" si="15"/>
        <v>1.6422130991733629E-2</v>
      </c>
      <c r="F29" s="39"/>
      <c r="G29" s="38">
        <v>76045908</v>
      </c>
      <c r="H29" s="16">
        <f t="shared" si="16"/>
        <v>1.2663052286448441E-3</v>
      </c>
      <c r="I29" s="38">
        <f>+I27+I28</f>
        <v>565553317</v>
      </c>
      <c r="J29" s="40">
        <f>SUM(J27:J28)</f>
        <v>0</v>
      </c>
    </row>
    <row r="30" spans="2:12">
      <c r="B30" s="20"/>
      <c r="C30" s="21"/>
      <c r="D30" s="29"/>
      <c r="E30" s="41"/>
      <c r="F30" s="41"/>
      <c r="G30" s="29"/>
      <c r="H30" s="41"/>
      <c r="I30" s="41"/>
      <c r="J30" s="41"/>
    </row>
    <row r="31" spans="2:12" ht="26.4">
      <c r="B31" s="31" t="s">
        <v>27</v>
      </c>
      <c r="C31" s="14"/>
      <c r="D31" s="17">
        <v>10730977987.34</v>
      </c>
      <c r="E31" s="16">
        <f t="shared" si="15"/>
        <v>0.11893584888855832</v>
      </c>
      <c r="F31" s="42"/>
      <c r="G31" s="17">
        <v>2724925607.7146826</v>
      </c>
      <c r="H31" s="16">
        <f t="shared" si="16"/>
        <v>4.5375058769991039E-2</v>
      </c>
      <c r="I31" s="17">
        <f t="shared" ref="I31" si="18">+D31-G31</f>
        <v>8006052379.6253176</v>
      </c>
      <c r="J31" s="18">
        <f t="shared" ref="J31" si="19">+(D31/G31-1)</f>
        <v>2.9380810826390835</v>
      </c>
    </row>
    <row r="32" spans="2:12">
      <c r="B32" s="20"/>
      <c r="C32" s="21"/>
      <c r="D32" s="29"/>
      <c r="E32" s="29"/>
      <c r="F32" s="29"/>
      <c r="G32" s="29"/>
      <c r="H32" s="29"/>
      <c r="I32" s="29"/>
      <c r="J32" s="29"/>
    </row>
    <row r="33" spans="2:10">
      <c r="B33" s="423" t="s">
        <v>28</v>
      </c>
      <c r="C33" s="423"/>
      <c r="D33" s="423"/>
    </row>
    <row r="34" spans="2:10">
      <c r="B34" s="43"/>
      <c r="C34" s="43"/>
      <c r="D34" s="44"/>
    </row>
    <row r="35" spans="2:10">
      <c r="B35" s="43"/>
      <c r="C35" s="43"/>
      <c r="D35" s="44"/>
    </row>
    <row r="36" spans="2:10">
      <c r="B36" s="43"/>
      <c r="C36" s="43"/>
      <c r="D36" s="43"/>
    </row>
    <row r="37" spans="2:10">
      <c r="B37" s="20"/>
      <c r="C37" s="21"/>
      <c r="D37" s="67">
        <f>+D22/D20</f>
        <v>0.35451632203080446</v>
      </c>
      <c r="G37" s="67">
        <f>+G22/G20</f>
        <v>0.34593345598183695</v>
      </c>
    </row>
    <row r="38" spans="2:10">
      <c r="B38" s="20"/>
      <c r="C38" s="21"/>
    </row>
    <row r="39" spans="2:10">
      <c r="B39" s="20"/>
      <c r="C39" s="21"/>
    </row>
    <row r="40" spans="2:10" s="47" customFormat="1" ht="15" customHeight="1">
      <c r="B40" s="45"/>
      <c r="C40" s="46"/>
      <c r="D40" s="424"/>
      <c r="E40" s="424"/>
      <c r="F40" s="424"/>
      <c r="G40" s="424"/>
      <c r="H40" s="424"/>
      <c r="I40" s="424"/>
      <c r="J40" s="424"/>
    </row>
    <row r="41" spans="2:10" ht="15" customHeight="1">
      <c r="B41" s="48" t="s">
        <v>29</v>
      </c>
      <c r="C41" s="49"/>
      <c r="D41" s="425" t="s">
        <v>79</v>
      </c>
      <c r="E41" s="425"/>
      <c r="F41" s="425"/>
      <c r="G41" s="425"/>
      <c r="H41" s="425" t="s">
        <v>82</v>
      </c>
      <c r="I41" s="425"/>
      <c r="J41" s="425"/>
    </row>
    <row r="42" spans="2:10" ht="9.75" customHeight="1">
      <c r="B42" s="51"/>
      <c r="C42" s="52"/>
      <c r="H42" s="53" t="s">
        <v>33</v>
      </c>
      <c r="I42" s="53"/>
      <c r="J42" s="53"/>
    </row>
    <row r="44" spans="2:10">
      <c r="B44" s="54" t="s">
        <v>34</v>
      </c>
      <c r="C44" s="55"/>
      <c r="D44" s="56">
        <f>+D20-D22</f>
        <v>9249292458.3400002</v>
      </c>
      <c r="E44" s="57"/>
      <c r="F44" s="57"/>
      <c r="G44" s="56">
        <f>+G20-G22</f>
        <v>2648879699.7146826</v>
      </c>
    </row>
    <row r="45" spans="2:10">
      <c r="B45" s="54" t="s">
        <v>35</v>
      </c>
      <c r="C45" s="55"/>
      <c r="D45" s="56">
        <f>+D44*0.1</f>
        <v>924929245.83400011</v>
      </c>
      <c r="E45" s="57"/>
      <c r="F45" s="57"/>
      <c r="G45" s="56">
        <f>+G44*0.1</f>
        <v>264887969.97146827</v>
      </c>
    </row>
    <row r="46" spans="2:10">
      <c r="B46" s="54" t="s">
        <v>36</v>
      </c>
      <c r="C46" s="55"/>
      <c r="D46" s="56" t="s">
        <v>37</v>
      </c>
      <c r="E46" s="57"/>
      <c r="F46" s="57"/>
      <c r="G46" s="56" t="s">
        <v>38</v>
      </c>
    </row>
  </sheetData>
  <mergeCells count="10">
    <mergeCell ref="D40:G40"/>
    <mergeCell ref="H40:J40"/>
    <mergeCell ref="D41:G41"/>
    <mergeCell ref="H41:J41"/>
    <mergeCell ref="B3:J3"/>
    <mergeCell ref="B4:J4"/>
    <mergeCell ref="B5:J5"/>
    <mergeCell ref="B6:J6"/>
    <mergeCell ref="B7:J7"/>
    <mergeCell ref="B33:D33"/>
  </mergeCells>
  <pageMargins left="0" right="0" top="0" bottom="0.74803149606299213" header="0.31496062992125984" footer="0.31496062992125984"/>
  <pageSetup scale="8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A300-485C-4FBB-9E88-2B3C7B858F7A}">
  <dimension ref="A1:R275"/>
  <sheetViews>
    <sheetView showGridLines="0" zoomScale="83" workbookViewId="0">
      <selection activeCell="B257" sqref="B257"/>
    </sheetView>
  </sheetViews>
  <sheetFormatPr baseColWidth="10" defaultColWidth="11.44140625" defaultRowHeight="13.8"/>
  <cols>
    <col min="1" max="1" width="11.44140625" style="1"/>
    <col min="2" max="2" width="51" style="1" customWidth="1"/>
    <col min="3" max="3" width="44.109375" style="1" hidden="1" customWidth="1"/>
    <col min="4" max="10" width="23.6640625" style="1" customWidth="1"/>
    <col min="11" max="12" width="11.44140625" style="1"/>
    <col min="13" max="13" width="31.44140625" style="1" bestFit="1" customWidth="1"/>
    <col min="14" max="18" width="17.5546875" style="1" bestFit="1" customWidth="1"/>
    <col min="19" max="19" width="13.33203125" style="1" bestFit="1" customWidth="1"/>
    <col min="20" max="16384" width="11.44140625" style="1"/>
  </cols>
  <sheetData>
    <row r="1" spans="1:18">
      <c r="D1" s="19"/>
      <c r="N1" s="19"/>
      <c r="O1" s="19"/>
      <c r="P1" s="19"/>
      <c r="Q1" s="19"/>
      <c r="R1" s="19"/>
    </row>
    <row r="2" spans="1:18">
      <c r="D2" s="19"/>
      <c r="N2" s="19">
        <f t="shared" ref="N2:R2" si="0">+F152</f>
        <v>2535466623.007782</v>
      </c>
      <c r="O2" s="19">
        <f t="shared" si="0"/>
        <v>-7659900191.1533451</v>
      </c>
      <c r="P2" s="19">
        <f t="shared" si="0"/>
        <v>541905174.80968332</v>
      </c>
      <c r="Q2" s="19">
        <f t="shared" si="0"/>
        <v>1074373241.6709309</v>
      </c>
      <c r="R2" s="19">
        <f t="shared" si="0"/>
        <v>941271559.51494598</v>
      </c>
    </row>
    <row r="3" spans="1:18">
      <c r="A3" s="1" t="s">
        <v>136</v>
      </c>
      <c r="B3" s="233" t="s">
        <v>134</v>
      </c>
      <c r="C3" s="234"/>
      <c r="D3" s="300">
        <v>2021</v>
      </c>
      <c r="E3" s="300">
        <f t="shared" ref="E3:J3" si="1">+D3+1</f>
        <v>2022</v>
      </c>
      <c r="F3" s="300">
        <f t="shared" si="1"/>
        <v>2023</v>
      </c>
      <c r="G3" s="300">
        <f t="shared" si="1"/>
        <v>2024</v>
      </c>
      <c r="H3" s="300">
        <f t="shared" si="1"/>
        <v>2025</v>
      </c>
      <c r="I3" s="300">
        <f t="shared" si="1"/>
        <v>2026</v>
      </c>
      <c r="J3" s="300">
        <f t="shared" si="1"/>
        <v>2027</v>
      </c>
      <c r="M3" s="304" t="s">
        <v>180</v>
      </c>
      <c r="N3" s="304"/>
      <c r="O3" s="304"/>
      <c r="P3" s="304"/>
      <c r="Q3" s="304"/>
      <c r="R3" s="304"/>
    </row>
    <row r="4" spans="1:18">
      <c r="B4" s="1" t="s">
        <v>148</v>
      </c>
      <c r="D4" s="199"/>
      <c r="E4" s="280">
        <f>+(E34-D34)/D34</f>
        <v>0.50241211741944769</v>
      </c>
      <c r="F4" s="307">
        <f t="shared" ref="F4:J4" si="2">+CHOOSE($N$28,N5,N17)</f>
        <v>-0.15</v>
      </c>
      <c r="G4" s="307">
        <f t="shared" si="2"/>
        <v>-0.05</v>
      </c>
      <c r="H4" s="307">
        <f t="shared" si="2"/>
        <v>0.1</v>
      </c>
      <c r="I4" s="307">
        <f t="shared" si="2"/>
        <v>0.15</v>
      </c>
      <c r="J4" s="307">
        <f t="shared" si="2"/>
        <v>0.05</v>
      </c>
      <c r="M4" s="303" t="s">
        <v>176</v>
      </c>
      <c r="N4" s="300">
        <f t="shared" ref="N4:R4" si="3">+F3</f>
        <v>2023</v>
      </c>
      <c r="O4" s="300">
        <f t="shared" si="3"/>
        <v>2024</v>
      </c>
      <c r="P4" s="300">
        <f t="shared" si="3"/>
        <v>2025</v>
      </c>
      <c r="Q4" s="300">
        <f t="shared" si="3"/>
        <v>2026</v>
      </c>
      <c r="R4" s="300">
        <f t="shared" si="3"/>
        <v>2027</v>
      </c>
    </row>
    <row r="5" spans="1:18">
      <c r="B5" s="1" t="s">
        <v>168</v>
      </c>
      <c r="D5" s="199"/>
      <c r="E5" s="280"/>
      <c r="F5" s="283">
        <v>0.03</v>
      </c>
      <c r="G5" s="283">
        <v>0.03</v>
      </c>
      <c r="H5" s="283">
        <v>0.03</v>
      </c>
      <c r="I5" s="283">
        <v>0.03</v>
      </c>
      <c r="J5" s="283">
        <v>0.03</v>
      </c>
      <c r="M5" s="1" t="s">
        <v>178</v>
      </c>
      <c r="N5" s="302">
        <v>-0.15</v>
      </c>
      <c r="O5" s="302">
        <v>-0.05</v>
      </c>
      <c r="P5" s="302">
        <v>0.01</v>
      </c>
      <c r="Q5" s="302">
        <v>0.03</v>
      </c>
      <c r="R5" s="302">
        <v>0.04</v>
      </c>
    </row>
    <row r="6" spans="1:18">
      <c r="B6" s="1" t="s">
        <v>149</v>
      </c>
      <c r="D6" s="280">
        <f>+-D35/D34</f>
        <v>0.86418402979300801</v>
      </c>
      <c r="E6" s="280">
        <f>+-E35/E34</f>
        <v>0.77659761310210862</v>
      </c>
      <c r="F6" s="307">
        <f t="shared" ref="F6:J6" si="4">+CHOOSE($N$28,N6,N18)</f>
        <v>0.77659761310210862</v>
      </c>
      <c r="G6" s="307">
        <f t="shared" si="4"/>
        <v>0.76</v>
      </c>
      <c r="H6" s="307">
        <f t="shared" si="4"/>
        <v>0.75</v>
      </c>
      <c r="I6" s="307">
        <f t="shared" si="4"/>
        <v>0.74</v>
      </c>
      <c r="J6" s="307">
        <f t="shared" si="4"/>
        <v>0.73</v>
      </c>
      <c r="M6" s="1" t="s">
        <v>179</v>
      </c>
      <c r="N6" s="302">
        <v>0.77659761310210862</v>
      </c>
      <c r="O6" s="302">
        <v>0.77659761310210862</v>
      </c>
      <c r="P6" s="302">
        <v>0.76</v>
      </c>
      <c r="Q6" s="302">
        <v>0.75</v>
      </c>
      <c r="R6" s="302">
        <v>0.74</v>
      </c>
    </row>
    <row r="7" spans="1:18">
      <c r="B7" s="1" t="s">
        <v>151</v>
      </c>
      <c r="D7" s="280">
        <f>+-D38/D34</f>
        <v>3.2464332556642488E-2</v>
      </c>
      <c r="E7" s="280">
        <f>+-E38/E34</f>
        <v>3.2477680493151508E-2</v>
      </c>
      <c r="F7" s="283">
        <v>3.2500000000000001E-2</v>
      </c>
      <c r="G7" s="284">
        <v>3.2500000000000001E-2</v>
      </c>
      <c r="H7" s="284">
        <v>3.2500000000000001E-2</v>
      </c>
      <c r="I7" s="284">
        <v>3.2500000000000001E-2</v>
      </c>
      <c r="J7" s="284">
        <v>3.2500000000000001E-2</v>
      </c>
      <c r="M7" s="1" t="s">
        <v>155</v>
      </c>
      <c r="N7" s="305">
        <f t="shared" ref="N7:R7" si="5">50%*F42</f>
        <v>6388467306.848423</v>
      </c>
      <c r="O7" s="305">
        <f t="shared" si="5"/>
        <v>6673666991.1298342</v>
      </c>
      <c r="P7" s="305">
        <f>20%*H42</f>
        <v>3096698054.4867082</v>
      </c>
      <c r="Q7" s="305">
        <f t="shared" si="5"/>
        <v>9363825069.5193329</v>
      </c>
      <c r="R7" s="305">
        <f t="shared" si="5"/>
        <v>10315875394.008852</v>
      </c>
    </row>
    <row r="8" spans="1:18">
      <c r="B8" s="1" t="s">
        <v>152</v>
      </c>
      <c r="D8" s="280">
        <f>+-D39/D34</f>
        <v>2.7410255884895218E-2</v>
      </c>
      <c r="E8" s="280">
        <f>+-E39/E34</f>
        <v>2.190693909897307E-2</v>
      </c>
      <c r="F8" s="284">
        <v>2.1899999999999999E-2</v>
      </c>
      <c r="G8" s="284">
        <v>2.1899999999999999E-2</v>
      </c>
      <c r="H8" s="284">
        <v>2.1899999999999999E-2</v>
      </c>
      <c r="I8" s="284">
        <v>2.1899999999999999E-2</v>
      </c>
      <c r="J8" s="284">
        <v>2.1899999999999999E-2</v>
      </c>
      <c r="M8" s="1" t="s">
        <v>177</v>
      </c>
      <c r="N8" s="302">
        <v>0.12</v>
      </c>
      <c r="O8" s="302">
        <v>0.12</v>
      </c>
      <c r="P8" s="302">
        <v>0.12</v>
      </c>
      <c r="Q8" s="302">
        <v>0.12</v>
      </c>
      <c r="R8" s="302">
        <v>0.12</v>
      </c>
    </row>
    <row r="9" spans="1:18">
      <c r="B9" s="193" t="s">
        <v>157</v>
      </c>
      <c r="C9" s="193"/>
      <c r="D9" s="297"/>
      <c r="E9" s="297"/>
      <c r="F9" s="298"/>
      <c r="G9" s="299"/>
      <c r="H9" s="299"/>
      <c r="I9" s="299"/>
      <c r="J9" s="299"/>
      <c r="M9" s="1" t="s">
        <v>160</v>
      </c>
      <c r="N9" s="302">
        <v>8.7999999999999995E-2</v>
      </c>
      <c r="O9" s="302">
        <v>8.7999999999999995E-2</v>
      </c>
      <c r="P9" s="302">
        <v>8.7999999999999995E-2</v>
      </c>
      <c r="Q9" s="302">
        <v>8.7999999999999995E-2</v>
      </c>
      <c r="R9" s="302">
        <v>8.7999999999999995E-2</v>
      </c>
    </row>
    <row r="10" spans="1:18">
      <c r="B10" s="1" t="s">
        <v>153</v>
      </c>
      <c r="D10" s="280"/>
      <c r="E10" s="313">
        <v>0.17</v>
      </c>
      <c r="F10" s="284">
        <v>0.14000000000000001</v>
      </c>
      <c r="G10" s="283">
        <v>0.11</v>
      </c>
      <c r="H10" s="283">
        <v>0.09</v>
      </c>
      <c r="I10" s="283">
        <v>0.09</v>
      </c>
      <c r="J10" s="283">
        <v>0.09</v>
      </c>
      <c r="M10" s="1" t="s">
        <v>161</v>
      </c>
      <c r="N10" s="302">
        <v>0.05</v>
      </c>
      <c r="O10" s="302">
        <v>0.05</v>
      </c>
      <c r="P10" s="302">
        <v>0.05</v>
      </c>
      <c r="Q10" s="302">
        <v>0.05</v>
      </c>
      <c r="R10" s="302">
        <v>0.05</v>
      </c>
    </row>
    <row r="11" spans="1:18">
      <c r="B11" s="1" t="s">
        <v>154</v>
      </c>
      <c r="D11" s="280"/>
      <c r="E11" s="313">
        <v>0.76</v>
      </c>
      <c r="F11" s="284">
        <v>0.76</v>
      </c>
      <c r="G11" s="283">
        <v>0.76</v>
      </c>
      <c r="H11" s="283">
        <v>0.76</v>
      </c>
      <c r="I11" s="283">
        <v>0.76</v>
      </c>
      <c r="J11" s="283">
        <v>0.76</v>
      </c>
      <c r="M11" s="1" t="s">
        <v>162</v>
      </c>
      <c r="N11" s="305">
        <v>9975792886.7840004</v>
      </c>
      <c r="O11" s="305">
        <v>11085526608.538599</v>
      </c>
      <c r="P11" s="305">
        <v>16531250278.111671</v>
      </c>
      <c r="Q11" s="305">
        <v>16696562780.89279</v>
      </c>
      <c r="R11" s="305">
        <v>18197459664.319572</v>
      </c>
    </row>
    <row r="12" spans="1:18">
      <c r="B12" s="1" t="s">
        <v>135</v>
      </c>
      <c r="D12" s="280">
        <f>+-D43/D42</f>
        <v>0.34593345598183811</v>
      </c>
      <c r="E12" s="280">
        <f>+-E43/E42</f>
        <v>0.3545163220308043</v>
      </c>
      <c r="F12" s="284">
        <v>0.35</v>
      </c>
      <c r="G12" s="283">
        <v>0.35</v>
      </c>
      <c r="H12" s="283">
        <v>0.35</v>
      </c>
      <c r="I12" s="283">
        <v>0.35</v>
      </c>
      <c r="J12" s="283">
        <v>0.35</v>
      </c>
      <c r="M12" s="1" t="s">
        <v>163</v>
      </c>
      <c r="N12" s="305">
        <v>2522901718.0159998</v>
      </c>
      <c r="O12" s="305">
        <v>2550653636.914176</v>
      </c>
      <c r="P12" s="305">
        <v>2627173246.0216012</v>
      </c>
      <c r="Q12" s="305">
        <v>2705988443.4022493</v>
      </c>
      <c r="R12" s="305">
        <v>2787168096.7043161</v>
      </c>
    </row>
    <row r="13" spans="1:18">
      <c r="B13" s="1" t="s">
        <v>155</v>
      </c>
      <c r="D13" s="280"/>
      <c r="E13" s="312"/>
      <c r="F13" s="309">
        <f t="shared" ref="F13:J13" si="6">+CHOOSE($N$28,N7,N19)</f>
        <v>6388467306.848423</v>
      </c>
      <c r="G13" s="309">
        <f t="shared" si="6"/>
        <v>6673666991.1298342</v>
      </c>
      <c r="H13" s="309">
        <f t="shared" si="6"/>
        <v>3096698054.4867082</v>
      </c>
      <c r="I13" s="309">
        <f t="shared" si="6"/>
        <v>9363825069.5193329</v>
      </c>
      <c r="J13" s="309">
        <f t="shared" si="6"/>
        <v>10315875394.008852</v>
      </c>
      <c r="M13" s="1" t="s">
        <v>164</v>
      </c>
      <c r="N13" s="302">
        <v>4.4999999999999998E-2</v>
      </c>
      <c r="O13" s="302">
        <v>4.4999999999999998E-2</v>
      </c>
      <c r="P13" s="302">
        <v>4.4999999999999998E-2</v>
      </c>
      <c r="Q13" s="302">
        <v>4.4999999999999998E-2</v>
      </c>
      <c r="R13" s="302">
        <v>4.4999999999999998E-2</v>
      </c>
    </row>
    <row r="14" spans="1:18">
      <c r="B14" s="1" t="s">
        <v>150</v>
      </c>
      <c r="D14" s="280">
        <f>+D37/D34</f>
        <v>1.0353249124803099E-2</v>
      </c>
      <c r="E14" s="280">
        <f>+E37/E34</f>
        <v>4.5572028037626265E-3</v>
      </c>
      <c r="F14" s="314">
        <v>4.5999999999999999E-3</v>
      </c>
      <c r="G14" s="314">
        <v>4.5999999999999999E-3</v>
      </c>
      <c r="H14" s="314">
        <v>4.5999999999999999E-3</v>
      </c>
      <c r="I14" s="314">
        <v>4.5999999999999999E-3</v>
      </c>
      <c r="J14" s="314">
        <v>4.5999999999999999E-3</v>
      </c>
    </row>
    <row r="15" spans="1:18">
      <c r="B15" s="1" t="s">
        <v>156</v>
      </c>
      <c r="D15" s="280">
        <f>+-D41/D34</f>
        <v>5.0506976279213762E-3</v>
      </c>
      <c r="E15" s="280">
        <f>+-E41/E34</f>
        <v>6.9808095724120615E-3</v>
      </c>
      <c r="F15" s="284">
        <v>7.0000000000000001E-3</v>
      </c>
      <c r="G15" s="284">
        <v>7.0000000000000001E-3</v>
      </c>
      <c r="H15" s="284">
        <v>7.0000000000000001E-3</v>
      </c>
      <c r="I15" s="284">
        <v>7.0000000000000001E-3</v>
      </c>
      <c r="J15" s="284">
        <v>7.0000000000000001E-3</v>
      </c>
      <c r="M15" s="304" t="s">
        <v>250</v>
      </c>
      <c r="N15" s="304"/>
      <c r="O15" s="304"/>
      <c r="P15" s="304"/>
      <c r="Q15" s="304"/>
      <c r="R15" s="304"/>
    </row>
    <row r="16" spans="1:18">
      <c r="B16" s="1" t="s">
        <v>158</v>
      </c>
      <c r="D16" s="280"/>
      <c r="E16" s="280">
        <f>+E53/$E$34</f>
        <v>2.6343681449494078E-2</v>
      </c>
      <c r="F16" s="284">
        <v>2.6343681449494078E-2</v>
      </c>
      <c r="G16" s="284">
        <v>2.6343681449494078E-2</v>
      </c>
      <c r="H16" s="284">
        <v>2.6343681449494078E-2</v>
      </c>
      <c r="I16" s="284">
        <v>2.6343681449494078E-2</v>
      </c>
      <c r="J16" s="284">
        <v>2.6343681449494078E-2</v>
      </c>
      <c r="M16" s="303" t="s">
        <v>176</v>
      </c>
      <c r="N16" s="300">
        <f t="shared" ref="N16:R16" si="7">+N4</f>
        <v>2023</v>
      </c>
      <c r="O16" s="300">
        <f t="shared" si="7"/>
        <v>2024</v>
      </c>
      <c r="P16" s="300">
        <f t="shared" si="7"/>
        <v>2025</v>
      </c>
      <c r="Q16" s="300">
        <f t="shared" si="7"/>
        <v>2026</v>
      </c>
      <c r="R16" s="300">
        <f t="shared" si="7"/>
        <v>2027</v>
      </c>
    </row>
    <row r="17" spans="2:18">
      <c r="B17" s="1" t="s">
        <v>159</v>
      </c>
      <c r="D17" s="280"/>
      <c r="E17" s="280">
        <f>+E57/$E$34</f>
        <v>0.12043449427270676</v>
      </c>
      <c r="F17" s="308">
        <f t="shared" ref="F17:J17" si="8">+CHOOSE($N$28,N8,N20)</f>
        <v>0.12</v>
      </c>
      <c r="G17" s="308">
        <f t="shared" si="8"/>
        <v>0.12</v>
      </c>
      <c r="H17" s="308">
        <f t="shared" si="8"/>
        <v>0.12</v>
      </c>
      <c r="I17" s="308">
        <f t="shared" si="8"/>
        <v>0.12</v>
      </c>
      <c r="J17" s="308">
        <f t="shared" si="8"/>
        <v>0.12</v>
      </c>
      <c r="M17" s="1" t="s">
        <v>178</v>
      </c>
      <c r="N17" s="302">
        <v>-0.15</v>
      </c>
      <c r="O17" s="302">
        <v>-0.05</v>
      </c>
      <c r="P17" s="302">
        <v>0.1</v>
      </c>
      <c r="Q17" s="302">
        <v>0.15</v>
      </c>
      <c r="R17" s="302">
        <v>0.05</v>
      </c>
    </row>
    <row r="18" spans="2:18">
      <c r="B18" s="1" t="s">
        <v>160</v>
      </c>
      <c r="D18" s="280"/>
      <c r="E18" s="280">
        <f>+E56/$E$34</f>
        <v>8.7580179649185325E-2</v>
      </c>
      <c r="F18" s="308">
        <f t="shared" ref="F18" si="9">+CHOOSE($N$28,N9,N21)</f>
        <v>8.7999999999999995E-2</v>
      </c>
      <c r="G18" s="308">
        <f t="shared" ref="G18" si="10">+CHOOSE($N$28,O9,O21)</f>
        <v>8.7999999999999995E-2</v>
      </c>
      <c r="H18" s="308">
        <f t="shared" ref="H18" si="11">+CHOOSE($N$28,P9,P21)</f>
        <v>8.7999999999999995E-2</v>
      </c>
      <c r="I18" s="308">
        <f t="shared" ref="I18" si="12">+CHOOSE($N$28,Q9,Q21)</f>
        <v>8.7999999999999995E-2</v>
      </c>
      <c r="J18" s="308">
        <f t="shared" ref="J18" si="13">+CHOOSE($N$28,R9,R21)</f>
        <v>8.7999999999999995E-2</v>
      </c>
      <c r="M18" s="1" t="s">
        <v>179</v>
      </c>
      <c r="N18" s="302">
        <f t="shared" ref="N18" si="14">+N6</f>
        <v>0.77659761310210862</v>
      </c>
      <c r="O18" s="302">
        <f t="shared" ref="O18:Q18" si="15">+P6</f>
        <v>0.76</v>
      </c>
      <c r="P18" s="302">
        <f t="shared" si="15"/>
        <v>0.75</v>
      </c>
      <c r="Q18" s="302">
        <f t="shared" si="15"/>
        <v>0.74</v>
      </c>
      <c r="R18" s="302">
        <v>0.73</v>
      </c>
    </row>
    <row r="19" spans="2:18">
      <c r="B19" s="1" t="s">
        <v>161</v>
      </c>
      <c r="D19" s="280"/>
      <c r="E19" s="280">
        <f>+(E54+E58)/E34</f>
        <v>4.6160508604599991E-2</v>
      </c>
      <c r="F19" s="308">
        <f t="shared" ref="F19" si="16">+CHOOSE($N$28,N10,N22)</f>
        <v>0.05</v>
      </c>
      <c r="G19" s="308">
        <f t="shared" ref="G19" si="17">+CHOOSE($N$28,O10,O22)</f>
        <v>0.05</v>
      </c>
      <c r="H19" s="308">
        <f t="shared" ref="H19" si="18">+CHOOSE($N$28,P10,P22)</f>
        <v>0.05</v>
      </c>
      <c r="I19" s="308">
        <f t="shared" ref="I19" si="19">+CHOOSE($N$28,Q10,Q22)</f>
        <v>0.05</v>
      </c>
      <c r="J19" s="308">
        <f t="shared" ref="J19" si="20">+CHOOSE($N$28,R10,R22)</f>
        <v>0.05</v>
      </c>
      <c r="M19" s="1" t="s">
        <v>155</v>
      </c>
      <c r="N19" s="306">
        <f t="shared" ref="N19:R19" si="21">+N7</f>
        <v>6388467306.848423</v>
      </c>
      <c r="O19" s="306">
        <f t="shared" si="21"/>
        <v>6673666991.1298342</v>
      </c>
      <c r="P19" s="306">
        <f t="shared" si="21"/>
        <v>3096698054.4867082</v>
      </c>
      <c r="Q19" s="306">
        <f t="shared" si="21"/>
        <v>9363825069.5193329</v>
      </c>
      <c r="R19" s="306">
        <f t="shared" si="21"/>
        <v>10315875394.008852</v>
      </c>
    </row>
    <row r="20" spans="2:18">
      <c r="B20" s="1" t="s">
        <v>162</v>
      </c>
      <c r="D20" s="280"/>
      <c r="E20" s="301">
        <f>+E62</f>
        <v>9741985241.0799999</v>
      </c>
      <c r="F20" s="309">
        <f t="shared" ref="F20" si="22">+CHOOSE($N$28,N11,N23)</f>
        <v>9975792886.7840004</v>
      </c>
      <c r="G20" s="309">
        <f t="shared" ref="G20" si="23">+CHOOSE($N$28,O11,O23)</f>
        <v>20085526608.538601</v>
      </c>
      <c r="H20" s="309">
        <f t="shared" ref="H20" si="24">+CHOOSE($N$28,P11,P23)</f>
        <v>25531250278.111671</v>
      </c>
      <c r="I20" s="309">
        <f t="shared" ref="I20" si="25">+CHOOSE($N$28,Q11,Q23)</f>
        <v>25696562780.892788</v>
      </c>
      <c r="J20" s="309">
        <f t="shared" ref="J20" si="26">+CHOOSE($N$28,R11,R23)</f>
        <v>27197459664.319572</v>
      </c>
      <c r="M20" s="1" t="s">
        <v>177</v>
      </c>
      <c r="N20" s="302">
        <v>0.12</v>
      </c>
      <c r="O20" s="302">
        <v>0.12</v>
      </c>
      <c r="P20" s="302">
        <v>0.12</v>
      </c>
      <c r="Q20" s="302">
        <v>0.12</v>
      </c>
      <c r="R20" s="302">
        <v>0.12</v>
      </c>
    </row>
    <row r="21" spans="2:18">
      <c r="B21" s="1" t="s">
        <v>163</v>
      </c>
      <c r="D21" s="280"/>
      <c r="E21" s="301">
        <f>+E63+E65</f>
        <v>2463771209.072855</v>
      </c>
      <c r="F21" s="309">
        <f t="shared" ref="F21" si="27">+CHOOSE($N$28,N12,N24)</f>
        <v>2522901718.0159998</v>
      </c>
      <c r="G21" s="309">
        <f t="shared" ref="G21" si="28">+CHOOSE($N$28,O12,O24)</f>
        <v>2550653636.914176</v>
      </c>
      <c r="H21" s="309">
        <f t="shared" ref="H21" si="29">+CHOOSE($N$28,P12,P24)</f>
        <v>2627173246.0216012</v>
      </c>
      <c r="I21" s="309">
        <f t="shared" ref="I21" si="30">+CHOOSE($N$28,Q12,Q24)</f>
        <v>2705988443.4022493</v>
      </c>
      <c r="J21" s="309">
        <f t="shared" ref="J21" si="31">+CHOOSE($N$28,R12,R24)</f>
        <v>2787168096.7043161</v>
      </c>
      <c r="M21" s="1" t="s">
        <v>160</v>
      </c>
      <c r="N21" s="302">
        <v>8.7999999999999995E-2</v>
      </c>
      <c r="O21" s="302">
        <v>8.7999999999999995E-2</v>
      </c>
      <c r="P21" s="302">
        <v>8.7999999999999995E-2</v>
      </c>
      <c r="Q21" s="302">
        <v>8.7999999999999995E-2</v>
      </c>
      <c r="R21" s="302">
        <v>8.7999999999999995E-2</v>
      </c>
    </row>
    <row r="22" spans="2:18">
      <c r="B22" s="1" t="s">
        <v>164</v>
      </c>
      <c r="D22" s="280"/>
      <c r="E22" s="280">
        <f>+E74/E34</f>
        <v>4.9656113461324834E-2</v>
      </c>
      <c r="F22" s="310">
        <f t="shared" ref="F22" si="32">+CHOOSE($N$28,N13,N25)</f>
        <v>4.4999999999999998E-2</v>
      </c>
      <c r="G22" s="310">
        <f t="shared" ref="G22" si="33">+CHOOSE($N$28,O13,O25)</f>
        <v>4.4999999999999998E-2</v>
      </c>
      <c r="H22" s="310">
        <f t="shared" ref="H22" si="34">+CHOOSE($N$28,P13,P25)</f>
        <v>4.4999999999999998E-2</v>
      </c>
      <c r="I22" s="310">
        <f t="shared" ref="I22" si="35">+CHOOSE($N$28,Q13,Q25)</f>
        <v>4.4999999999999998E-2</v>
      </c>
      <c r="J22" s="310">
        <f t="shared" ref="J22" si="36">+CHOOSE($N$28,R13,R25)</f>
        <v>4.4999999999999998E-2</v>
      </c>
      <c r="M22" s="1" t="s">
        <v>161</v>
      </c>
      <c r="N22" s="302">
        <v>0.05</v>
      </c>
      <c r="O22" s="302">
        <v>0.05</v>
      </c>
      <c r="P22" s="302">
        <v>0.05</v>
      </c>
      <c r="Q22" s="302">
        <v>0.05</v>
      </c>
      <c r="R22" s="302">
        <v>0.05</v>
      </c>
    </row>
    <row r="23" spans="2:18">
      <c r="B23" s="1" t="s">
        <v>165</v>
      </c>
      <c r="D23" s="280"/>
      <c r="E23" s="280">
        <f>+E72/E34</f>
        <v>2.390779501060902E-2</v>
      </c>
      <c r="F23" s="284">
        <v>2.5000000000000001E-2</v>
      </c>
      <c r="G23" s="284">
        <v>2.5000000000000001E-2</v>
      </c>
      <c r="H23" s="284">
        <v>2.5000000000000001E-2</v>
      </c>
      <c r="I23" s="284">
        <v>2.5000000000000001E-2</v>
      </c>
      <c r="J23" s="284">
        <v>2.5000000000000001E-2</v>
      </c>
      <c r="M23" s="1" t="s">
        <v>162</v>
      </c>
      <c r="N23" s="305">
        <v>9975792886.7840004</v>
      </c>
      <c r="O23" s="305">
        <v>20085526608.538601</v>
      </c>
      <c r="P23" s="305">
        <v>25531250278.111671</v>
      </c>
      <c r="Q23" s="305">
        <v>25696562780.892788</v>
      </c>
      <c r="R23" s="305">
        <v>27197459664.319572</v>
      </c>
    </row>
    <row r="24" spans="2:18">
      <c r="B24" s="1" t="s">
        <v>166</v>
      </c>
      <c r="D24" s="280"/>
      <c r="E24" s="280">
        <f>+E76/E34</f>
        <v>5.6303183902072472E-2</v>
      </c>
      <c r="F24" s="284">
        <v>5.6000000000000001E-2</v>
      </c>
      <c r="G24" s="284">
        <v>5.6000000000000001E-2</v>
      </c>
      <c r="H24" s="284">
        <v>5.6000000000000001E-2</v>
      </c>
      <c r="I24" s="284">
        <v>5.6000000000000001E-2</v>
      </c>
      <c r="J24" s="284">
        <v>5.6000000000000001E-2</v>
      </c>
      <c r="M24" s="1" t="s">
        <v>163</v>
      </c>
      <c r="N24" s="305">
        <v>2522901718.0159998</v>
      </c>
      <c r="O24" s="305">
        <v>2550653636.914176</v>
      </c>
      <c r="P24" s="305">
        <v>2627173246.0216012</v>
      </c>
      <c r="Q24" s="305">
        <v>2705988443.4022493</v>
      </c>
      <c r="R24" s="305">
        <v>2787168096.7043161</v>
      </c>
    </row>
    <row r="25" spans="2:18">
      <c r="B25" s="1" t="s">
        <v>167</v>
      </c>
      <c r="D25" s="280"/>
      <c r="E25" s="280">
        <f>+E75/E34</f>
        <v>3.0568814604396716E-3</v>
      </c>
      <c r="F25" s="284">
        <v>3.0000000000000001E-3</v>
      </c>
      <c r="G25" s="284">
        <v>3.0000000000000001E-3</v>
      </c>
      <c r="H25" s="284">
        <v>3.0000000000000001E-3</v>
      </c>
      <c r="I25" s="284">
        <v>3.0000000000000001E-3</v>
      </c>
      <c r="J25" s="284">
        <v>3.0000000000000001E-3</v>
      </c>
      <c r="M25" s="1" t="s">
        <v>164</v>
      </c>
      <c r="N25" s="302">
        <v>4.4999999999999998E-2</v>
      </c>
      <c r="O25" s="302">
        <v>4.4999999999999998E-2</v>
      </c>
      <c r="P25" s="302">
        <v>4.4999999999999998E-2</v>
      </c>
      <c r="Q25" s="302">
        <v>4.4999999999999998E-2</v>
      </c>
      <c r="R25" s="302">
        <v>4.4999999999999998E-2</v>
      </c>
    </row>
    <row r="26" spans="2:18">
      <c r="B26" s="1" t="s">
        <v>169</v>
      </c>
      <c r="D26" s="280"/>
      <c r="E26" s="280">
        <f>+E73/E34</f>
        <v>5.7446379127801183E-3</v>
      </c>
      <c r="F26" s="284">
        <v>5.0000000000000001E-3</v>
      </c>
      <c r="G26" s="284">
        <v>5.0000000000000001E-3</v>
      </c>
      <c r="H26" s="284">
        <v>5.0000000000000001E-3</v>
      </c>
      <c r="I26" s="284">
        <v>5.0000000000000001E-3</v>
      </c>
      <c r="J26" s="284">
        <v>5.0000000000000001E-3</v>
      </c>
    </row>
    <row r="27" spans="2:18">
      <c r="B27" s="1" t="s">
        <v>170</v>
      </c>
      <c r="D27" s="280"/>
      <c r="E27" s="301">
        <f>+E80+E82</f>
        <v>2026701856.4200001</v>
      </c>
      <c r="F27" s="305">
        <v>2026701856.4200001</v>
      </c>
      <c r="G27" s="305">
        <v>2026701856.4200001</v>
      </c>
      <c r="H27" s="305">
        <v>2026701856.4200001</v>
      </c>
      <c r="I27" s="305">
        <v>2026701856.4200001</v>
      </c>
      <c r="J27" s="305">
        <v>2026701856.4200001</v>
      </c>
      <c r="N27" s="67"/>
      <c r="O27" s="67"/>
      <c r="P27" s="67"/>
      <c r="Q27" s="67"/>
      <c r="R27" s="67"/>
    </row>
    <row r="28" spans="2:18">
      <c r="B28" s="1" t="s">
        <v>171</v>
      </c>
      <c r="D28" s="280"/>
      <c r="E28" s="301">
        <f>+E81+E83</f>
        <v>252999534.44</v>
      </c>
      <c r="F28" s="305">
        <v>252999534.44</v>
      </c>
      <c r="G28" s="305">
        <v>252999534.44</v>
      </c>
      <c r="H28" s="305">
        <v>252999534.44</v>
      </c>
      <c r="I28" s="305">
        <v>252999534.44</v>
      </c>
      <c r="J28" s="305">
        <v>252999534.44</v>
      </c>
      <c r="M28" s="315" t="s">
        <v>181</v>
      </c>
      <c r="N28" s="315">
        <v>2</v>
      </c>
    </row>
    <row r="29" spans="2:18">
      <c r="B29" s="1" t="s">
        <v>172</v>
      </c>
      <c r="D29" s="280"/>
      <c r="E29" s="280">
        <f>+E93/E91</f>
        <v>7.1130965814461114E-2</v>
      </c>
      <c r="F29" s="284">
        <v>7.1130965814461114E-2</v>
      </c>
      <c r="G29" s="284">
        <v>7.1130965814461114E-2</v>
      </c>
      <c r="H29" s="284">
        <v>7.1130965814461114E-2</v>
      </c>
      <c r="I29" s="284">
        <v>7.1130965814461114E-2</v>
      </c>
      <c r="J29" s="284">
        <v>7.1130965814461114E-2</v>
      </c>
    </row>
    <row r="30" spans="2:18">
      <c r="B30" s="1" t="s">
        <v>137</v>
      </c>
      <c r="D30" s="288">
        <v>0.181530930298581</v>
      </c>
      <c r="E30" s="288">
        <f t="shared" ref="E30:J30" si="37">+D30</f>
        <v>0.181530930298581</v>
      </c>
      <c r="F30" s="311">
        <f t="shared" si="37"/>
        <v>0.181530930298581</v>
      </c>
      <c r="G30" s="311">
        <f t="shared" si="37"/>
        <v>0.181530930298581</v>
      </c>
      <c r="H30" s="311">
        <f t="shared" si="37"/>
        <v>0.181530930298581</v>
      </c>
      <c r="I30" s="311">
        <f t="shared" si="37"/>
        <v>0.181530930298581</v>
      </c>
      <c r="J30" s="311">
        <f t="shared" si="37"/>
        <v>0.181530930298581</v>
      </c>
      <c r="N30" s="19">
        <f>+C178</f>
        <v>52878027796.83091</v>
      </c>
    </row>
    <row r="31" spans="2:18">
      <c r="B31" s="1" t="s">
        <v>147</v>
      </c>
      <c r="D31" s="280"/>
      <c r="E31" s="280"/>
      <c r="F31" s="283"/>
      <c r="G31" s="281"/>
      <c r="H31" s="281"/>
      <c r="I31" s="281"/>
      <c r="J31" s="281"/>
    </row>
    <row r="32" spans="2:18">
      <c r="B32" s="229"/>
      <c r="C32" s="229"/>
      <c r="D32" s="229"/>
      <c r="E32" s="229"/>
      <c r="F32" s="394"/>
      <c r="G32" s="229"/>
      <c r="H32" s="229"/>
      <c r="I32" s="229"/>
      <c r="J32" s="229"/>
    </row>
    <row r="33" spans="1:10">
      <c r="A33" s="1" t="s">
        <v>136</v>
      </c>
      <c r="B33" s="233" t="s">
        <v>122</v>
      </c>
      <c r="C33" s="234" t="s">
        <v>5</v>
      </c>
      <c r="D33" s="300">
        <f t="shared" ref="D33:J33" si="38">+D3</f>
        <v>2021</v>
      </c>
      <c r="E33" s="300">
        <f t="shared" si="38"/>
        <v>2022</v>
      </c>
      <c r="F33" s="300">
        <f t="shared" si="38"/>
        <v>2023</v>
      </c>
      <c r="G33" s="300">
        <f t="shared" si="38"/>
        <v>2024</v>
      </c>
      <c r="H33" s="300">
        <f t="shared" si="38"/>
        <v>2025</v>
      </c>
      <c r="I33" s="300">
        <f t="shared" si="38"/>
        <v>2026</v>
      </c>
      <c r="J33" s="300">
        <f t="shared" si="38"/>
        <v>2027</v>
      </c>
    </row>
    <row r="34" spans="1:10">
      <c r="B34" s="235" t="s">
        <v>11</v>
      </c>
      <c r="C34" s="241">
        <v>10.1</v>
      </c>
      <c r="D34" s="276">
        <v>60053379137.809998</v>
      </c>
      <c r="E34" s="276">
        <v>90224924508.630005</v>
      </c>
      <c r="F34" s="285">
        <f>+E34*(1+F4)</f>
        <v>76691185832.335495</v>
      </c>
      <c r="G34" s="285">
        <f t="shared" ref="G34:J34" si="39">+F34*(1+G4)</f>
        <v>72856626540.718719</v>
      </c>
      <c r="H34" s="285">
        <f t="shared" si="39"/>
        <v>80142289194.790604</v>
      </c>
      <c r="I34" s="285">
        <f t="shared" si="39"/>
        <v>92163632574.009186</v>
      </c>
      <c r="J34" s="285">
        <f t="shared" si="39"/>
        <v>96771814202.709656</v>
      </c>
    </row>
    <row r="35" spans="1:10">
      <c r="B35" s="237" t="s">
        <v>12</v>
      </c>
      <c r="C35" s="246">
        <v>10.199999999999999</v>
      </c>
      <c r="D35" s="277">
        <v>-51897171186</v>
      </c>
      <c r="E35" s="277">
        <v>-70068461015.720001</v>
      </c>
      <c r="F35" s="286">
        <f>+-F6*F34</f>
        <v>-59558191863.361992</v>
      </c>
      <c r="G35" s="286">
        <f t="shared" ref="G35:J35" si="40">+-G6*G34</f>
        <v>-55371036170.946228</v>
      </c>
      <c r="H35" s="286">
        <f t="shared" si="40"/>
        <v>-60106716896.092957</v>
      </c>
      <c r="I35" s="286">
        <f t="shared" si="40"/>
        <v>-68201088104.7668</v>
      </c>
      <c r="J35" s="286">
        <f t="shared" si="40"/>
        <v>-70643424367.978043</v>
      </c>
    </row>
    <row r="36" spans="1:10">
      <c r="B36" s="248" t="s">
        <v>13</v>
      </c>
      <c r="C36" s="249"/>
      <c r="D36" s="278">
        <f>+D34+D35</f>
        <v>8156207951.8099976</v>
      </c>
      <c r="E36" s="278">
        <f>+E34+E35</f>
        <v>20156463492.910004</v>
      </c>
      <c r="F36" s="250">
        <f t="shared" ref="F36" si="41">+F34+F35</f>
        <v>17132993968.973503</v>
      </c>
      <c r="G36" s="250">
        <f t="shared" ref="G36:J36" si="42">+G34+G35</f>
        <v>17485590369.772491</v>
      </c>
      <c r="H36" s="250">
        <f t="shared" si="42"/>
        <v>20035572298.697647</v>
      </c>
      <c r="I36" s="250">
        <f t="shared" si="42"/>
        <v>23962544469.242386</v>
      </c>
      <c r="J36" s="250">
        <f t="shared" si="42"/>
        <v>26128389834.731613</v>
      </c>
    </row>
    <row r="37" spans="1:10">
      <c r="B37" s="237" t="s">
        <v>15</v>
      </c>
      <c r="C37" s="246">
        <v>11.1</v>
      </c>
      <c r="D37" s="279">
        <v>621747595</v>
      </c>
      <c r="E37" s="279">
        <v>411173278.94</v>
      </c>
      <c r="F37" s="291">
        <f>+F14*F34</f>
        <v>352779454.82874328</v>
      </c>
      <c r="G37" s="291">
        <f t="shared" ref="G37:J37" si="43">+G14*G34</f>
        <v>335140482.08730608</v>
      </c>
      <c r="H37" s="291">
        <f t="shared" si="43"/>
        <v>368654530.29603678</v>
      </c>
      <c r="I37" s="291">
        <f t="shared" si="43"/>
        <v>423952709.84044224</v>
      </c>
      <c r="J37" s="291">
        <f t="shared" si="43"/>
        <v>445150345.3324644</v>
      </c>
    </row>
    <row r="38" spans="1:10">
      <c r="B38" s="237" t="s">
        <v>16</v>
      </c>
      <c r="C38" s="246">
        <v>10.199999999999999</v>
      </c>
      <c r="D38" s="279">
        <v>-1949592871.48</v>
      </c>
      <c r="E38" s="279">
        <v>-2930296270.71</v>
      </c>
      <c r="F38" s="291">
        <f>+-F7*F34</f>
        <v>-2492463539.5509038</v>
      </c>
      <c r="G38" s="291">
        <f t="shared" ref="G38:J38" si="44">+-G7*G34</f>
        <v>-2367840362.5733585</v>
      </c>
      <c r="H38" s="291">
        <f t="shared" si="44"/>
        <v>-2604624398.8306947</v>
      </c>
      <c r="I38" s="291">
        <f t="shared" si="44"/>
        <v>-2995318058.6552987</v>
      </c>
      <c r="J38" s="291">
        <f t="shared" si="44"/>
        <v>-3145083961.5880637</v>
      </c>
    </row>
    <row r="39" spans="1:10">
      <c r="B39" s="237" t="s">
        <v>17</v>
      </c>
      <c r="C39" s="246">
        <v>10.199999999999999</v>
      </c>
      <c r="D39" s="279">
        <v>-1646078488.9200001</v>
      </c>
      <c r="E39" s="279">
        <v>-1976551926.4200001</v>
      </c>
      <c r="F39" s="291">
        <f>+-F8*F34</f>
        <v>-1679536969.7281473</v>
      </c>
      <c r="G39" s="291">
        <f t="shared" ref="G39:J39" si="45">+-G8*G34</f>
        <v>-1595560121.24174</v>
      </c>
      <c r="H39" s="291">
        <f t="shared" si="45"/>
        <v>-1755116133.3659141</v>
      </c>
      <c r="I39" s="291">
        <f t="shared" si="45"/>
        <v>-2018383553.3708012</v>
      </c>
      <c r="J39" s="291">
        <f t="shared" si="45"/>
        <v>-2119302731.0393414</v>
      </c>
    </row>
    <row r="40" spans="1:10">
      <c r="B40" s="237" t="s">
        <v>18</v>
      </c>
      <c r="C40" s="246">
        <v>11.3</v>
      </c>
      <c r="D40" s="279">
        <v>-829110027.19000006</v>
      </c>
      <c r="E40" s="279">
        <v>-701702582.53999996</v>
      </c>
      <c r="F40" s="291">
        <v>0</v>
      </c>
      <c r="G40" s="291">
        <v>0</v>
      </c>
      <c r="H40" s="291">
        <v>0</v>
      </c>
      <c r="I40" s="291">
        <v>0</v>
      </c>
      <c r="J40" s="291">
        <v>0</v>
      </c>
    </row>
    <row r="41" spans="1:10">
      <c r="B41" s="237" t="s">
        <v>19</v>
      </c>
      <c r="C41" s="246">
        <v>11.2</v>
      </c>
      <c r="D41" s="279">
        <v>-303311459.56</v>
      </c>
      <c r="E41" s="279">
        <v>-629843016.67999995</v>
      </c>
      <c r="F41" s="291">
        <f>+-F15*F34</f>
        <v>-536838300.82634848</v>
      </c>
      <c r="G41" s="291">
        <f t="shared" ref="G41:J41" si="46">+-G15*G34</f>
        <v>-509996385.78503102</v>
      </c>
      <c r="H41" s="291">
        <f t="shared" si="46"/>
        <v>-560996024.36353421</v>
      </c>
      <c r="I41" s="291">
        <f t="shared" si="46"/>
        <v>-645145428.01806426</v>
      </c>
      <c r="J41" s="291">
        <f t="shared" si="46"/>
        <v>-677402699.4189676</v>
      </c>
    </row>
    <row r="42" spans="1:10">
      <c r="B42" s="251" t="s">
        <v>20</v>
      </c>
      <c r="C42" s="252"/>
      <c r="D42" s="278">
        <f>+D36+SUM(D37:D41)</f>
        <v>4049862699.6599975</v>
      </c>
      <c r="E42" s="278">
        <f>+E36+SUM(E37:E41)</f>
        <v>14329242975.500004</v>
      </c>
      <c r="F42" s="250">
        <f t="shared" ref="F42" si="47">+F36+SUM(F37:F41)</f>
        <v>12776934613.696846</v>
      </c>
      <c r="G42" s="250">
        <f t="shared" ref="G42:J42" si="48">+G36+SUM(G37:G41)</f>
        <v>13347333982.259668</v>
      </c>
      <c r="H42" s="250">
        <f t="shared" si="48"/>
        <v>15483490272.43354</v>
      </c>
      <c r="I42" s="250">
        <f t="shared" si="48"/>
        <v>18727650139.038666</v>
      </c>
      <c r="J42" s="250">
        <f t="shared" si="48"/>
        <v>20631750788.017704</v>
      </c>
    </row>
    <row r="43" spans="1:10">
      <c r="B43" s="238" t="s">
        <v>21</v>
      </c>
      <c r="C43" s="241">
        <v>7</v>
      </c>
      <c r="D43" s="277">
        <v>-1400982999.9453199</v>
      </c>
      <c r="E43" s="277">
        <v>-5079950517.1599998</v>
      </c>
      <c r="F43" s="291">
        <f>+-F12*F42</f>
        <v>-4471927114.7938957</v>
      </c>
      <c r="G43" s="291">
        <f t="shared" ref="G43:J43" si="49">+-G12*G42</f>
        <v>-4671566893.790884</v>
      </c>
      <c r="H43" s="291">
        <f t="shared" si="49"/>
        <v>-5419221595.3517389</v>
      </c>
      <c r="I43" s="291">
        <f t="shared" si="49"/>
        <v>-6554677548.6635323</v>
      </c>
      <c r="J43" s="291">
        <f t="shared" si="49"/>
        <v>-7221112775.8061962</v>
      </c>
    </row>
    <row r="44" spans="1:10">
      <c r="B44" s="251" t="s">
        <v>182</v>
      </c>
      <c r="C44" s="252"/>
      <c r="D44" s="278">
        <f>+D42+D43</f>
        <v>2648879699.7146778</v>
      </c>
      <c r="E44" s="278">
        <f>+E42+E43</f>
        <v>9249292458.340004</v>
      </c>
      <c r="F44" s="250">
        <f t="shared" ref="F44" si="50">+F42+F43</f>
        <v>8305007498.9029503</v>
      </c>
      <c r="G44" s="250">
        <f t="shared" ref="G44:J44" si="51">+G42+G43</f>
        <v>8675767088.4687843</v>
      </c>
      <c r="H44" s="250">
        <f t="shared" si="51"/>
        <v>10064268677.081802</v>
      </c>
      <c r="I44" s="250">
        <f t="shared" si="51"/>
        <v>12172972590.375134</v>
      </c>
      <c r="J44" s="250">
        <f t="shared" si="51"/>
        <v>13410638012.211508</v>
      </c>
    </row>
    <row r="45" spans="1:10">
      <c r="B45" s="240" t="s">
        <v>155</v>
      </c>
      <c r="C45" s="230"/>
      <c r="D45" s="231">
        <v>0</v>
      </c>
      <c r="E45" s="231">
        <v>0</v>
      </c>
      <c r="F45" s="231">
        <f t="shared" ref="F45:J45" si="52">+F13</f>
        <v>6388467306.848423</v>
      </c>
      <c r="G45" s="231">
        <f t="shared" si="52"/>
        <v>6673666991.1298342</v>
      </c>
      <c r="H45" s="231">
        <f t="shared" si="52"/>
        <v>3096698054.4867082</v>
      </c>
      <c r="I45" s="231">
        <f t="shared" si="52"/>
        <v>9363825069.5193329</v>
      </c>
      <c r="J45" s="231">
        <f t="shared" si="52"/>
        <v>10315875394.008852</v>
      </c>
    </row>
    <row r="46" spans="1:10">
      <c r="A46" s="230"/>
      <c r="B46" s="240" t="s">
        <v>183</v>
      </c>
      <c r="C46" s="241"/>
      <c r="D46" s="236">
        <f t="shared" ref="D46:J46" si="53">+D44-D45</f>
        <v>2648879699.7146778</v>
      </c>
      <c r="E46" s="242">
        <f t="shared" si="53"/>
        <v>9249292458.340004</v>
      </c>
      <c r="F46" s="242">
        <f t="shared" si="53"/>
        <v>1916540192.0545273</v>
      </c>
      <c r="G46" s="242">
        <f t="shared" si="53"/>
        <v>2002100097.3389502</v>
      </c>
      <c r="H46" s="242">
        <f t="shared" si="53"/>
        <v>6967570622.5950947</v>
      </c>
      <c r="I46" s="242">
        <f t="shared" si="53"/>
        <v>2809147520.8558006</v>
      </c>
      <c r="J46" s="242">
        <f t="shared" si="53"/>
        <v>3094762618.2026558</v>
      </c>
    </row>
    <row r="47" spans="1:10">
      <c r="B47" s="240"/>
      <c r="C47" s="230"/>
      <c r="D47" s="231"/>
      <c r="E47" s="231"/>
      <c r="F47" s="395"/>
      <c r="G47" s="395"/>
      <c r="H47" s="395"/>
      <c r="I47" s="395"/>
      <c r="J47" s="395"/>
    </row>
    <row r="48" spans="1:10">
      <c r="B48" s="240"/>
      <c r="C48" s="230"/>
      <c r="D48" s="231"/>
      <c r="E48" s="231"/>
      <c r="F48" s="231"/>
      <c r="G48" s="231"/>
      <c r="H48" s="231"/>
      <c r="I48" s="231"/>
      <c r="J48" s="231"/>
    </row>
    <row r="49" spans="1:10">
      <c r="A49" s="1" t="s">
        <v>136</v>
      </c>
      <c r="B49" s="233" t="s">
        <v>123</v>
      </c>
      <c r="C49" s="260" t="s">
        <v>5</v>
      </c>
      <c r="D49" s="300">
        <f>+E49-1</f>
        <v>2021</v>
      </c>
      <c r="E49" s="300">
        <f t="shared" ref="E49:J49" si="54">+E33</f>
        <v>2022</v>
      </c>
      <c r="F49" s="300">
        <f t="shared" si="54"/>
        <v>2023</v>
      </c>
      <c r="G49" s="300">
        <f t="shared" si="54"/>
        <v>2024</v>
      </c>
      <c r="H49" s="300">
        <f t="shared" si="54"/>
        <v>2025</v>
      </c>
      <c r="I49" s="300">
        <f t="shared" si="54"/>
        <v>2026</v>
      </c>
      <c r="J49" s="300">
        <f t="shared" si="54"/>
        <v>2027</v>
      </c>
    </row>
    <row r="50" spans="1:10">
      <c r="B50" s="244" t="s">
        <v>41</v>
      </c>
      <c r="C50" s="241"/>
      <c r="D50" s="66"/>
      <c r="E50" s="247"/>
      <c r="F50" s="247"/>
      <c r="G50" s="247"/>
      <c r="H50" s="247"/>
      <c r="I50" s="247"/>
      <c r="J50" s="247"/>
    </row>
    <row r="51" spans="1:10">
      <c r="B51" s="244" t="s">
        <v>42</v>
      </c>
      <c r="C51" s="241"/>
      <c r="D51" s="66"/>
      <c r="E51" s="247"/>
      <c r="F51" s="247"/>
      <c r="G51" s="247"/>
      <c r="H51" s="247"/>
      <c r="I51" s="247"/>
      <c r="J51" s="247"/>
    </row>
    <row r="52" spans="1:10">
      <c r="B52" s="294" t="s">
        <v>145</v>
      </c>
      <c r="C52" s="295"/>
      <c r="D52" s="296">
        <f t="shared" ref="D52:E52" si="55">+IF(D98&lt;0,-D98,0)</f>
        <v>0</v>
      </c>
      <c r="E52" s="296">
        <f t="shared" si="55"/>
        <v>0</v>
      </c>
      <c r="F52" s="296">
        <f t="shared" ref="F52:J52" ca="1" si="56">+-F98</f>
        <v>2891995124.1439285</v>
      </c>
      <c r="G52" s="296">
        <f t="shared" ca="1" si="56"/>
        <v>-4666888658.531868</v>
      </c>
      <c r="H52" s="296">
        <f t="shared" ca="1" si="56"/>
        <v>-4316914659.8295364</v>
      </c>
      <c r="I52" s="296">
        <f t="shared" ca="1" si="56"/>
        <v>-3559227858.7357178</v>
      </c>
      <c r="J52" s="296">
        <f t="shared" ca="1" si="56"/>
        <v>-2739352768.1086807</v>
      </c>
    </row>
    <row r="53" spans="1:10">
      <c r="B53" s="243" t="s">
        <v>43</v>
      </c>
      <c r="C53" s="241">
        <v>1.1000000000000001</v>
      </c>
      <c r="D53" s="272">
        <v>755101448.57000005</v>
      </c>
      <c r="E53" s="273">
        <v>2376856670.0599999</v>
      </c>
      <c r="F53" s="273">
        <f>+F16*F34</f>
        <v>2020328169.5509996</v>
      </c>
      <c r="G53" s="273">
        <f t="shared" ref="G53:J53" si="57">+G16*G34</f>
        <v>1919311761.0734496</v>
      </c>
      <c r="H53" s="273">
        <f t="shared" si="57"/>
        <v>2111242937.180795</v>
      </c>
      <c r="I53" s="273">
        <f t="shared" si="57"/>
        <v>2427929377.7579141</v>
      </c>
      <c r="J53" s="273">
        <f t="shared" si="57"/>
        <v>2549325846.6458101</v>
      </c>
    </row>
    <row r="54" spans="1:10">
      <c r="A54" s="1" t="s">
        <v>93</v>
      </c>
      <c r="B54" s="243" t="s">
        <v>44</v>
      </c>
      <c r="C54" s="241">
        <v>1.2</v>
      </c>
      <c r="D54" s="272">
        <v>1727880423.0699999</v>
      </c>
      <c r="E54" s="273">
        <v>2594834404.1300001</v>
      </c>
      <c r="F54" s="273">
        <f>+E54/(E54+E58)*F19*F34</f>
        <v>2389065144.8440781</v>
      </c>
      <c r="G54" s="273">
        <f t="shared" ref="G54:J54" si="58">+F54/(F54+F58)*G19*G34</f>
        <v>2269611887.6018744</v>
      </c>
      <c r="H54" s="273">
        <f t="shared" si="58"/>
        <v>2496573076.362062</v>
      </c>
      <c r="I54" s="273">
        <f t="shared" si="58"/>
        <v>2871059037.816371</v>
      </c>
      <c r="J54" s="273">
        <f t="shared" si="58"/>
        <v>3014611989.70719</v>
      </c>
    </row>
    <row r="55" spans="1:10">
      <c r="A55" s="1" t="s">
        <v>93</v>
      </c>
      <c r="B55" s="261" t="s">
        <v>45</v>
      </c>
      <c r="C55" s="241">
        <v>1.3</v>
      </c>
      <c r="D55" s="272">
        <v>21725046</v>
      </c>
      <c r="E55" s="273">
        <v>0</v>
      </c>
      <c r="F55" s="273"/>
      <c r="G55" s="273"/>
      <c r="H55" s="273"/>
      <c r="I55" s="273"/>
      <c r="J55" s="273"/>
    </row>
    <row r="56" spans="1:10">
      <c r="A56" s="1" t="s">
        <v>92</v>
      </c>
      <c r="B56" s="243" t="s">
        <v>46</v>
      </c>
      <c r="C56" s="241">
        <v>2</v>
      </c>
      <c r="D56" s="272">
        <v>6439385556.9499998</v>
      </c>
      <c r="E56" s="273">
        <v>7901915097.3000002</v>
      </c>
      <c r="F56" s="273">
        <f>+F18*F34</f>
        <v>6748824353.2455235</v>
      </c>
      <c r="G56" s="273">
        <f t="shared" ref="G56:J56" si="59">+G18*G34</f>
        <v>6411383135.5832472</v>
      </c>
      <c r="H56" s="273">
        <f t="shared" si="59"/>
        <v>7052521449.141573</v>
      </c>
      <c r="I56" s="273">
        <f t="shared" si="59"/>
        <v>8110399666.5128078</v>
      </c>
      <c r="J56" s="273">
        <f t="shared" si="59"/>
        <v>8515919649.8384495</v>
      </c>
    </row>
    <row r="57" spans="1:10">
      <c r="A57" s="1" t="s">
        <v>92</v>
      </c>
      <c r="B57" s="243" t="s">
        <v>47</v>
      </c>
      <c r="C57" s="241">
        <v>3</v>
      </c>
      <c r="D57" s="272">
        <v>10564508473.16</v>
      </c>
      <c r="E57" s="273">
        <v>10866193153.99</v>
      </c>
      <c r="F57" s="273">
        <f>+F17*F34</f>
        <v>9202942299.8802586</v>
      </c>
      <c r="G57" s="273">
        <f t="shared" ref="G57:J57" si="60">+G17*G34</f>
        <v>8742795184.8862457</v>
      </c>
      <c r="H57" s="273">
        <f t="shared" si="60"/>
        <v>9617074703.3748722</v>
      </c>
      <c r="I57" s="273">
        <f t="shared" si="60"/>
        <v>11059635908.881102</v>
      </c>
      <c r="J57" s="273">
        <f t="shared" si="60"/>
        <v>11612617704.325159</v>
      </c>
    </row>
    <row r="58" spans="1:10">
      <c r="A58" s="1" t="s">
        <v>93</v>
      </c>
      <c r="B58" s="243" t="s">
        <v>48</v>
      </c>
      <c r="C58" s="241">
        <v>7.1</v>
      </c>
      <c r="D58" s="272">
        <v>1201820000</v>
      </c>
      <c r="E58" s="273">
        <v>1569994000</v>
      </c>
      <c r="F58" s="273">
        <f>+E58/(E54+E58)*F19*F34</f>
        <v>1445494146.7726967</v>
      </c>
      <c r="G58" s="273">
        <f t="shared" ref="G58:J58" si="61">+F58/(F54+F58)*G19*G34</f>
        <v>1373219439.4340622</v>
      </c>
      <c r="H58" s="273">
        <f t="shared" si="61"/>
        <v>1510541383.3774686</v>
      </c>
      <c r="I58" s="273">
        <f t="shared" si="61"/>
        <v>1737122590.8840888</v>
      </c>
      <c r="J58" s="273">
        <f t="shared" si="61"/>
        <v>1823978720.4282935</v>
      </c>
    </row>
    <row r="59" spans="1:10">
      <c r="B59" s="262" t="s">
        <v>49</v>
      </c>
      <c r="C59" s="252"/>
      <c r="D59" s="263">
        <f>+SUM(D52:D58)</f>
        <v>20710420947.75</v>
      </c>
      <c r="E59" s="263">
        <f t="shared" ref="E59:F59" si="62">+SUM(E52:E58)</f>
        <v>25309793325.480003</v>
      </c>
      <c r="F59" s="263">
        <f t="shared" ca="1" si="62"/>
        <v>24698649238.437485</v>
      </c>
      <c r="G59" s="263">
        <f t="shared" ref="G59:J59" ca="1" si="63">+SUM(G52:G58)</f>
        <v>16049432750.047012</v>
      </c>
      <c r="H59" s="263">
        <f t="shared" ca="1" si="63"/>
        <v>18471038889.607235</v>
      </c>
      <c r="I59" s="263">
        <f t="shared" ca="1" si="63"/>
        <v>22646918723.116566</v>
      </c>
      <c r="J59" s="263">
        <f t="shared" ca="1" si="63"/>
        <v>24777101142.836224</v>
      </c>
    </row>
    <row r="60" spans="1:10">
      <c r="B60" s="243" t="s">
        <v>14</v>
      </c>
      <c r="C60" s="241"/>
      <c r="D60" s="264"/>
      <c r="E60" s="265"/>
      <c r="F60" s="265"/>
      <c r="G60" s="265"/>
      <c r="H60" s="265"/>
      <c r="I60" s="265"/>
      <c r="J60" s="265"/>
    </row>
    <row r="61" spans="1:10">
      <c r="B61" s="244" t="s">
        <v>50</v>
      </c>
      <c r="C61" s="241"/>
      <c r="D61" s="264"/>
      <c r="E61" s="265"/>
      <c r="F61" s="265"/>
      <c r="G61" s="265"/>
      <c r="H61" s="265"/>
      <c r="I61" s="265"/>
      <c r="J61" s="265"/>
    </row>
    <row r="62" spans="1:10">
      <c r="A62" s="1" t="s">
        <v>92</v>
      </c>
      <c r="B62" s="243" t="s">
        <v>51</v>
      </c>
      <c r="C62" s="241">
        <v>4.0999999999999996</v>
      </c>
      <c r="D62" s="272">
        <v>10637138060.860001</v>
      </c>
      <c r="E62" s="273">
        <v>9741985241.0799999</v>
      </c>
      <c r="F62" s="273">
        <f>+F20</f>
        <v>9975792886.7840004</v>
      </c>
      <c r="G62" s="273">
        <f t="shared" ref="G62:J62" si="64">+G20</f>
        <v>20085526608.538601</v>
      </c>
      <c r="H62" s="273">
        <f t="shared" si="64"/>
        <v>25531250278.111671</v>
      </c>
      <c r="I62" s="273">
        <f t="shared" si="64"/>
        <v>25696562780.892788</v>
      </c>
      <c r="J62" s="273">
        <f t="shared" si="64"/>
        <v>27197459664.319572</v>
      </c>
    </row>
    <row r="63" spans="1:10">
      <c r="A63" s="1" t="s">
        <v>93</v>
      </c>
      <c r="B63" s="243" t="s">
        <v>52</v>
      </c>
      <c r="C63" s="241">
        <v>4.5</v>
      </c>
      <c r="D63" s="272">
        <v>1223030000</v>
      </c>
      <c r="E63" s="273">
        <v>1223030000</v>
      </c>
      <c r="F63" s="273">
        <f>+E63/(E63+E65)*F21</f>
        <v>1252382719.9629662</v>
      </c>
      <c r="G63" s="273">
        <f t="shared" ref="G63:J63" si="65">+F63/(F63+F65)*G21</f>
        <v>1266158929.8825588</v>
      </c>
      <c r="H63" s="273">
        <f t="shared" si="65"/>
        <v>1304143697.7790356</v>
      </c>
      <c r="I63" s="273">
        <f t="shared" si="65"/>
        <v>1343268008.7124069</v>
      </c>
      <c r="J63" s="273">
        <f t="shared" si="65"/>
        <v>1383566048.9737787</v>
      </c>
    </row>
    <row r="64" spans="1:10">
      <c r="A64" s="1" t="s">
        <v>93</v>
      </c>
      <c r="B64" s="243" t="s">
        <v>53</v>
      </c>
      <c r="C64" s="241"/>
      <c r="D64" s="272">
        <v>0</v>
      </c>
      <c r="E64" s="273">
        <v>0</v>
      </c>
      <c r="F64" s="273">
        <v>0</v>
      </c>
      <c r="G64" s="273">
        <v>0</v>
      </c>
      <c r="H64" s="273">
        <v>0</v>
      </c>
      <c r="I64" s="273">
        <v>0</v>
      </c>
      <c r="J64" s="273">
        <v>0</v>
      </c>
    </row>
    <row r="65" spans="1:10">
      <c r="A65" s="1" t="s">
        <v>93</v>
      </c>
      <c r="B65" s="243" t="s">
        <v>48</v>
      </c>
      <c r="C65" s="241">
        <v>7.1</v>
      </c>
      <c r="D65" s="272">
        <v>263856489</v>
      </c>
      <c r="E65" s="273">
        <v>1240741209.072855</v>
      </c>
      <c r="F65" s="273">
        <f>+E65/(E65+E63)*F21</f>
        <v>1270518998.0530334</v>
      </c>
      <c r="G65" s="273">
        <f t="shared" ref="G65:J65" si="66">+F65/(F65+F63)*G21</f>
        <v>1284494707.0316169</v>
      </c>
      <c r="H65" s="273">
        <f t="shared" si="66"/>
        <v>1323029548.2425654</v>
      </c>
      <c r="I65" s="273">
        <f t="shared" si="66"/>
        <v>1362720434.6898427</v>
      </c>
      <c r="J65" s="273">
        <f t="shared" si="66"/>
        <v>1403602047.7305377</v>
      </c>
    </row>
    <row r="66" spans="1:10">
      <c r="B66" s="262" t="s">
        <v>55</v>
      </c>
      <c r="C66" s="252"/>
      <c r="D66" s="263">
        <f>+SUM(D62:D65)</f>
        <v>12124024549.860001</v>
      </c>
      <c r="E66" s="263">
        <f>+SUM(E62:E65)</f>
        <v>12205756450.152855</v>
      </c>
      <c r="F66" s="263">
        <f t="shared" ref="F66" si="67">+SUM(F62:F65)</f>
        <v>12498694604.800001</v>
      </c>
      <c r="G66" s="263">
        <f t="shared" ref="G66:J66" si="68">+SUM(G62:G65)</f>
        <v>22636180245.452774</v>
      </c>
      <c r="H66" s="263">
        <f t="shared" si="68"/>
        <v>28158423524.133274</v>
      </c>
      <c r="I66" s="263">
        <f t="shared" si="68"/>
        <v>28402551224.295036</v>
      </c>
      <c r="J66" s="263">
        <f t="shared" si="68"/>
        <v>29984627761.023888</v>
      </c>
    </row>
    <row r="67" spans="1:10">
      <c r="A67" s="19"/>
      <c r="B67" s="262" t="s">
        <v>56</v>
      </c>
      <c r="C67" s="252"/>
      <c r="D67" s="263">
        <f>+D66+D59</f>
        <v>32834445497.610001</v>
      </c>
      <c r="E67" s="263">
        <f>+E66+E59</f>
        <v>37515549775.632858</v>
      </c>
      <c r="F67" s="263">
        <f t="shared" ref="F67" ca="1" si="69">+F66+F59</f>
        <v>37197343843.237488</v>
      </c>
      <c r="G67" s="263">
        <f t="shared" ref="G67:J67" ca="1" si="70">+G66+G59</f>
        <v>38685612995.499786</v>
      </c>
      <c r="H67" s="263">
        <f t="shared" ca="1" si="70"/>
        <v>46629462413.740509</v>
      </c>
      <c r="I67" s="263">
        <f t="shared" ca="1" si="70"/>
        <v>51049469947.411606</v>
      </c>
      <c r="J67" s="263">
        <f t="shared" ca="1" si="70"/>
        <v>54761728903.860107</v>
      </c>
    </row>
    <row r="68" spans="1:10">
      <c r="B68" s="243" t="s">
        <v>14</v>
      </c>
      <c r="C68" s="241"/>
      <c r="D68" s="266"/>
      <c r="E68" s="266"/>
      <c r="F68" s="266"/>
      <c r="G68" s="266"/>
      <c r="H68" s="266"/>
      <c r="I68" s="266"/>
      <c r="J68" s="266"/>
    </row>
    <row r="69" spans="1:10">
      <c r="B69" s="244" t="s">
        <v>57</v>
      </c>
      <c r="C69" s="241"/>
      <c r="D69" s="267"/>
      <c r="E69" s="266"/>
      <c r="F69" s="266"/>
      <c r="G69" s="266"/>
      <c r="H69" s="266"/>
      <c r="I69" s="266"/>
      <c r="J69" s="266"/>
    </row>
    <row r="70" spans="1:10">
      <c r="B70" s="244" t="s">
        <v>58</v>
      </c>
      <c r="C70" s="241"/>
      <c r="D70" s="267"/>
      <c r="E70" s="266"/>
      <c r="F70" s="266"/>
      <c r="G70" s="266"/>
      <c r="H70" s="266"/>
      <c r="I70" s="266"/>
      <c r="J70" s="266"/>
    </row>
    <row r="71" spans="1:10">
      <c r="B71" s="294" t="s">
        <v>146</v>
      </c>
      <c r="C71" s="295"/>
      <c r="D71" s="296">
        <f>+D98+D52</f>
        <v>0</v>
      </c>
      <c r="E71" s="296">
        <f>+E98+E52</f>
        <v>0</v>
      </c>
      <c r="F71" s="296"/>
      <c r="G71" s="296"/>
      <c r="H71" s="296"/>
      <c r="I71" s="296"/>
      <c r="J71" s="296"/>
    </row>
    <row r="72" spans="1:10">
      <c r="A72" s="33" t="s">
        <v>92</v>
      </c>
      <c r="B72" s="243" t="s">
        <v>59</v>
      </c>
      <c r="C72" s="241">
        <v>5.2</v>
      </c>
      <c r="D72" s="272">
        <v>1944884000</v>
      </c>
      <c r="E72" s="273">
        <v>2157079000</v>
      </c>
      <c r="F72" s="273">
        <f>+F23*F34</f>
        <v>1917279645.8083875</v>
      </c>
      <c r="G72" s="273">
        <f t="shared" ref="G72:J72" si="71">+G23*G34</f>
        <v>1821415663.5179682</v>
      </c>
      <c r="H72" s="273">
        <f t="shared" si="71"/>
        <v>2003557229.8697653</v>
      </c>
      <c r="I72" s="273">
        <f t="shared" si="71"/>
        <v>2304090814.3502297</v>
      </c>
      <c r="J72" s="273">
        <f t="shared" si="71"/>
        <v>2419295355.0677414</v>
      </c>
    </row>
    <row r="73" spans="1:10">
      <c r="A73" s="33"/>
      <c r="B73" s="243" t="s">
        <v>60</v>
      </c>
      <c r="C73" s="241">
        <v>5.3</v>
      </c>
      <c r="D73" s="272">
        <v>2295243321.1700001</v>
      </c>
      <c r="E73" s="273">
        <v>518309522.00999999</v>
      </c>
      <c r="F73" s="273">
        <f>+F26*F34</f>
        <v>383455929.16167748</v>
      </c>
      <c r="G73" s="273">
        <f t="shared" ref="G73:J73" si="72">+G26*G34</f>
        <v>364283132.70359361</v>
      </c>
      <c r="H73" s="273">
        <f t="shared" si="72"/>
        <v>400711445.97395301</v>
      </c>
      <c r="I73" s="273">
        <f t="shared" si="72"/>
        <v>460818162.87004596</v>
      </c>
      <c r="J73" s="273">
        <f t="shared" si="72"/>
        <v>483859071.01354831</v>
      </c>
    </row>
    <row r="74" spans="1:10">
      <c r="A74" s="33" t="s">
        <v>92</v>
      </c>
      <c r="B74" s="255" t="s">
        <v>85</v>
      </c>
      <c r="C74" s="241">
        <v>6.1</v>
      </c>
      <c r="D74" s="274">
        <v>7725520950.0100002</v>
      </c>
      <c r="E74" s="275">
        <v>4480219088.4399996</v>
      </c>
      <c r="F74" s="275">
        <f>+F22*F34</f>
        <v>3451103362.4550972</v>
      </c>
      <c r="G74" s="275">
        <f t="shared" ref="G74:J74" si="73">+G22*G34</f>
        <v>3278548194.3323421</v>
      </c>
      <c r="H74" s="275">
        <f t="shared" si="73"/>
        <v>3606403013.7655768</v>
      </c>
      <c r="I74" s="275">
        <f t="shared" si="73"/>
        <v>4147363465.8304133</v>
      </c>
      <c r="J74" s="275">
        <f t="shared" si="73"/>
        <v>4354731639.1219339</v>
      </c>
    </row>
    <row r="75" spans="1:10">
      <c r="A75" s="1" t="s">
        <v>92</v>
      </c>
      <c r="B75" s="243" t="s">
        <v>62</v>
      </c>
      <c r="C75" s="241">
        <v>6.2</v>
      </c>
      <c r="D75" s="272">
        <v>238563887</v>
      </c>
      <c r="E75" s="273">
        <v>275806899</v>
      </c>
      <c r="F75" s="273">
        <f>+F25*F34</f>
        <v>230073557.49700648</v>
      </c>
      <c r="G75" s="273">
        <f t="shared" ref="G75:J75" si="74">+G25*G34</f>
        <v>218569879.62215617</v>
      </c>
      <c r="H75" s="273">
        <f t="shared" si="74"/>
        <v>240426867.58437181</v>
      </c>
      <c r="I75" s="273">
        <f t="shared" si="74"/>
        <v>276490897.72202754</v>
      </c>
      <c r="J75" s="273">
        <f t="shared" si="74"/>
        <v>290315442.60812896</v>
      </c>
    </row>
    <row r="76" spans="1:10">
      <c r="A76" s="1" t="s">
        <v>92</v>
      </c>
      <c r="B76" s="243" t="s">
        <v>63</v>
      </c>
      <c r="C76" s="241">
        <v>7</v>
      </c>
      <c r="D76" s="272">
        <v>1400982999.9453151</v>
      </c>
      <c r="E76" s="273">
        <v>5079950517.1600008</v>
      </c>
      <c r="F76" s="273">
        <f>+F24*F34</f>
        <v>4294706406.6107879</v>
      </c>
      <c r="G76" s="273">
        <f t="shared" ref="G76:J76" si="75">+G24*G34</f>
        <v>4079971086.2802482</v>
      </c>
      <c r="H76" s="273">
        <f t="shared" si="75"/>
        <v>4487968194.9082737</v>
      </c>
      <c r="I76" s="273">
        <f t="shared" si="75"/>
        <v>5161163424.1445141</v>
      </c>
      <c r="J76" s="273">
        <f t="shared" si="75"/>
        <v>5419221595.3517408</v>
      </c>
    </row>
    <row r="77" spans="1:10">
      <c r="B77" s="262" t="s">
        <v>64</v>
      </c>
      <c r="C77" s="252"/>
      <c r="D77" s="263">
        <f t="shared" ref="D77:E77" si="76">+SUM(D71:D76)</f>
        <v>13605195158.125315</v>
      </c>
      <c r="E77" s="263">
        <f t="shared" si="76"/>
        <v>12511365026.610001</v>
      </c>
      <c r="F77" s="263">
        <f>+SUM(F71:F76)</f>
        <v>10276618901.532957</v>
      </c>
      <c r="G77" s="263">
        <f t="shared" ref="G77:J77" si="77">+SUM(G71:G76)</f>
        <v>9762787956.4563084</v>
      </c>
      <c r="H77" s="263">
        <f t="shared" si="77"/>
        <v>10739066752.10194</v>
      </c>
      <c r="I77" s="263">
        <f t="shared" si="77"/>
        <v>12349926764.917233</v>
      </c>
      <c r="J77" s="263">
        <f t="shared" si="77"/>
        <v>12967423103.163094</v>
      </c>
    </row>
    <row r="78" spans="1:10">
      <c r="B78" s="243" t="s">
        <v>14</v>
      </c>
      <c r="C78" s="241"/>
      <c r="D78" s="267"/>
      <c r="E78" s="266"/>
      <c r="F78" s="266"/>
      <c r="G78" s="266"/>
      <c r="H78" s="266"/>
      <c r="I78" s="266"/>
      <c r="J78" s="266"/>
    </row>
    <row r="79" spans="1:10">
      <c r="B79" s="244" t="s">
        <v>65</v>
      </c>
      <c r="C79" s="241"/>
      <c r="D79" s="267"/>
      <c r="E79" s="266"/>
      <c r="F79" s="266"/>
      <c r="G79" s="266"/>
      <c r="H79" s="266"/>
      <c r="I79" s="266"/>
      <c r="J79" s="266"/>
    </row>
    <row r="80" spans="1:10">
      <c r="A80" s="1" t="s">
        <v>93</v>
      </c>
      <c r="B80" s="243" t="s">
        <v>60</v>
      </c>
      <c r="C80" s="241">
        <v>5.3</v>
      </c>
      <c r="D80" s="272">
        <v>1961264510.98</v>
      </c>
      <c r="E80" s="273">
        <v>236690165</v>
      </c>
      <c r="F80" s="273">
        <f>+E80/(E80+E82)*F27</f>
        <v>236690165</v>
      </c>
      <c r="G80" s="273">
        <f t="shared" ref="G80:J80" si="78">+F80/(F80+F82)*G27</f>
        <v>236690165</v>
      </c>
      <c r="H80" s="273">
        <f t="shared" si="78"/>
        <v>236690165</v>
      </c>
      <c r="I80" s="273">
        <f t="shared" si="78"/>
        <v>236690165</v>
      </c>
      <c r="J80" s="273">
        <f t="shared" si="78"/>
        <v>236690165</v>
      </c>
    </row>
    <row r="81" spans="1:10">
      <c r="A81" s="1" t="s">
        <v>93</v>
      </c>
      <c r="B81" s="243" t="s">
        <v>66</v>
      </c>
      <c r="C81" s="241">
        <v>8</v>
      </c>
      <c r="D81" s="272">
        <v>452006325.44</v>
      </c>
      <c r="E81" s="273">
        <v>217884946.44</v>
      </c>
      <c r="F81" s="273">
        <f>+E81/(E81+E83)*F28</f>
        <v>217884946.44</v>
      </c>
      <c r="G81" s="273">
        <f t="shared" ref="G81:J81" si="79">+F81/(F81+F83)*G28</f>
        <v>217884946.44</v>
      </c>
      <c r="H81" s="273">
        <f t="shared" si="79"/>
        <v>217884946.44</v>
      </c>
      <c r="I81" s="273">
        <f t="shared" si="79"/>
        <v>217884946.44</v>
      </c>
      <c r="J81" s="273">
        <f t="shared" si="79"/>
        <v>217884946.44</v>
      </c>
    </row>
    <row r="82" spans="1:10">
      <c r="A82" s="1" t="s">
        <v>93</v>
      </c>
      <c r="B82" s="243" t="s">
        <v>67</v>
      </c>
      <c r="C82" s="241"/>
      <c r="D82" s="272">
        <v>4282558733.21</v>
      </c>
      <c r="E82" s="273">
        <v>1790011691.4200001</v>
      </c>
      <c r="F82" s="273">
        <f>+E82/(E82+E80)*F27</f>
        <v>1790011691.4200001</v>
      </c>
      <c r="G82" s="273">
        <f t="shared" ref="G82:J82" si="80">+F82/(F82+F80)*G27</f>
        <v>1790011691.4200001</v>
      </c>
      <c r="H82" s="273">
        <f t="shared" si="80"/>
        <v>1790011691.4200001</v>
      </c>
      <c r="I82" s="273">
        <f t="shared" si="80"/>
        <v>1790011691.4200001</v>
      </c>
      <c r="J82" s="273">
        <f t="shared" si="80"/>
        <v>1790011691.4200001</v>
      </c>
    </row>
    <row r="83" spans="1:10">
      <c r="A83" s="1" t="s">
        <v>93</v>
      </c>
      <c r="B83" s="243" t="s">
        <v>63</v>
      </c>
      <c r="C83" s="241">
        <v>7.1</v>
      </c>
      <c r="D83" s="272">
        <v>539915397</v>
      </c>
      <c r="E83" s="273">
        <v>35114588</v>
      </c>
      <c r="F83" s="273">
        <f>+E83/(E83+E81)*F28</f>
        <v>35114588</v>
      </c>
      <c r="G83" s="273">
        <f t="shared" ref="G83:J83" si="81">+F83/(F83+F81)*G28</f>
        <v>35114588</v>
      </c>
      <c r="H83" s="273">
        <f t="shared" si="81"/>
        <v>35114588</v>
      </c>
      <c r="I83" s="273">
        <f t="shared" si="81"/>
        <v>35114588</v>
      </c>
      <c r="J83" s="273">
        <f t="shared" si="81"/>
        <v>35114588</v>
      </c>
    </row>
    <row r="84" spans="1:10">
      <c r="B84" s="262" t="s">
        <v>68</v>
      </c>
      <c r="C84" s="252"/>
      <c r="D84" s="263">
        <f>+SUM(D80:D83)</f>
        <v>7235744966.6300001</v>
      </c>
      <c r="E84" s="263">
        <f>+SUM(E80:E83)</f>
        <v>2279701390.8600001</v>
      </c>
      <c r="F84" s="263">
        <f>+SUM(F80:F83)</f>
        <v>2279701390.8600001</v>
      </c>
      <c r="G84" s="263">
        <f t="shared" ref="G84:J84" si="82">+SUM(G80:G83)</f>
        <v>2279701390.8600001</v>
      </c>
      <c r="H84" s="263">
        <f t="shared" si="82"/>
        <v>2279701390.8600001</v>
      </c>
      <c r="I84" s="263">
        <f t="shared" si="82"/>
        <v>2279701390.8600001</v>
      </c>
      <c r="J84" s="263">
        <f t="shared" si="82"/>
        <v>2279701390.8600001</v>
      </c>
    </row>
    <row r="85" spans="1:10">
      <c r="B85" s="262" t="s">
        <v>69</v>
      </c>
      <c r="C85" s="252"/>
      <c r="D85" s="263">
        <f>+D84+D77</f>
        <v>20840940124.755314</v>
      </c>
      <c r="E85" s="263">
        <f>+E84+E77</f>
        <v>14791066417.470001</v>
      </c>
      <c r="F85" s="263">
        <f>+F84+F77</f>
        <v>12556320292.392958</v>
      </c>
      <c r="G85" s="263">
        <f t="shared" ref="G85:J85" si="83">+G84+G77</f>
        <v>12042489347.316309</v>
      </c>
      <c r="H85" s="263">
        <f t="shared" si="83"/>
        <v>13018768142.961941</v>
      </c>
      <c r="I85" s="263">
        <f t="shared" si="83"/>
        <v>14629628155.777233</v>
      </c>
      <c r="J85" s="263">
        <f t="shared" si="83"/>
        <v>15247124494.023094</v>
      </c>
    </row>
    <row r="86" spans="1:10">
      <c r="B86" s="243" t="s">
        <v>14</v>
      </c>
      <c r="C86" s="241"/>
      <c r="D86" s="267"/>
      <c r="E86" s="266"/>
      <c r="F86" s="266"/>
      <c r="G86" s="266"/>
      <c r="H86" s="266"/>
      <c r="I86" s="266"/>
      <c r="J86" s="266"/>
    </row>
    <row r="87" spans="1:10">
      <c r="B87" s="262" t="s">
        <v>70</v>
      </c>
      <c r="C87" s="252"/>
      <c r="D87" s="263">
        <v>11993505374.504681</v>
      </c>
      <c r="E87" s="263">
        <v>22724483358.790001</v>
      </c>
      <c r="F87" s="263">
        <f>+E87+F46</f>
        <v>24641023550.844528</v>
      </c>
      <c r="G87" s="263">
        <f t="shared" ref="G87:J87" si="84">+F87+G46</f>
        <v>26643123648.183479</v>
      </c>
      <c r="H87" s="263">
        <f t="shared" si="84"/>
        <v>33610694270.778572</v>
      </c>
      <c r="I87" s="263">
        <f t="shared" si="84"/>
        <v>36419841791.634369</v>
      </c>
      <c r="J87" s="263">
        <f t="shared" si="84"/>
        <v>39514604409.837021</v>
      </c>
    </row>
    <row r="88" spans="1:10">
      <c r="B88" s="262" t="s">
        <v>78</v>
      </c>
      <c r="C88" s="252"/>
      <c r="D88" s="263">
        <f t="shared" ref="D88:E88" si="85">+D85+D87</f>
        <v>32834445499.259995</v>
      </c>
      <c r="E88" s="263">
        <f t="shared" si="85"/>
        <v>37515549776.260002</v>
      </c>
      <c r="F88" s="263">
        <f>+F85+F87</f>
        <v>37197343843.237488</v>
      </c>
      <c r="G88" s="263">
        <f t="shared" ref="G88:J88" si="86">+G85+G87</f>
        <v>38685612995.499786</v>
      </c>
      <c r="H88" s="263">
        <f t="shared" si="86"/>
        <v>46629462413.740509</v>
      </c>
      <c r="I88" s="263">
        <f t="shared" si="86"/>
        <v>51049469947.411606</v>
      </c>
      <c r="J88" s="263">
        <f t="shared" si="86"/>
        <v>54761728903.860115</v>
      </c>
    </row>
    <row r="89" spans="1:10">
      <c r="B89" s="237"/>
      <c r="C89" s="246"/>
      <c r="D89" s="246"/>
      <c r="E89" s="239"/>
      <c r="F89" s="239"/>
      <c r="G89" s="239"/>
      <c r="H89" s="239"/>
      <c r="I89" s="239"/>
      <c r="J89" s="239"/>
    </row>
    <row r="90" spans="1:10">
      <c r="A90" s="1" t="s">
        <v>136</v>
      </c>
      <c r="B90" s="233" t="s">
        <v>173</v>
      </c>
      <c r="C90" s="260"/>
      <c r="D90" s="300">
        <f t="shared" ref="D90:F90" si="87">+D49</f>
        <v>2021</v>
      </c>
      <c r="E90" s="300">
        <f t="shared" si="87"/>
        <v>2022</v>
      </c>
      <c r="F90" s="300">
        <f t="shared" si="87"/>
        <v>2023</v>
      </c>
      <c r="G90" s="300">
        <f t="shared" ref="G90:J90" si="88">+G49</f>
        <v>2024</v>
      </c>
      <c r="H90" s="300">
        <f t="shared" si="88"/>
        <v>2025</v>
      </c>
      <c r="I90" s="300">
        <f t="shared" si="88"/>
        <v>2026</v>
      </c>
      <c r="J90" s="300">
        <f t="shared" si="88"/>
        <v>2027</v>
      </c>
    </row>
    <row r="91" spans="1:10">
      <c r="B91" s="237" t="s">
        <v>174</v>
      </c>
      <c r="C91" s="246"/>
      <c r="D91" s="293">
        <f>+D92+D93</f>
        <v>11348091147</v>
      </c>
      <c r="E91" s="293">
        <f>+'[21]MODELO VALORACIÓN SIMPLIFICADO'!$B$98*1000000</f>
        <v>10488007332.08</v>
      </c>
      <c r="F91" s="293">
        <f>+F92/(1-F29)</f>
        <v>10739719507.961727</v>
      </c>
      <c r="G91" s="293">
        <f t="shared" ref="G91:J91" si="89">+G92/(1-G29)</f>
        <v>21623636776.900646</v>
      </c>
      <c r="H91" s="293">
        <f t="shared" si="89"/>
        <v>27486383266.612244</v>
      </c>
      <c r="I91" s="293">
        <f t="shared" si="89"/>
        <v>27664355076.089203</v>
      </c>
      <c r="J91" s="293">
        <f t="shared" si="89"/>
        <v>29280187694.239529</v>
      </c>
    </row>
    <row r="92" spans="1:10">
      <c r="B92" s="237" t="s">
        <v>162</v>
      </c>
      <c r="C92" s="246"/>
      <c r="D92" s="293">
        <v>10637138061</v>
      </c>
      <c r="E92" s="293">
        <f>+E62</f>
        <v>9741985241.0799999</v>
      </c>
      <c r="F92" s="293">
        <f>+F62</f>
        <v>9975792886.7840004</v>
      </c>
      <c r="G92" s="293">
        <f t="shared" ref="G92:J92" si="90">+G62</f>
        <v>20085526608.538601</v>
      </c>
      <c r="H92" s="293">
        <f t="shared" si="90"/>
        <v>25531250278.111671</v>
      </c>
      <c r="I92" s="293">
        <f t="shared" si="90"/>
        <v>25696562780.892788</v>
      </c>
      <c r="J92" s="293">
        <f t="shared" si="90"/>
        <v>27197459664.319572</v>
      </c>
    </row>
    <row r="93" spans="1:10">
      <c r="B93" s="248" t="s">
        <v>175</v>
      </c>
      <c r="C93" s="249"/>
      <c r="D93" s="250">
        <v>710953086</v>
      </c>
      <c r="E93" s="250">
        <f t="shared" ref="E93:F93" si="91">+E91-E92</f>
        <v>746022091</v>
      </c>
      <c r="F93" s="250">
        <f t="shared" si="91"/>
        <v>763926621.17772675</v>
      </c>
      <c r="G93" s="250">
        <f t="shared" ref="G93" si="92">+G91-G92</f>
        <v>1538110168.3620453</v>
      </c>
      <c r="H93" s="250">
        <f t="shared" ref="H93" si="93">+H91-H92</f>
        <v>1955132988.5005722</v>
      </c>
      <c r="I93" s="250">
        <f t="shared" ref="I93" si="94">+I91-I92</f>
        <v>1967792295.1964149</v>
      </c>
      <c r="J93" s="250">
        <f t="shared" ref="J93" si="95">+J91-J92</f>
        <v>2082728029.9199562</v>
      </c>
    </row>
    <row r="94" spans="1:10">
      <c r="B94" s="237"/>
      <c r="C94" s="246"/>
      <c r="D94" s="246"/>
      <c r="E94" s="239"/>
      <c r="F94" s="239"/>
      <c r="G94" s="239"/>
      <c r="H94" s="239"/>
      <c r="I94" s="239"/>
      <c r="J94" s="239"/>
    </row>
    <row r="95" spans="1:10">
      <c r="A95" s="1" t="s">
        <v>136</v>
      </c>
      <c r="B95" s="233" t="s">
        <v>141</v>
      </c>
      <c r="C95" s="260"/>
      <c r="D95" s="300">
        <f t="shared" ref="D95:J95" si="96">+D49</f>
        <v>2021</v>
      </c>
      <c r="E95" s="300">
        <f t="shared" si="96"/>
        <v>2022</v>
      </c>
      <c r="F95" s="300">
        <f t="shared" si="96"/>
        <v>2023</v>
      </c>
      <c r="G95" s="300">
        <f t="shared" si="96"/>
        <v>2024</v>
      </c>
      <c r="H95" s="300">
        <f t="shared" si="96"/>
        <v>2025</v>
      </c>
      <c r="I95" s="300">
        <f t="shared" si="96"/>
        <v>2026</v>
      </c>
      <c r="J95" s="300">
        <f t="shared" si="96"/>
        <v>2027</v>
      </c>
    </row>
    <row r="96" spans="1:10">
      <c r="B96" s="237" t="s">
        <v>143</v>
      </c>
      <c r="C96" s="246"/>
      <c r="D96" s="293"/>
      <c r="E96" s="293"/>
      <c r="F96" s="293">
        <f ca="1">+F67-F52</f>
        <v>34305348719.093559</v>
      </c>
      <c r="G96" s="293">
        <f ca="1">+G67-G52</f>
        <v>43352501654.031654</v>
      </c>
      <c r="H96" s="293">
        <f ca="1">+H67-H52</f>
        <v>50946377073.570045</v>
      </c>
      <c r="I96" s="293">
        <f ca="1">+I67-I52</f>
        <v>54608697806.147324</v>
      </c>
      <c r="J96" s="293">
        <f ca="1">+J67-J52</f>
        <v>57501081671.968788</v>
      </c>
    </row>
    <row r="97" spans="1:15">
      <c r="B97" s="237" t="s">
        <v>142</v>
      </c>
      <c r="C97" s="246"/>
      <c r="D97" s="293"/>
      <c r="E97" s="293"/>
      <c r="F97" s="293">
        <f>+F88-F71</f>
        <v>37197343843.237488</v>
      </c>
      <c r="G97" s="293">
        <f>+G88-G71</f>
        <v>38685612995.499786</v>
      </c>
      <c r="H97" s="293">
        <f>+H88-H71</f>
        <v>46629462413.740509</v>
      </c>
      <c r="I97" s="293">
        <f>+I88-I71</f>
        <v>51049469947.411606</v>
      </c>
      <c r="J97" s="293">
        <f>+J88-J71</f>
        <v>54761728903.860115</v>
      </c>
    </row>
    <row r="98" spans="1:15">
      <c r="B98" s="248" t="s">
        <v>144</v>
      </c>
      <c r="C98" s="249"/>
      <c r="D98" s="250">
        <f>+D96-D97</f>
        <v>0</v>
      </c>
      <c r="E98" s="250">
        <f>+E96-E97</f>
        <v>0</v>
      </c>
      <c r="F98" s="250">
        <f t="shared" ref="F98:J98" ca="1" si="97">+F96-F97</f>
        <v>-2891995124.1439285</v>
      </c>
      <c r="G98" s="250">
        <f t="shared" ca="1" si="97"/>
        <v>4666888658.531868</v>
      </c>
      <c r="H98" s="250">
        <f t="shared" ca="1" si="97"/>
        <v>4316914659.8295364</v>
      </c>
      <c r="I98" s="250">
        <f t="shared" ca="1" si="97"/>
        <v>3559227858.7357178</v>
      </c>
      <c r="J98" s="250">
        <f t="shared" ca="1" si="97"/>
        <v>2739352768.1086731</v>
      </c>
    </row>
    <row r="99" spans="1:15">
      <c r="B99" s="237"/>
      <c r="C99" s="246"/>
      <c r="D99" s="246"/>
      <c r="E99" s="239"/>
      <c r="F99" s="239"/>
      <c r="G99" s="239"/>
      <c r="H99" s="239"/>
      <c r="I99" s="239"/>
      <c r="J99" s="239"/>
    </row>
    <row r="100" spans="1:15">
      <c r="B100" s="268" t="s">
        <v>133</v>
      </c>
      <c r="C100" s="268"/>
      <c r="D100" s="270">
        <f t="shared" ref="D100:J100" si="98">+D88-D67</f>
        <v>1.649993896484375</v>
      </c>
      <c r="E100" s="270">
        <f t="shared" si="98"/>
        <v>0.62714385986328125</v>
      </c>
      <c r="F100" s="270">
        <f t="shared" ca="1" si="98"/>
        <v>0</v>
      </c>
      <c r="G100" s="270">
        <f t="shared" ca="1" si="98"/>
        <v>0</v>
      </c>
      <c r="H100" s="270">
        <f t="shared" ca="1" si="98"/>
        <v>0</v>
      </c>
      <c r="I100" s="270">
        <f t="shared" ca="1" si="98"/>
        <v>0</v>
      </c>
      <c r="J100" s="270">
        <f t="shared" ca="1" si="98"/>
        <v>0</v>
      </c>
    </row>
    <row r="102" spans="1:15">
      <c r="A102" s="1" t="s">
        <v>136</v>
      </c>
      <c r="B102" s="233" t="s">
        <v>124</v>
      </c>
      <c r="C102" s="260"/>
      <c r="D102" s="300"/>
      <c r="E102" s="300">
        <f t="shared" ref="E102:J102" si="99">+E49</f>
        <v>2022</v>
      </c>
      <c r="F102" s="300">
        <f t="shared" si="99"/>
        <v>2023</v>
      </c>
      <c r="G102" s="300">
        <f t="shared" si="99"/>
        <v>2024</v>
      </c>
      <c r="H102" s="300">
        <f t="shared" si="99"/>
        <v>2025</v>
      </c>
      <c r="I102" s="300">
        <f t="shared" si="99"/>
        <v>2026</v>
      </c>
      <c r="J102" s="300">
        <f t="shared" si="99"/>
        <v>2027</v>
      </c>
    </row>
    <row r="103" spans="1:15">
      <c r="B103" s="235" t="s">
        <v>11</v>
      </c>
      <c r="C103" s="241"/>
      <c r="D103" s="245"/>
      <c r="E103" s="245">
        <f t="shared" ref="E103:J104" si="100">+E34</f>
        <v>90224924508.630005</v>
      </c>
      <c r="F103" s="245">
        <f t="shared" si="100"/>
        <v>76691185832.335495</v>
      </c>
      <c r="G103" s="245">
        <f t="shared" si="100"/>
        <v>72856626540.718719</v>
      </c>
      <c r="H103" s="245">
        <f t="shared" si="100"/>
        <v>80142289194.790604</v>
      </c>
      <c r="I103" s="245">
        <f t="shared" si="100"/>
        <v>92163632574.009186</v>
      </c>
      <c r="J103" s="245">
        <f t="shared" si="100"/>
        <v>96771814202.709656</v>
      </c>
    </row>
    <row r="104" spans="1:15">
      <c r="B104" s="237" t="s">
        <v>12</v>
      </c>
      <c r="C104" s="246"/>
      <c r="D104" s="239"/>
      <c r="E104" s="239">
        <f t="shared" si="100"/>
        <v>-70068461015.720001</v>
      </c>
      <c r="F104" s="239">
        <f t="shared" si="100"/>
        <v>-59558191863.361992</v>
      </c>
      <c r="G104" s="239">
        <f t="shared" si="100"/>
        <v>-55371036170.946228</v>
      </c>
      <c r="H104" s="239">
        <f t="shared" si="100"/>
        <v>-60106716896.092957</v>
      </c>
      <c r="I104" s="239">
        <f t="shared" si="100"/>
        <v>-68201088104.7668</v>
      </c>
      <c r="J104" s="239">
        <f t="shared" si="100"/>
        <v>-70643424367.978043</v>
      </c>
    </row>
    <row r="105" spans="1:15">
      <c r="B105" s="248" t="s">
        <v>13</v>
      </c>
      <c r="C105" s="249"/>
      <c r="D105" s="250"/>
      <c r="E105" s="250">
        <f>+E103+E104</f>
        <v>20156463492.910004</v>
      </c>
      <c r="F105" s="250">
        <f t="shared" ref="F105:J105" si="101">+F103+F104</f>
        <v>17132993968.973503</v>
      </c>
      <c r="G105" s="250">
        <f t="shared" si="101"/>
        <v>17485590369.772491</v>
      </c>
      <c r="H105" s="250">
        <f t="shared" si="101"/>
        <v>20035572298.697647</v>
      </c>
      <c r="I105" s="250">
        <f t="shared" si="101"/>
        <v>23962544469.242386</v>
      </c>
      <c r="J105" s="250">
        <f t="shared" si="101"/>
        <v>26128389834.731613</v>
      </c>
    </row>
    <row r="106" spans="1:15">
      <c r="B106" s="237" t="s">
        <v>16</v>
      </c>
      <c r="C106" s="246"/>
      <c r="D106" s="239"/>
      <c r="E106" s="239">
        <f t="shared" ref="E106:J107" si="102">+E38</f>
        <v>-2930296270.71</v>
      </c>
      <c r="F106" s="239">
        <f t="shared" si="102"/>
        <v>-2492463539.5509038</v>
      </c>
      <c r="G106" s="239">
        <f t="shared" si="102"/>
        <v>-2367840362.5733585</v>
      </c>
      <c r="H106" s="239">
        <f t="shared" si="102"/>
        <v>-2604624398.8306947</v>
      </c>
      <c r="I106" s="239">
        <f t="shared" si="102"/>
        <v>-2995318058.6552987</v>
      </c>
      <c r="J106" s="239">
        <f t="shared" si="102"/>
        <v>-3145083961.5880637</v>
      </c>
    </row>
    <row r="107" spans="1:15">
      <c r="B107" s="237" t="s">
        <v>17</v>
      </c>
      <c r="C107" s="246"/>
      <c r="D107" s="239"/>
      <c r="E107" s="239">
        <f t="shared" si="102"/>
        <v>-1976551926.4200001</v>
      </c>
      <c r="F107" s="239">
        <f t="shared" si="102"/>
        <v>-1679536969.7281473</v>
      </c>
      <c r="G107" s="239">
        <f t="shared" si="102"/>
        <v>-1595560121.24174</v>
      </c>
      <c r="H107" s="239">
        <f t="shared" si="102"/>
        <v>-1755116133.3659141</v>
      </c>
      <c r="I107" s="239">
        <f t="shared" si="102"/>
        <v>-2018383553.3708012</v>
      </c>
      <c r="J107" s="239">
        <f t="shared" si="102"/>
        <v>-2119302731.0393414</v>
      </c>
    </row>
    <row r="108" spans="1:15">
      <c r="B108" s="251" t="s">
        <v>125</v>
      </c>
      <c r="C108" s="252"/>
      <c r="D108" s="250"/>
      <c r="E108" s="250">
        <f t="shared" ref="E108:J108" si="103">+E105+SUM(E106:E107)</f>
        <v>15249615295.780003</v>
      </c>
      <c r="F108" s="250">
        <f t="shared" si="103"/>
        <v>12960993459.694452</v>
      </c>
      <c r="G108" s="250">
        <f t="shared" si="103"/>
        <v>13522189885.957394</v>
      </c>
      <c r="H108" s="250">
        <f t="shared" si="103"/>
        <v>15675831766.501038</v>
      </c>
      <c r="I108" s="250">
        <f t="shared" si="103"/>
        <v>18948842857.216286</v>
      </c>
      <c r="J108" s="250">
        <f t="shared" si="103"/>
        <v>20864003142.10421</v>
      </c>
    </row>
    <row r="109" spans="1:15">
      <c r="B109" s="1" t="s">
        <v>89</v>
      </c>
      <c r="D109" s="232"/>
      <c r="E109" s="232">
        <f t="shared" ref="E109:J109" si="104">+-E12*E108</f>
        <v>-5406237527.0446224</v>
      </c>
      <c r="F109" s="232">
        <f t="shared" si="104"/>
        <v>-4536347710.8930578</v>
      </c>
      <c r="G109" s="232">
        <f t="shared" si="104"/>
        <v>-4732766460.0850878</v>
      </c>
      <c r="H109" s="232">
        <f t="shared" si="104"/>
        <v>-5486541118.275363</v>
      </c>
      <c r="I109" s="232">
        <f t="shared" si="104"/>
        <v>-6632095000.0256996</v>
      </c>
      <c r="J109" s="232">
        <f t="shared" si="104"/>
        <v>-7302401099.7364731</v>
      </c>
    </row>
    <row r="110" spans="1:15">
      <c r="B110" s="251" t="s">
        <v>88</v>
      </c>
      <c r="C110" s="252"/>
      <c r="D110" s="250"/>
      <c r="E110" s="250">
        <f t="shared" ref="E110:J110" si="105">+E108+E109</f>
        <v>9843377768.7353802</v>
      </c>
      <c r="F110" s="250">
        <f t="shared" si="105"/>
        <v>8424645748.8013945</v>
      </c>
      <c r="G110" s="250">
        <f t="shared" si="105"/>
        <v>8789423425.8723068</v>
      </c>
      <c r="H110" s="250">
        <f t="shared" si="105"/>
        <v>10189290648.225674</v>
      </c>
      <c r="I110" s="250">
        <f t="shared" si="105"/>
        <v>12316747857.190586</v>
      </c>
      <c r="J110" s="250">
        <f t="shared" si="105"/>
        <v>13561602042.367737</v>
      </c>
    </row>
    <row r="111" spans="1:15">
      <c r="B111" s="1" t="s">
        <v>126</v>
      </c>
      <c r="D111" s="271"/>
      <c r="E111" s="271">
        <f>+-(E93-D93)</f>
        <v>-35069005</v>
      </c>
      <c r="F111" s="271">
        <f t="shared" ref="F111:J111" si="106">+-(F93-E93)</f>
        <v>-17904530.177726746</v>
      </c>
      <c r="G111" s="271">
        <f t="shared" si="106"/>
        <v>-774183547.18431854</v>
      </c>
      <c r="H111" s="271">
        <f t="shared" si="106"/>
        <v>-417022820.13852692</v>
      </c>
      <c r="I111" s="271">
        <f t="shared" si="106"/>
        <v>-12659306.695842743</v>
      </c>
      <c r="J111" s="271">
        <f t="shared" si="106"/>
        <v>-114935734.72354126</v>
      </c>
    </row>
    <row r="112" spans="1:15">
      <c r="B112" s="251" t="s">
        <v>87</v>
      </c>
      <c r="C112" s="252"/>
      <c r="D112" s="250"/>
      <c r="E112" s="250">
        <f>+E110-E111</f>
        <v>9878446773.7353802</v>
      </c>
      <c r="F112" s="250">
        <f t="shared" ref="F112:J112" si="107">+F110-F111</f>
        <v>8442550278.9791212</v>
      </c>
      <c r="G112" s="250">
        <f t="shared" si="107"/>
        <v>9563606973.0566254</v>
      </c>
      <c r="H112" s="250">
        <f t="shared" si="107"/>
        <v>10606313468.364201</v>
      </c>
      <c r="I112" s="250">
        <f t="shared" si="107"/>
        <v>12329407163.886429</v>
      </c>
      <c r="J112" s="250">
        <f t="shared" si="107"/>
        <v>13676537777.091278</v>
      </c>
      <c r="L112" s="67"/>
      <c r="M112" s="67"/>
      <c r="N112" s="67"/>
      <c r="O112" s="67"/>
    </row>
    <row r="114" spans="2:15">
      <c r="B114" s="253" t="s">
        <v>127</v>
      </c>
      <c r="C114" s="253"/>
      <c r="D114" s="253"/>
      <c r="E114" s="254">
        <f t="shared" ref="E114:J114" si="108">+SUM(E115:E116)</f>
        <v>-1764214221.1800003</v>
      </c>
      <c r="F114" s="254">
        <f t="shared" si="108"/>
        <v>2816341598.1642179</v>
      </c>
      <c r="G114" s="254">
        <f t="shared" si="108"/>
        <v>797588332.6562891</v>
      </c>
      <c r="H114" s="254">
        <f t="shared" si="108"/>
        <v>-1515417832.0469522</v>
      </c>
      <c r="I114" s="254">
        <f t="shared" si="108"/>
        <v>-2500439422.8774643</v>
      </c>
      <c r="J114" s="254">
        <f t="shared" si="108"/>
        <v>-958501778.7696991</v>
      </c>
    </row>
    <row r="115" spans="2:15">
      <c r="B115" s="243" t="s">
        <v>46</v>
      </c>
      <c r="E115" s="19">
        <f t="shared" ref="E115:J116" si="109">+-(E56-D56)</f>
        <v>-1462529540.3500004</v>
      </c>
      <c r="F115" s="19">
        <f t="shared" si="109"/>
        <v>1153090744.0544767</v>
      </c>
      <c r="G115" s="19">
        <f t="shared" si="109"/>
        <v>337441217.66227627</v>
      </c>
      <c r="H115" s="19">
        <f t="shared" si="109"/>
        <v>-641138313.55832577</v>
      </c>
      <c r="I115" s="19">
        <f t="shared" si="109"/>
        <v>-1057878217.3712349</v>
      </c>
      <c r="J115" s="19">
        <f t="shared" si="109"/>
        <v>-405519983.32564163</v>
      </c>
    </row>
    <row r="116" spans="2:15">
      <c r="B116" s="243" t="s">
        <v>47</v>
      </c>
      <c r="E116" s="19">
        <f t="shared" si="109"/>
        <v>-301684680.82999992</v>
      </c>
      <c r="F116" s="19">
        <f t="shared" si="109"/>
        <v>1663250854.1097412</v>
      </c>
      <c r="G116" s="19">
        <f t="shared" si="109"/>
        <v>460147114.99401283</v>
      </c>
      <c r="H116" s="19">
        <f t="shared" si="109"/>
        <v>-874279518.48862648</v>
      </c>
      <c r="I116" s="19">
        <f t="shared" si="109"/>
        <v>-1442561205.5062294</v>
      </c>
      <c r="J116" s="19">
        <f t="shared" si="109"/>
        <v>-552981795.44405746</v>
      </c>
    </row>
    <row r="117" spans="2:15">
      <c r="B117" s="253" t="s">
        <v>128</v>
      </c>
      <c r="C117" s="253"/>
      <c r="D117" s="253"/>
      <c r="E117" s="254">
        <f>+SUM(E118:E121)</f>
        <v>683103667.64468479</v>
      </c>
      <c r="F117" s="254">
        <f t="shared" ref="F117:J117" si="110">+SUM(F118:F121)</f>
        <v>-2099892532.2287214</v>
      </c>
      <c r="G117" s="254">
        <f t="shared" si="110"/>
        <v>-494658148.61856437</v>
      </c>
      <c r="H117" s="254">
        <f t="shared" si="110"/>
        <v>939850482.37527299</v>
      </c>
      <c r="I117" s="254">
        <f t="shared" si="110"/>
        <v>1550753295.9191971</v>
      </c>
      <c r="J117" s="254">
        <f t="shared" si="110"/>
        <v>594455430.10236049</v>
      </c>
    </row>
    <row r="118" spans="2:15">
      <c r="B118" s="243" t="s">
        <v>59</v>
      </c>
      <c r="E118" s="19">
        <f t="shared" ref="E118:J118" si="111">+(E72-D72)</f>
        <v>212195000</v>
      </c>
      <c r="F118" s="19">
        <f t="shared" si="111"/>
        <v>-239799354.19161248</v>
      </c>
      <c r="G118" s="19">
        <f t="shared" si="111"/>
        <v>-95863982.29041934</v>
      </c>
      <c r="H118" s="19">
        <f t="shared" si="111"/>
        <v>182141566.3517971</v>
      </c>
      <c r="I118" s="19">
        <f t="shared" si="111"/>
        <v>300533584.48046446</v>
      </c>
      <c r="J118" s="19">
        <f t="shared" si="111"/>
        <v>115204540.71751165</v>
      </c>
    </row>
    <row r="119" spans="2:15">
      <c r="B119" s="255" t="s">
        <v>85</v>
      </c>
      <c r="E119" s="19">
        <f t="shared" ref="E119:J121" si="112">+(E74-D74)</f>
        <v>-3245301861.5700006</v>
      </c>
      <c r="F119" s="19">
        <f t="shared" si="112"/>
        <v>-1029115725.9849024</v>
      </c>
      <c r="G119" s="19">
        <f t="shared" si="112"/>
        <v>-172555168.12275505</v>
      </c>
      <c r="H119" s="19">
        <f t="shared" si="112"/>
        <v>327854819.43323469</v>
      </c>
      <c r="I119" s="19">
        <f t="shared" si="112"/>
        <v>540960452.0648365</v>
      </c>
      <c r="J119" s="19">
        <f t="shared" si="112"/>
        <v>207368173.2915206</v>
      </c>
    </row>
    <row r="120" spans="2:15">
      <c r="B120" s="243" t="s">
        <v>62</v>
      </c>
      <c r="E120" s="19">
        <f t="shared" si="112"/>
        <v>37243012</v>
      </c>
      <c r="F120" s="19">
        <f t="shared" si="112"/>
        <v>-45733341.502993524</v>
      </c>
      <c r="G120" s="19">
        <f t="shared" si="112"/>
        <v>-11503677.874850303</v>
      </c>
      <c r="H120" s="19">
        <f t="shared" si="112"/>
        <v>21856987.962215632</v>
      </c>
      <c r="I120" s="19">
        <f t="shared" si="112"/>
        <v>36064030.137655735</v>
      </c>
      <c r="J120" s="19">
        <f t="shared" si="112"/>
        <v>13824544.886101425</v>
      </c>
    </row>
    <row r="121" spans="2:15">
      <c r="B121" s="243" t="s">
        <v>63</v>
      </c>
      <c r="E121" s="19">
        <f t="shared" si="112"/>
        <v>3678967517.2146854</v>
      </c>
      <c r="F121" s="19">
        <f t="shared" si="112"/>
        <v>-785244110.54921293</v>
      </c>
      <c r="G121" s="19">
        <f t="shared" si="112"/>
        <v>-214735320.3305397</v>
      </c>
      <c r="H121" s="19">
        <f t="shared" si="112"/>
        <v>407997108.62802553</v>
      </c>
      <c r="I121" s="19">
        <f t="shared" si="112"/>
        <v>673195229.23624039</v>
      </c>
      <c r="J121" s="19">
        <f t="shared" si="112"/>
        <v>258058171.20722675</v>
      </c>
    </row>
    <row r="122" spans="2:15">
      <c r="B122" s="256" t="s">
        <v>129</v>
      </c>
      <c r="C122" s="256"/>
      <c r="D122" s="256"/>
      <c r="E122" s="257">
        <f t="shared" ref="E122:J122" si="113">+E114+E117</f>
        <v>-1081110553.5353155</v>
      </c>
      <c r="F122" s="257">
        <f t="shared" si="113"/>
        <v>716449065.93549657</v>
      </c>
      <c r="G122" s="257">
        <f t="shared" si="113"/>
        <v>302930184.03772473</v>
      </c>
      <c r="H122" s="257">
        <f t="shared" si="113"/>
        <v>-575567349.67167926</v>
      </c>
      <c r="I122" s="257">
        <f t="shared" si="113"/>
        <v>-949686126.95826721</v>
      </c>
      <c r="J122" s="257">
        <f t="shared" si="113"/>
        <v>-364046348.66733861</v>
      </c>
    </row>
    <row r="123" spans="2:15">
      <c r="B123" s="258" t="s">
        <v>184</v>
      </c>
      <c r="C123" s="258"/>
      <c r="D123" s="258"/>
      <c r="E123" s="259">
        <f t="shared" ref="E123:J123" si="114">+E112+E122</f>
        <v>8797336220.2000656</v>
      </c>
      <c r="F123" s="259">
        <f t="shared" si="114"/>
        <v>9158999344.9146175</v>
      </c>
      <c r="G123" s="259">
        <f t="shared" si="114"/>
        <v>9866537157.0943508</v>
      </c>
      <c r="H123" s="259">
        <f t="shared" si="114"/>
        <v>10030746118.692522</v>
      </c>
      <c r="I123" s="259">
        <f t="shared" si="114"/>
        <v>11379721036.928162</v>
      </c>
      <c r="J123" s="259">
        <f t="shared" si="114"/>
        <v>13312491428.423939</v>
      </c>
    </row>
    <row r="124" spans="2:15">
      <c r="B124" s="1" t="s">
        <v>51</v>
      </c>
      <c r="E124" s="19">
        <f t="shared" ref="E124:J124" si="115">+-(E62-D62)+E111</f>
        <v>860083814.78000069</v>
      </c>
      <c r="F124" s="19">
        <f t="shared" si="115"/>
        <v>-251712175.88172722</v>
      </c>
      <c r="G124" s="19">
        <f t="shared" si="115"/>
        <v>-10883917268.938919</v>
      </c>
      <c r="H124" s="19">
        <f t="shared" si="115"/>
        <v>-5862746489.7115974</v>
      </c>
      <c r="I124" s="19">
        <f t="shared" si="115"/>
        <v>-177971809.47695923</v>
      </c>
      <c r="J124" s="19">
        <f t="shared" si="115"/>
        <v>-1615832618.1503258</v>
      </c>
    </row>
    <row r="125" spans="2:15">
      <c r="B125" s="256" t="s">
        <v>115</v>
      </c>
      <c r="C125" s="256"/>
      <c r="D125" s="256"/>
      <c r="E125" s="257">
        <f t="shared" ref="E125" si="116">+E122+E124</f>
        <v>-221026738.75531483</v>
      </c>
      <c r="F125" s="257">
        <f t="shared" ref="F125:J125" si="117">+F122+F124</f>
        <v>464736890.05376935</v>
      </c>
      <c r="G125" s="257">
        <f t="shared" si="117"/>
        <v>-10580987084.901194</v>
      </c>
      <c r="H125" s="257">
        <f t="shared" si="117"/>
        <v>-6438313839.3832769</v>
      </c>
      <c r="I125" s="257">
        <f t="shared" si="117"/>
        <v>-1127657936.4352264</v>
      </c>
      <c r="J125" s="257">
        <f t="shared" si="117"/>
        <v>-1979878966.8176644</v>
      </c>
    </row>
    <row r="126" spans="2:15">
      <c r="B126" s="258" t="s">
        <v>116</v>
      </c>
      <c r="C126" s="258"/>
      <c r="D126" s="258"/>
      <c r="E126" s="259">
        <f t="shared" ref="E126" si="118">+E123+E124</f>
        <v>9657420034.9800663</v>
      </c>
      <c r="F126" s="259">
        <f t="shared" ref="F126:J126" si="119">+F123+F124</f>
        <v>8907287169.0328903</v>
      </c>
      <c r="G126" s="259">
        <f t="shared" si="119"/>
        <v>-1017380111.8445683</v>
      </c>
      <c r="H126" s="259">
        <f t="shared" si="119"/>
        <v>4167999628.9809246</v>
      </c>
      <c r="I126" s="259">
        <f t="shared" si="119"/>
        <v>11201749227.451202</v>
      </c>
      <c r="J126" s="259">
        <f t="shared" si="119"/>
        <v>11696658810.273613</v>
      </c>
      <c r="L126" s="67"/>
      <c r="M126" s="67"/>
      <c r="N126" s="67"/>
      <c r="O126" s="67"/>
    </row>
    <row r="127" spans="2:15">
      <c r="B127" s="237" t="s">
        <v>15</v>
      </c>
      <c r="E127" s="19">
        <f>+E37</f>
        <v>411173278.94</v>
      </c>
      <c r="F127" s="19">
        <f>+F37</f>
        <v>352779454.82874328</v>
      </c>
      <c r="G127" s="19">
        <f t="shared" ref="G127:J127" si="120">+G37</f>
        <v>335140482.08730608</v>
      </c>
      <c r="H127" s="19">
        <f t="shared" si="120"/>
        <v>368654530.29603678</v>
      </c>
      <c r="I127" s="19">
        <f t="shared" si="120"/>
        <v>423952709.84044224</v>
      </c>
      <c r="J127" s="19">
        <f t="shared" si="120"/>
        <v>445150345.3324644</v>
      </c>
    </row>
    <row r="128" spans="2:15">
      <c r="B128" s="237" t="s">
        <v>19</v>
      </c>
      <c r="E128" s="19">
        <f>+E41</f>
        <v>-629843016.67999995</v>
      </c>
      <c r="F128" s="19">
        <f>+F41</f>
        <v>-536838300.82634848</v>
      </c>
      <c r="G128" s="19">
        <f t="shared" ref="G128:J128" si="121">+G41</f>
        <v>-509996385.78503102</v>
      </c>
      <c r="H128" s="19">
        <f t="shared" si="121"/>
        <v>-560996024.36353421</v>
      </c>
      <c r="I128" s="19">
        <f t="shared" si="121"/>
        <v>-645145428.01806426</v>
      </c>
      <c r="J128" s="19">
        <f t="shared" si="121"/>
        <v>-677402699.4189676</v>
      </c>
    </row>
    <row r="129" spans="2:10">
      <c r="B129" s="1" t="s">
        <v>130</v>
      </c>
      <c r="D129" s="19"/>
      <c r="E129" s="19">
        <f>+(E127+E128)*-E12</f>
        <v>77521991.163025349</v>
      </c>
      <c r="F129" s="19">
        <f>+(F127+F128)*-F12</f>
        <v>64420596.099161819</v>
      </c>
      <c r="G129" s="19">
        <f t="shared" ref="G129:J129" si="122">+(G127+G128)*-G12</f>
        <v>61199566.294203721</v>
      </c>
      <c r="H129" s="19">
        <f t="shared" si="122"/>
        <v>67319522.923624098</v>
      </c>
      <c r="I129" s="19">
        <f t="shared" si="122"/>
        <v>77417451.362167701</v>
      </c>
      <c r="J129" s="19">
        <f t="shared" si="122"/>
        <v>81288323.930276111</v>
      </c>
    </row>
    <row r="130" spans="2:10">
      <c r="B130" s="256" t="s">
        <v>117</v>
      </c>
      <c r="C130" s="256"/>
      <c r="D130" s="256"/>
      <c r="E130" s="257">
        <f t="shared" ref="E130:J130" si="123">+SUM(E127:E129)</f>
        <v>-141147746.5769746</v>
      </c>
      <c r="F130" s="257">
        <f t="shared" si="123"/>
        <v>-119638249.89844339</v>
      </c>
      <c r="G130" s="257">
        <f t="shared" si="123"/>
        <v>-113656337.40352121</v>
      </c>
      <c r="H130" s="257">
        <f t="shared" si="123"/>
        <v>-125021971.14387333</v>
      </c>
      <c r="I130" s="257">
        <f t="shared" si="123"/>
        <v>-143775266.8154543</v>
      </c>
      <c r="J130" s="257">
        <f t="shared" si="123"/>
        <v>-150964030.15622711</v>
      </c>
    </row>
    <row r="131" spans="2:10">
      <c r="B131" s="243" t="s">
        <v>48</v>
      </c>
      <c r="E131" s="19">
        <f t="shared" ref="E131" si="124">+-(E58-D58)</f>
        <v>-368174000</v>
      </c>
      <c r="F131" s="19">
        <f>+-(F58-E58)</f>
        <v>124499853.22730327</v>
      </c>
      <c r="G131" s="19">
        <f t="shared" ref="G131:J131" si="125">+-(G58-F58)</f>
        <v>72274707.338634491</v>
      </c>
      <c r="H131" s="19">
        <f t="shared" si="125"/>
        <v>-137321943.94340634</v>
      </c>
      <c r="I131" s="19">
        <f t="shared" si="125"/>
        <v>-226581207.50662017</v>
      </c>
      <c r="J131" s="19">
        <f t="shared" si="125"/>
        <v>-86856129.544204712</v>
      </c>
    </row>
    <row r="132" spans="2:10">
      <c r="B132" s="1" t="s">
        <v>44</v>
      </c>
      <c r="E132" s="19">
        <f t="shared" ref="E132:J133" si="126">+-(E54-D54)</f>
        <v>-866953981.06000018</v>
      </c>
      <c r="F132" s="19">
        <f t="shared" si="126"/>
        <v>205769259.28592205</v>
      </c>
      <c r="G132" s="19">
        <f t="shared" si="126"/>
        <v>119453257.24220371</v>
      </c>
      <c r="H132" s="19">
        <f t="shared" si="126"/>
        <v>-226961188.76018763</v>
      </c>
      <c r="I132" s="19">
        <f t="shared" si="126"/>
        <v>-374485961.45430899</v>
      </c>
      <c r="J132" s="19">
        <f t="shared" si="126"/>
        <v>-143552951.89081907</v>
      </c>
    </row>
    <row r="133" spans="2:10">
      <c r="B133" s="1" t="s">
        <v>45</v>
      </c>
      <c r="E133" s="19">
        <f t="shared" si="126"/>
        <v>21725046</v>
      </c>
      <c r="F133" s="19">
        <f t="shared" si="126"/>
        <v>0</v>
      </c>
      <c r="G133" s="19">
        <f t="shared" si="126"/>
        <v>0</v>
      </c>
      <c r="H133" s="19">
        <f t="shared" si="126"/>
        <v>0</v>
      </c>
      <c r="I133" s="19">
        <f t="shared" si="126"/>
        <v>0</v>
      </c>
      <c r="J133" s="19">
        <f t="shared" si="126"/>
        <v>0</v>
      </c>
    </row>
    <row r="134" spans="2:10">
      <c r="B134" s="1" t="s">
        <v>52</v>
      </c>
      <c r="E134" s="19">
        <f t="shared" ref="E134:J136" si="127">+-(E63-D63)</f>
        <v>0</v>
      </c>
      <c r="F134" s="19">
        <f t="shared" si="127"/>
        <v>-29352719.962966204</v>
      </c>
      <c r="G134" s="19">
        <f t="shared" si="127"/>
        <v>-13776209.919592619</v>
      </c>
      <c r="H134" s="19">
        <f t="shared" si="127"/>
        <v>-37984767.896476746</v>
      </c>
      <c r="I134" s="19">
        <f t="shared" si="127"/>
        <v>-39124310.933371305</v>
      </c>
      <c r="J134" s="19">
        <f t="shared" si="127"/>
        <v>-40298040.261371851</v>
      </c>
    </row>
    <row r="135" spans="2:10">
      <c r="B135" s="1" t="s">
        <v>53</v>
      </c>
      <c r="E135" s="19">
        <f t="shared" si="127"/>
        <v>0</v>
      </c>
      <c r="F135" s="19">
        <f t="shared" si="127"/>
        <v>0</v>
      </c>
      <c r="G135" s="19">
        <f t="shared" si="127"/>
        <v>0</v>
      </c>
      <c r="H135" s="19">
        <f t="shared" si="127"/>
        <v>0</v>
      </c>
      <c r="I135" s="19">
        <f t="shared" si="127"/>
        <v>0</v>
      </c>
      <c r="J135" s="19">
        <f t="shared" si="127"/>
        <v>0</v>
      </c>
    </row>
    <row r="136" spans="2:10">
      <c r="B136" s="1" t="s">
        <v>48</v>
      </c>
      <c r="E136" s="19">
        <f t="shared" si="127"/>
        <v>-976884720.072855</v>
      </c>
      <c r="F136" s="19">
        <f t="shared" si="127"/>
        <v>-29777788.980178356</v>
      </c>
      <c r="G136" s="19">
        <f t="shared" si="127"/>
        <v>-13975708.978583574</v>
      </c>
      <c r="H136" s="19">
        <f t="shared" si="127"/>
        <v>-38534841.210948467</v>
      </c>
      <c r="I136" s="19">
        <f t="shared" si="127"/>
        <v>-39690886.447277308</v>
      </c>
      <c r="J136" s="19">
        <f t="shared" si="127"/>
        <v>-40881613.040694952</v>
      </c>
    </row>
    <row r="137" spans="2:10">
      <c r="B137" s="1" t="s">
        <v>66</v>
      </c>
      <c r="E137" s="19">
        <f t="shared" ref="E137:J139" si="128">+(E81-D81)</f>
        <v>-234121379</v>
      </c>
      <c r="F137" s="19">
        <f t="shared" si="128"/>
        <v>0</v>
      </c>
      <c r="G137" s="19">
        <f t="shared" si="128"/>
        <v>0</v>
      </c>
      <c r="H137" s="19">
        <f t="shared" si="128"/>
        <v>0</v>
      </c>
      <c r="I137" s="19">
        <f t="shared" si="128"/>
        <v>0</v>
      </c>
      <c r="J137" s="19">
        <f t="shared" si="128"/>
        <v>0</v>
      </c>
    </row>
    <row r="138" spans="2:10">
      <c r="B138" s="1" t="s">
        <v>67</v>
      </c>
      <c r="E138" s="19">
        <f t="shared" si="128"/>
        <v>-2492547041.79</v>
      </c>
      <c r="F138" s="19">
        <f t="shared" si="128"/>
        <v>0</v>
      </c>
      <c r="G138" s="19">
        <f t="shared" si="128"/>
        <v>0</v>
      </c>
      <c r="H138" s="19">
        <f t="shared" si="128"/>
        <v>0</v>
      </c>
      <c r="I138" s="19">
        <f t="shared" si="128"/>
        <v>0</v>
      </c>
      <c r="J138" s="19">
        <f t="shared" si="128"/>
        <v>0</v>
      </c>
    </row>
    <row r="139" spans="2:10">
      <c r="B139" s="1" t="s">
        <v>63</v>
      </c>
      <c r="E139" s="19">
        <f t="shared" si="128"/>
        <v>-504800809</v>
      </c>
      <c r="F139" s="19">
        <f t="shared" si="128"/>
        <v>0</v>
      </c>
      <c r="G139" s="19">
        <f t="shared" si="128"/>
        <v>0</v>
      </c>
      <c r="H139" s="19">
        <f t="shared" si="128"/>
        <v>0</v>
      </c>
      <c r="I139" s="19">
        <f t="shared" si="128"/>
        <v>0</v>
      </c>
      <c r="J139" s="19">
        <f t="shared" si="128"/>
        <v>0</v>
      </c>
    </row>
    <row r="140" spans="2:10">
      <c r="B140" s="1" t="s">
        <v>60</v>
      </c>
      <c r="E140" s="19">
        <f t="shared" ref="E140:J140" si="129">+(E73-D73)</f>
        <v>-1776933799.1600001</v>
      </c>
      <c r="F140" s="19">
        <f t="shared" si="129"/>
        <v>-134853592.84832251</v>
      </c>
      <c r="G140" s="19">
        <f t="shared" si="129"/>
        <v>-19172796.458083868</v>
      </c>
      <c r="H140" s="19">
        <f t="shared" si="129"/>
        <v>36428313.270359397</v>
      </c>
      <c r="I140" s="19">
        <f t="shared" si="129"/>
        <v>60106716.896092951</v>
      </c>
      <c r="J140" s="19">
        <f t="shared" si="129"/>
        <v>23040908.143502355</v>
      </c>
    </row>
    <row r="141" spans="2:10">
      <c r="B141" s="256" t="s">
        <v>118</v>
      </c>
      <c r="C141" s="256"/>
      <c r="D141" s="256"/>
      <c r="E141" s="257">
        <f t="shared" ref="E141:J141" si="130">+SUM(E131:E140)</f>
        <v>-7198690684.0828552</v>
      </c>
      <c r="F141" s="257">
        <f t="shared" si="130"/>
        <v>136285010.72175825</v>
      </c>
      <c r="G141" s="257">
        <f t="shared" si="130"/>
        <v>144803249.22457814</v>
      </c>
      <c r="H141" s="257">
        <f t="shared" si="130"/>
        <v>-404374428.54065979</v>
      </c>
      <c r="I141" s="257">
        <f t="shared" si="130"/>
        <v>-619775649.44548488</v>
      </c>
      <c r="J141" s="257">
        <f t="shared" si="130"/>
        <v>-288547826.59358823</v>
      </c>
    </row>
    <row r="142" spans="2:10">
      <c r="B142" s="258" t="s">
        <v>185</v>
      </c>
      <c r="C142" s="258"/>
      <c r="D142" s="258"/>
      <c r="E142" s="259">
        <f t="shared" ref="E142" si="131">+E141+E130</f>
        <v>-7339838430.6598301</v>
      </c>
      <c r="F142" s="259">
        <f>+F141+F130</f>
        <v>16646760.82331486</v>
      </c>
      <c r="G142" s="259">
        <f t="shared" ref="G142:J142" si="132">+G141+G130</f>
        <v>31146911.821056932</v>
      </c>
      <c r="H142" s="259">
        <f t="shared" si="132"/>
        <v>-529396399.68453312</v>
      </c>
      <c r="I142" s="259">
        <f t="shared" si="132"/>
        <v>-763550916.26093912</v>
      </c>
      <c r="J142" s="259">
        <f t="shared" si="132"/>
        <v>-439511856.74981534</v>
      </c>
    </row>
    <row r="143" spans="2:10">
      <c r="B143" s="258" t="s">
        <v>186</v>
      </c>
      <c r="C143" s="258"/>
      <c r="D143" s="258"/>
      <c r="E143" s="259">
        <f>+E126+E142</f>
        <v>2317581604.3202362</v>
      </c>
      <c r="F143" s="259">
        <f>+F126+F142</f>
        <v>8923933929.856205</v>
      </c>
      <c r="G143" s="259">
        <f t="shared" ref="G143:J143" si="133">+G126+G142</f>
        <v>-986233200.02351129</v>
      </c>
      <c r="H143" s="259">
        <f t="shared" si="133"/>
        <v>3638603229.2963915</v>
      </c>
      <c r="I143" s="259">
        <f t="shared" si="133"/>
        <v>10438198311.190264</v>
      </c>
      <c r="J143" s="259">
        <f t="shared" si="133"/>
        <v>11257146953.523798</v>
      </c>
    </row>
    <row r="144" spans="2:10">
      <c r="B144" s="1" t="s">
        <v>187</v>
      </c>
      <c r="E144" s="19"/>
      <c r="F144" s="19"/>
      <c r="G144" s="19"/>
      <c r="H144" s="19"/>
      <c r="I144" s="19"/>
      <c r="J144" s="19"/>
    </row>
    <row r="145" spans="1:10">
      <c r="B145" s="1" t="s">
        <v>188</v>
      </c>
      <c r="E145" s="232">
        <v>-695826382.83023643</v>
      </c>
      <c r="F145" s="232"/>
      <c r="G145" s="232"/>
      <c r="H145" s="232"/>
      <c r="I145" s="232"/>
      <c r="J145" s="232"/>
    </row>
    <row r="146" spans="1:10">
      <c r="B146" s="1" t="s">
        <v>189</v>
      </c>
      <c r="E146" s="232"/>
      <c r="F146" s="232"/>
      <c r="G146" s="232"/>
      <c r="H146" s="232"/>
      <c r="I146" s="232"/>
      <c r="J146" s="232"/>
    </row>
    <row r="147" spans="1:10">
      <c r="B147" s="1" t="s">
        <v>190</v>
      </c>
      <c r="E147" s="19"/>
      <c r="F147" s="19"/>
      <c r="G147" s="19"/>
      <c r="H147" s="19"/>
      <c r="I147" s="19"/>
      <c r="J147" s="19"/>
    </row>
    <row r="148" spans="1:10">
      <c r="B148" s="256" t="s">
        <v>119</v>
      </c>
      <c r="C148" s="256"/>
      <c r="D148" s="256"/>
      <c r="E148" s="257">
        <f t="shared" ref="E148" si="134">+SUM(E144:E147)</f>
        <v>-695826382.83023643</v>
      </c>
      <c r="F148" s="257">
        <f t="shared" ref="F148:J148" si="135">+SUM(F144:F147)</f>
        <v>0</v>
      </c>
      <c r="G148" s="257">
        <f t="shared" si="135"/>
        <v>0</v>
      </c>
      <c r="H148" s="257">
        <f t="shared" si="135"/>
        <v>0</v>
      </c>
      <c r="I148" s="257">
        <f t="shared" si="135"/>
        <v>0</v>
      </c>
      <c r="J148" s="257">
        <f t="shared" si="135"/>
        <v>0</v>
      </c>
    </row>
    <row r="149" spans="1:10">
      <c r="B149" s="258" t="s">
        <v>131</v>
      </c>
      <c r="C149" s="258"/>
      <c r="D149" s="258"/>
      <c r="E149" s="259">
        <f>+E143+E148</f>
        <v>1621755221.4899998</v>
      </c>
      <c r="F149" s="259">
        <f>+F143+F148</f>
        <v>8923933929.856205</v>
      </c>
      <c r="G149" s="259">
        <f t="shared" ref="G149:J149" si="136">+G143+G148</f>
        <v>-986233200.02351129</v>
      </c>
      <c r="H149" s="259">
        <f t="shared" si="136"/>
        <v>3638603229.2963915</v>
      </c>
      <c r="I149" s="259">
        <f t="shared" si="136"/>
        <v>10438198311.190264</v>
      </c>
      <c r="J149" s="259">
        <f t="shared" si="136"/>
        <v>11257146953.523798</v>
      </c>
    </row>
    <row r="150" spans="1:10">
      <c r="B150" s="1" t="s">
        <v>155</v>
      </c>
      <c r="E150" s="19">
        <f t="shared" ref="E150" si="137">+-E45</f>
        <v>0</v>
      </c>
      <c r="F150" s="19">
        <f t="shared" ref="F150:J150" si="138">+-F45</f>
        <v>-6388467306.848423</v>
      </c>
      <c r="G150" s="19">
        <f t="shared" si="138"/>
        <v>-6673666991.1298342</v>
      </c>
      <c r="H150" s="19">
        <f t="shared" si="138"/>
        <v>-3096698054.4867082</v>
      </c>
      <c r="I150" s="19">
        <f t="shared" si="138"/>
        <v>-9363825069.5193329</v>
      </c>
      <c r="J150" s="19">
        <f t="shared" si="138"/>
        <v>-10315875394.008852</v>
      </c>
    </row>
    <row r="151" spans="1:10">
      <c r="B151" s="256" t="s">
        <v>120</v>
      </c>
      <c r="C151" s="256"/>
      <c r="D151" s="256"/>
      <c r="E151" s="257">
        <f t="shared" ref="E151" si="139">+SUM(E150:E150)</f>
        <v>0</v>
      </c>
      <c r="F151" s="257">
        <f t="shared" ref="F151:J151" si="140">+SUM(F150:F150)</f>
        <v>-6388467306.848423</v>
      </c>
      <c r="G151" s="257">
        <f t="shared" si="140"/>
        <v>-6673666991.1298342</v>
      </c>
      <c r="H151" s="257">
        <f t="shared" si="140"/>
        <v>-3096698054.4867082</v>
      </c>
      <c r="I151" s="257">
        <f t="shared" si="140"/>
        <v>-9363825069.5193329</v>
      </c>
      <c r="J151" s="257">
        <f t="shared" si="140"/>
        <v>-10315875394.008852</v>
      </c>
    </row>
    <row r="152" spans="1:10">
      <c r="B152" s="258" t="s">
        <v>121</v>
      </c>
      <c r="C152" s="258"/>
      <c r="D152" s="258"/>
      <c r="E152" s="259">
        <f t="shared" ref="E152:J152" si="141">+E149+E151</f>
        <v>1621755221.4899998</v>
      </c>
      <c r="F152" s="259">
        <f t="shared" si="141"/>
        <v>2535466623.007782</v>
      </c>
      <c r="G152" s="259">
        <f t="shared" si="141"/>
        <v>-7659900191.1533451</v>
      </c>
      <c r="H152" s="259">
        <f t="shared" si="141"/>
        <v>541905174.80968332</v>
      </c>
      <c r="I152" s="259">
        <f t="shared" si="141"/>
        <v>1074373241.6709309</v>
      </c>
      <c r="J152" s="259">
        <f t="shared" si="141"/>
        <v>941271559.51494598</v>
      </c>
    </row>
    <row r="154" spans="1:10">
      <c r="B154" s="268" t="s">
        <v>132</v>
      </c>
      <c r="C154" s="268"/>
      <c r="D154" s="268"/>
      <c r="E154" s="269">
        <f t="shared" ref="E154:J154" si="142">+(E52+E53-D52-D53)-E152</f>
        <v>0</v>
      </c>
      <c r="F154" s="269">
        <f t="shared" ca="1" si="142"/>
        <v>0.62714624404907227</v>
      </c>
      <c r="G154" s="269">
        <f t="shared" ca="1" si="142"/>
        <v>0</v>
      </c>
      <c r="H154" s="269">
        <f t="shared" ca="1" si="142"/>
        <v>-6.67572021484375E-6</v>
      </c>
      <c r="I154" s="269">
        <f t="shared" ca="1" si="142"/>
        <v>6.9141387939453125E-6</v>
      </c>
      <c r="J154" s="269">
        <f t="shared" ca="1" si="142"/>
        <v>-1.2874603271484375E-5</v>
      </c>
    </row>
    <row r="157" spans="1:10">
      <c r="A157" s="1" t="s">
        <v>136</v>
      </c>
      <c r="B157" s="317" t="s">
        <v>191</v>
      </c>
      <c r="C157" s="316"/>
      <c r="D157" s="316"/>
      <c r="E157" s="316"/>
      <c r="F157" s="316"/>
      <c r="G157" s="316"/>
      <c r="H157" s="316"/>
      <c r="I157" s="316"/>
      <c r="J157" s="316"/>
    </row>
    <row r="159" spans="1:10">
      <c r="B159" s="233" t="s">
        <v>134</v>
      </c>
      <c r="C159" s="260"/>
      <c r="D159" s="300"/>
      <c r="E159" s="300">
        <f t="shared" ref="E159" si="143">+E102</f>
        <v>2022</v>
      </c>
      <c r="G159" s="289"/>
    </row>
    <row r="160" spans="1:10">
      <c r="B160" s="1" t="s">
        <v>192</v>
      </c>
      <c r="E160" s="281">
        <f>+J5</f>
        <v>0.03</v>
      </c>
      <c r="G160" s="289"/>
    </row>
    <row r="161" spans="1:11">
      <c r="B161" s="1" t="s">
        <v>137</v>
      </c>
      <c r="E161" s="287">
        <f>+J30</f>
        <v>0.181530930298581</v>
      </c>
      <c r="G161" s="289"/>
    </row>
    <row r="162" spans="1:11">
      <c r="J162" s="289"/>
      <c r="K162" s="19"/>
    </row>
    <row r="163" spans="1:11">
      <c r="E163" s="324">
        <v>44926</v>
      </c>
      <c r="F163" s="324">
        <f t="shared" ref="F163:J163" si="144">+EDATE(E163,12)</f>
        <v>45291</v>
      </c>
      <c r="G163" s="324">
        <f t="shared" si="144"/>
        <v>45657</v>
      </c>
      <c r="H163" s="324">
        <f t="shared" si="144"/>
        <v>46022</v>
      </c>
      <c r="I163" s="324">
        <f t="shared" si="144"/>
        <v>46387</v>
      </c>
      <c r="J163" s="324">
        <f t="shared" si="144"/>
        <v>46752</v>
      </c>
      <c r="K163" s="19"/>
    </row>
    <row r="164" spans="1:11">
      <c r="A164" s="1" t="s">
        <v>136</v>
      </c>
      <c r="B164" s="233" t="s">
        <v>138</v>
      </c>
      <c r="C164" s="260"/>
      <c r="D164" s="300"/>
      <c r="E164" s="300">
        <f t="shared" ref="E164:J164" si="145">+E102</f>
        <v>2022</v>
      </c>
      <c r="F164" s="300">
        <f t="shared" si="145"/>
        <v>2023</v>
      </c>
      <c r="G164" s="300">
        <f t="shared" si="145"/>
        <v>2024</v>
      </c>
      <c r="H164" s="300">
        <f t="shared" si="145"/>
        <v>2025</v>
      </c>
      <c r="I164" s="300">
        <f t="shared" si="145"/>
        <v>2026</v>
      </c>
      <c r="J164" s="300">
        <f t="shared" si="145"/>
        <v>2027</v>
      </c>
    </row>
    <row r="165" spans="1:11">
      <c r="B165" s="1" t="s">
        <v>193</v>
      </c>
      <c r="E165" s="19"/>
      <c r="F165" s="19">
        <f t="shared" ref="F165:J165" si="146">+F126</f>
        <v>8907287169.0328903</v>
      </c>
      <c r="G165" s="19">
        <f t="shared" si="146"/>
        <v>-1017380111.8445683</v>
      </c>
      <c r="H165" s="19">
        <f t="shared" si="146"/>
        <v>4167999628.9809246</v>
      </c>
      <c r="I165" s="19">
        <f t="shared" si="146"/>
        <v>11201749227.451202</v>
      </c>
      <c r="J165" s="19">
        <f t="shared" si="146"/>
        <v>11696658810.273613</v>
      </c>
    </row>
    <row r="166" spans="1:11">
      <c r="B166" s="1" t="s">
        <v>194</v>
      </c>
      <c r="E166" s="19"/>
      <c r="F166" s="19"/>
      <c r="G166" s="19"/>
      <c r="H166" s="19"/>
      <c r="I166" s="19"/>
      <c r="J166" s="19">
        <f>+J165*(1+E160)/(E161-E160)</f>
        <v>79505606880.674179</v>
      </c>
    </row>
    <row r="167" spans="1:11">
      <c r="B167" s="349" t="s">
        <v>195</v>
      </c>
      <c r="C167" s="349"/>
      <c r="D167" s="349"/>
      <c r="E167" s="350">
        <v>0</v>
      </c>
      <c r="F167" s="350">
        <f t="shared" ref="F167:J167" si="147">+SUM(F165:F166)</f>
        <v>8907287169.0328903</v>
      </c>
      <c r="G167" s="350">
        <f t="shared" si="147"/>
        <v>-1017380111.8445683</v>
      </c>
      <c r="H167" s="350">
        <f t="shared" si="147"/>
        <v>4167999628.9809246</v>
      </c>
      <c r="I167" s="350">
        <f t="shared" si="147"/>
        <v>11201749227.451202</v>
      </c>
      <c r="J167" s="350">
        <f t="shared" si="147"/>
        <v>91202265690.947784</v>
      </c>
    </row>
    <row r="168" spans="1:11">
      <c r="E168" s="19"/>
      <c r="F168" s="19"/>
      <c r="G168" s="19"/>
      <c r="H168" s="19"/>
      <c r="I168" s="19"/>
      <c r="J168" s="19"/>
    </row>
    <row r="169" spans="1:11">
      <c r="B169" s="1" t="s">
        <v>196</v>
      </c>
      <c r="E169" s="19"/>
      <c r="F169" s="19">
        <f>+F142</f>
        <v>16646760.82331486</v>
      </c>
      <c r="G169" s="19">
        <f t="shared" ref="G169:J169" si="148">+G142</f>
        <v>31146911.821056932</v>
      </c>
      <c r="H169" s="19">
        <f t="shared" si="148"/>
        <v>-529396399.68453312</v>
      </c>
      <c r="I169" s="19">
        <f t="shared" si="148"/>
        <v>-763550916.26093912</v>
      </c>
      <c r="J169" s="19">
        <f t="shared" si="148"/>
        <v>-439511856.74981534</v>
      </c>
    </row>
    <row r="170" spans="1:11">
      <c r="B170" s="1" t="s">
        <v>197</v>
      </c>
      <c r="E170" s="19"/>
      <c r="F170" s="19"/>
      <c r="G170" s="19"/>
      <c r="H170" s="19"/>
      <c r="I170" s="19"/>
      <c r="J170" s="19">
        <f>+J169*(1+E160)/(E161-E160)</f>
        <v>-2987490485.013864</v>
      </c>
    </row>
    <row r="171" spans="1:11">
      <c r="B171" s="349" t="s">
        <v>185</v>
      </c>
      <c r="C171" s="349"/>
      <c r="D171" s="349"/>
      <c r="E171" s="350">
        <v>0</v>
      </c>
      <c r="F171" s="350">
        <f t="shared" ref="F171" si="149">+SUM(F169:F170)</f>
        <v>16646760.82331486</v>
      </c>
      <c r="G171" s="350">
        <f t="shared" ref="G171" si="150">+SUM(G169:G170)</f>
        <v>31146911.821056932</v>
      </c>
      <c r="H171" s="350">
        <f t="shared" ref="H171" si="151">+SUM(H169:H170)</f>
        <v>-529396399.68453312</v>
      </c>
      <c r="I171" s="350">
        <f t="shared" ref="I171" si="152">+SUM(I169:I170)</f>
        <v>-763550916.26093912</v>
      </c>
      <c r="J171" s="350">
        <f t="shared" ref="J171" si="153">+SUM(J169:J170)</f>
        <v>-3427002341.7636795</v>
      </c>
    </row>
    <row r="172" spans="1:11">
      <c r="E172" s="19"/>
      <c r="F172" s="19"/>
      <c r="G172" s="19"/>
      <c r="H172" s="19"/>
      <c r="I172" s="19"/>
      <c r="J172" s="19"/>
    </row>
    <row r="173" spans="1:11">
      <c r="B173" s="230" t="s">
        <v>198</v>
      </c>
      <c r="C173" s="290">
        <f>+NPV($E$161,$F$167:$J$167)</f>
        <v>54692517212.368492</v>
      </c>
      <c r="E173" s="19"/>
      <c r="F173" s="19"/>
      <c r="G173" s="19"/>
      <c r="H173" s="19"/>
      <c r="I173" s="19"/>
      <c r="J173" s="19"/>
    </row>
    <row r="174" spans="1:11">
      <c r="B174" s="230" t="s">
        <v>199</v>
      </c>
      <c r="C174" s="290">
        <f>+NPV($E$161,$F$171:$J$171)</f>
        <v>-2164644229.1775804</v>
      </c>
      <c r="E174" s="19"/>
      <c r="F174" s="19"/>
      <c r="G174" s="19"/>
      <c r="H174" s="19"/>
      <c r="I174" s="19"/>
      <c r="J174" s="19"/>
    </row>
    <row r="175" spans="1:11">
      <c r="B175" s="292" t="s">
        <v>140</v>
      </c>
      <c r="C175" s="318">
        <f>+C173+C174</f>
        <v>52527872983.19091</v>
      </c>
      <c r="D175" s="289"/>
      <c r="E175" s="19"/>
      <c r="F175" s="19"/>
      <c r="G175" s="19"/>
      <c r="H175" s="19"/>
      <c r="I175" s="19"/>
      <c r="J175" s="19"/>
    </row>
    <row r="176" spans="1:11">
      <c r="B176" s="1" t="s">
        <v>200</v>
      </c>
      <c r="C176" s="144">
        <f>+E53</f>
        <v>2376856670.0599999</v>
      </c>
      <c r="E176" s="19"/>
      <c r="F176" s="19"/>
      <c r="G176" s="19"/>
      <c r="H176" s="19"/>
      <c r="I176" s="19"/>
      <c r="J176" s="19"/>
    </row>
    <row r="177" spans="1:10">
      <c r="B177" s="1" t="s">
        <v>201</v>
      </c>
      <c r="C177" s="144">
        <f>+-(E82+E80)</f>
        <v>-2026701856.4200001</v>
      </c>
      <c r="E177" s="19"/>
      <c r="F177" s="19"/>
      <c r="G177" s="19"/>
      <c r="H177" s="19"/>
      <c r="I177" s="19"/>
      <c r="J177" s="19"/>
    </row>
    <row r="178" spans="1:10">
      <c r="B178" s="292" t="s">
        <v>139</v>
      </c>
      <c r="C178" s="318">
        <f>+C175+C176+C177</f>
        <v>52878027796.83091</v>
      </c>
      <c r="E178" s="19"/>
      <c r="F178" s="19"/>
      <c r="G178" s="19"/>
      <c r="H178" s="19"/>
      <c r="I178" s="19"/>
      <c r="J178" s="19"/>
    </row>
    <row r="179" spans="1:10">
      <c r="E179" s="19"/>
      <c r="F179" s="19"/>
      <c r="G179" s="19"/>
      <c r="H179" s="19"/>
      <c r="I179" s="19"/>
      <c r="J179" s="19"/>
    </row>
    <row r="180" spans="1:10">
      <c r="E180" s="282"/>
      <c r="F180" s="287"/>
      <c r="G180" s="287"/>
      <c r="H180" s="287"/>
      <c r="I180" s="287"/>
      <c r="J180" s="287"/>
    </row>
    <row r="181" spans="1:10">
      <c r="A181" s="1" t="s">
        <v>136</v>
      </c>
      <c r="B181" s="233" t="s">
        <v>202</v>
      </c>
      <c r="C181" s="260"/>
      <c r="D181" s="300"/>
      <c r="E181" s="300"/>
      <c r="F181" s="300"/>
      <c r="G181" s="300"/>
      <c r="H181" s="300"/>
      <c r="I181" s="300"/>
      <c r="J181" s="300"/>
    </row>
    <row r="182" spans="1:10">
      <c r="F182" s="320" t="s">
        <v>203</v>
      </c>
      <c r="G182" s="319"/>
      <c r="H182" s="320"/>
      <c r="I182" s="319"/>
      <c r="J182" s="319"/>
    </row>
    <row r="183" spans="1:10">
      <c r="D183" s="230"/>
      <c r="E183" s="230"/>
      <c r="F183" s="321"/>
      <c r="G183" s="321"/>
      <c r="H183" s="322" t="s">
        <v>204</v>
      </c>
      <c r="I183" s="321"/>
      <c r="J183" s="321"/>
    </row>
    <row r="184" spans="1:10">
      <c r="E184" s="231">
        <f>+C178</f>
        <v>52878027796.83091</v>
      </c>
      <c r="F184" s="283">
        <v>0.01</v>
      </c>
      <c r="G184" s="281">
        <f t="shared" ref="G184:J184" si="154">+F184+1%</f>
        <v>0.02</v>
      </c>
      <c r="H184" s="287">
        <f t="shared" si="154"/>
        <v>0.03</v>
      </c>
      <c r="I184" s="287">
        <f t="shared" si="154"/>
        <v>0.04</v>
      </c>
      <c r="J184" s="287">
        <f t="shared" si="154"/>
        <v>0.05</v>
      </c>
    </row>
    <row r="185" spans="1:10">
      <c r="D185" s="429" t="s">
        <v>137</v>
      </c>
      <c r="E185" s="302">
        <v>0.16</v>
      </c>
      <c r="F185" s="144">
        <f t="dataTable" ref="F185:J190" dt2D="1" dtr="1" r1="E160" r2="E161"/>
        <v>56854439463.358772</v>
      </c>
      <c r="G185" s="144">
        <v>59815021391.912819</v>
      </c>
      <c r="H185" s="323">
        <v>63231077463.321327</v>
      </c>
      <c r="I185" s="323">
        <v>67216476213.297958</v>
      </c>
      <c r="J185" s="323">
        <v>71926492917.81575</v>
      </c>
    </row>
    <row r="186" spans="1:10">
      <c r="D186" s="429"/>
      <c r="E186" s="281">
        <f>+E185+1%</f>
        <v>0.17</v>
      </c>
      <c r="F186" s="144">
        <v>52645280150.814056</v>
      </c>
      <c r="G186" s="144">
        <v>55148353906.945618</v>
      </c>
      <c r="H186" s="323">
        <v>58009009628.238815</v>
      </c>
      <c r="I186" s="323">
        <v>61309766229.730988</v>
      </c>
      <c r="J186" s="144">
        <v>65160648931.471832</v>
      </c>
    </row>
    <row r="187" spans="1:10">
      <c r="D187" s="429"/>
      <c r="E187" s="281">
        <f t="shared" ref="E187:E190" si="155">+E186+1%</f>
        <v>0.18000000000000002</v>
      </c>
      <c r="F187" s="144">
        <v>48957757738.692757</v>
      </c>
      <c r="G187" s="144">
        <v>51092430960.964127</v>
      </c>
      <c r="H187" s="323">
        <v>53511727279.538353</v>
      </c>
      <c r="I187" s="323">
        <v>56276637357.908905</v>
      </c>
      <c r="J187" s="144">
        <v>59466918217.56723</v>
      </c>
    </row>
    <row r="188" spans="1:10">
      <c r="D188" s="429"/>
      <c r="E188" s="281">
        <f t="shared" si="155"/>
        <v>0.19000000000000003</v>
      </c>
      <c r="F188" s="144">
        <v>45703820537.932426</v>
      </c>
      <c r="G188" s="144">
        <v>47538326229.347122</v>
      </c>
      <c r="H188" s="323">
        <v>49602145132.188629</v>
      </c>
      <c r="I188" s="323">
        <v>51941139888.742355</v>
      </c>
      <c r="J188" s="144">
        <v>54614276753.375183</v>
      </c>
    </row>
    <row r="189" spans="1:10">
      <c r="D189" s="429"/>
      <c r="E189" s="281">
        <f t="shared" si="155"/>
        <v>0.20000000000000004</v>
      </c>
      <c r="F189" s="144">
        <v>42814008049.44014</v>
      </c>
      <c r="G189" s="144">
        <v>44401374675.936501</v>
      </c>
      <c r="H189" s="323">
        <v>46175490317.314789</v>
      </c>
      <c r="I189" s="323">
        <v>48171370413.865379</v>
      </c>
      <c r="J189" s="144">
        <v>50433367856.622696</v>
      </c>
    </row>
    <row r="190" spans="1:10">
      <c r="D190" s="429"/>
      <c r="E190" s="281">
        <f t="shared" si="155"/>
        <v>0.21000000000000005</v>
      </c>
      <c r="F190" s="323">
        <v>40232800158.673981</v>
      </c>
      <c r="G190" s="144">
        <v>41614784930.759354</v>
      </c>
      <c r="H190" s="144">
        <v>43150323566.409744</v>
      </c>
      <c r="I190" s="144">
        <v>44866513806.254311</v>
      </c>
      <c r="J190" s="144">
        <v>46797227826.079445</v>
      </c>
    </row>
    <row r="193" spans="1:10">
      <c r="A193" s="1" t="s">
        <v>136</v>
      </c>
      <c r="B193" s="233" t="s">
        <v>206</v>
      </c>
      <c r="C193" s="260"/>
      <c r="D193" s="300"/>
      <c r="E193" s="300">
        <f t="shared" ref="E193:J193" si="156">+E164</f>
        <v>2022</v>
      </c>
      <c r="F193" s="300">
        <f t="shared" si="156"/>
        <v>2023</v>
      </c>
      <c r="G193" s="300">
        <f t="shared" si="156"/>
        <v>2024</v>
      </c>
      <c r="H193" s="300">
        <f t="shared" si="156"/>
        <v>2025</v>
      </c>
      <c r="I193" s="300">
        <f t="shared" si="156"/>
        <v>2026</v>
      </c>
      <c r="J193" s="300">
        <f t="shared" si="156"/>
        <v>2027</v>
      </c>
    </row>
    <row r="195" spans="1:10">
      <c r="B195" s="1" t="s">
        <v>277</v>
      </c>
      <c r="E195" s="144">
        <f>+XNPV($E$161,E$167:$J$167,E$163:$J$163)/1000000</f>
        <v>54670.97209780298</v>
      </c>
      <c r="F195" s="144">
        <f>+XNPV($E$161,F$167:$J$167,F$163:$J$163)/1000000</f>
        <v>64595.44452304492</v>
      </c>
      <c r="G195" s="144">
        <f>+XNPV($E$161,G$167:$J$167,G$163:$J$163)/1000000</f>
        <v>65827.357675519001</v>
      </c>
      <c r="H195" s="144">
        <f>+XNPV($E$161,H$167:$J$167,H$163:$J$163)/1000000</f>
        <v>78979.125223468378</v>
      </c>
      <c r="I195" s="144">
        <f>+XNPV($E$161,I$167:$J$167,I$163:$J$163)/1000000</f>
        <v>88391.658820338751</v>
      </c>
      <c r="J195" s="144">
        <f>+XNPV($E$161,J$167:$J$167,J$163:$J$163)/1000000</f>
        <v>91202.265690947781</v>
      </c>
    </row>
    <row r="196" spans="1:10">
      <c r="B196" s="1" t="s">
        <v>278</v>
      </c>
      <c r="E196" s="144">
        <f>+XNPV($E$161,E$171:$J$171,E$163:$J$163)/1000000</f>
        <v>-2163.6487397285741</v>
      </c>
      <c r="F196" s="290">
        <f>+XNPV($E$161,F$171:$J$171,F$163:$J$163)/1000000</f>
        <v>-2556.4179082908549</v>
      </c>
      <c r="G196" s="144">
        <f>+XNPV($E$161,G$171:$J$171,G$163:$J$163)/1000000</f>
        <v>-3041.5452107577521</v>
      </c>
      <c r="H196" s="144">
        <f>+XNPV($E$161,H$171:$J$171,H$163:$J$163)/1000000</f>
        <v>-3630.4807821116619</v>
      </c>
      <c r="I196" s="144">
        <f>+XNPV($E$161,I$171:$J$171,I$163:$J$163)/1000000</f>
        <v>-3664.0271153035255</v>
      </c>
      <c r="J196" s="144">
        <f>+XNPV($E$161,J$171:$J$171,J$163:$J$163)/1000000</f>
        <v>-3427.0023417636794</v>
      </c>
    </row>
    <row r="197" spans="1:10">
      <c r="B197" s="292" t="s">
        <v>205</v>
      </c>
      <c r="C197" s="292"/>
      <c r="D197" s="292"/>
      <c r="E197" s="325">
        <f t="shared" ref="E197:J197" si="157">+E195+E196</f>
        <v>52507.323358074405</v>
      </c>
      <c r="F197" s="325">
        <f t="shared" si="157"/>
        <v>62039.026614754068</v>
      </c>
      <c r="G197" s="325">
        <f t="shared" si="157"/>
        <v>62785.812464761249</v>
      </c>
      <c r="H197" s="325">
        <f t="shared" si="157"/>
        <v>75348.644441356722</v>
      </c>
      <c r="I197" s="325">
        <f t="shared" si="157"/>
        <v>84727.631705035223</v>
      </c>
      <c r="J197" s="325">
        <f t="shared" si="157"/>
        <v>87775.263349184097</v>
      </c>
    </row>
    <row r="217" spans="1:10">
      <c r="A217" s="1" t="s">
        <v>136</v>
      </c>
      <c r="B217" s="233" t="s">
        <v>207</v>
      </c>
      <c r="C217" s="260"/>
      <c r="D217" s="300"/>
      <c r="E217" s="300"/>
      <c r="F217" s="300"/>
      <c r="G217" s="300"/>
      <c r="H217" s="300"/>
      <c r="I217" s="300"/>
      <c r="J217" s="300"/>
    </row>
    <row r="219" spans="1:10">
      <c r="B219" s="1" t="s">
        <v>208</v>
      </c>
    </row>
    <row r="220" spans="1:10">
      <c r="B220" s="1" t="s">
        <v>209</v>
      </c>
      <c r="C220" s="2"/>
      <c r="D220" s="2" t="s">
        <v>217</v>
      </c>
      <c r="E220" s="2" t="s">
        <v>218</v>
      </c>
      <c r="F220" s="2" t="s">
        <v>219</v>
      </c>
      <c r="G220" s="2" t="s">
        <v>220</v>
      </c>
      <c r="H220" s="2" t="s">
        <v>221</v>
      </c>
      <c r="J220" s="1" t="s">
        <v>244</v>
      </c>
    </row>
    <row r="221" spans="1:10">
      <c r="B221" s="330" t="s">
        <v>210</v>
      </c>
      <c r="C221" s="333"/>
      <c r="D221" s="333">
        <v>7.85</v>
      </c>
      <c r="E221" s="333">
        <v>9.73</v>
      </c>
      <c r="F221" s="333">
        <v>3.43</v>
      </c>
      <c r="G221" s="333"/>
      <c r="H221" s="333">
        <v>1.36</v>
      </c>
      <c r="J221" s="1" t="s">
        <v>245</v>
      </c>
    </row>
    <row r="222" spans="1:10">
      <c r="B222" s="1" t="s">
        <v>211</v>
      </c>
      <c r="C222" s="327"/>
      <c r="D222" s="327">
        <v>10.94</v>
      </c>
      <c r="E222" s="327">
        <v>16.78</v>
      </c>
      <c r="F222" s="327">
        <v>3.54</v>
      </c>
      <c r="G222" s="327"/>
      <c r="H222" s="327">
        <v>1.63</v>
      </c>
    </row>
    <row r="223" spans="1:10">
      <c r="B223" s="328" t="s">
        <v>212</v>
      </c>
      <c r="C223" s="328"/>
      <c r="D223" s="329">
        <v>9.3949999999999996</v>
      </c>
      <c r="E223" s="329">
        <v>13.255000000000001</v>
      </c>
      <c r="F223" s="329">
        <v>3.4850000000000003</v>
      </c>
      <c r="G223" s="329"/>
      <c r="H223" s="329">
        <v>1.4950000000000001</v>
      </c>
    </row>
    <row r="224" spans="1:10">
      <c r="B224" s="326" t="s">
        <v>213</v>
      </c>
    </row>
    <row r="226" spans="2:10">
      <c r="B226" s="1" t="s">
        <v>214</v>
      </c>
      <c r="D226" s="344">
        <v>5.7</v>
      </c>
      <c r="E226" s="344">
        <v>7.9</v>
      </c>
      <c r="F226" s="344"/>
      <c r="G226" s="344">
        <v>9.1</v>
      </c>
      <c r="H226" s="344">
        <v>0.5</v>
      </c>
      <c r="J226" s="1" t="s">
        <v>246</v>
      </c>
    </row>
    <row r="227" spans="2:10">
      <c r="B227" s="1" t="s">
        <v>215</v>
      </c>
      <c r="D227" s="344">
        <v>7.5</v>
      </c>
      <c r="E227" s="344">
        <v>15.9</v>
      </c>
      <c r="F227" s="344"/>
      <c r="G227" s="344">
        <v>17.399999999999999</v>
      </c>
      <c r="H227" s="344">
        <v>0.6</v>
      </c>
    </row>
    <row r="228" spans="2:10">
      <c r="B228" s="1" t="s">
        <v>241</v>
      </c>
      <c r="D228" s="344">
        <v>1.3467262010565457</v>
      </c>
      <c r="E228" s="344">
        <v>2.0951606658923732</v>
      </c>
      <c r="F228" s="344"/>
      <c r="G228" s="344">
        <v>3.2233241013728819</v>
      </c>
      <c r="H228" s="344">
        <v>0.21117171073022045</v>
      </c>
      <c r="J228" s="1" t="s">
        <v>247</v>
      </c>
    </row>
    <row r="229" spans="2:10">
      <c r="B229" s="1" t="s">
        <v>242</v>
      </c>
      <c r="D229" s="344"/>
      <c r="E229" s="344">
        <v>2.0710062071218558</v>
      </c>
      <c r="F229" s="344"/>
      <c r="G229" s="344">
        <v>1.5340786719421151</v>
      </c>
      <c r="H229" s="344">
        <v>0.31153127917833801</v>
      </c>
      <c r="J229" s="1" t="s">
        <v>248</v>
      </c>
    </row>
    <row r="230" spans="2:10">
      <c r="B230" s="1" t="s">
        <v>243</v>
      </c>
      <c r="D230" s="344">
        <v>4.0992822362488726</v>
      </c>
      <c r="E230" s="344">
        <v>4.7914249578414845</v>
      </c>
      <c r="F230" s="344"/>
      <c r="G230" s="344">
        <v>7.371423012063822</v>
      </c>
      <c r="H230" s="344">
        <v>0.32844249859118296</v>
      </c>
      <c r="J230" s="1" t="s">
        <v>249</v>
      </c>
    </row>
    <row r="231" spans="2:10">
      <c r="B231" s="328" t="s">
        <v>216</v>
      </c>
      <c r="C231" s="328"/>
      <c r="D231" s="329">
        <f>+AVERAGE(D226:D230)</f>
        <v>4.6615021093263547</v>
      </c>
      <c r="E231" s="329">
        <f t="shared" ref="E231" si="158">+AVERAGE(E226:E230)</f>
        <v>6.551518366171142</v>
      </c>
      <c r="F231" s="329"/>
      <c r="G231" s="329">
        <f>+AVERAGE(G226:G230)</f>
        <v>7.7257651570757648</v>
      </c>
      <c r="H231" s="329">
        <f>+AVERAGE(H226:H230)</f>
        <v>0.39022909769994829</v>
      </c>
    </row>
    <row r="232" spans="2:10">
      <c r="B232" s="326" t="s">
        <v>240</v>
      </c>
    </row>
    <row r="234" spans="2:10">
      <c r="B234" s="1" t="s">
        <v>229</v>
      </c>
      <c r="C234" s="232">
        <v>500000000</v>
      </c>
    </row>
    <row r="235" spans="2:10">
      <c r="B235" s="1" t="s">
        <v>230</v>
      </c>
      <c r="C235" s="232">
        <f>+-E111</f>
        <v>35069005</v>
      </c>
    </row>
    <row r="237" spans="2:10">
      <c r="C237" s="300">
        <f>+E193</f>
        <v>2022</v>
      </c>
      <c r="D237" s="300" t="s">
        <v>227</v>
      </c>
      <c r="E237" s="300" t="s">
        <v>228</v>
      </c>
    </row>
    <row r="239" spans="2:10">
      <c r="B239" s="330" t="s">
        <v>222</v>
      </c>
      <c r="C239" s="331">
        <f>+C240+C235</f>
        <v>15784684300.780003</v>
      </c>
      <c r="D239" s="332">
        <f>+C239*D223</f>
        <v>148297109005.82813</v>
      </c>
      <c r="E239" s="332">
        <f>+C239*D231</f>
        <v>73580339163.136581</v>
      </c>
    </row>
    <row r="240" spans="2:10">
      <c r="B240" s="1" t="s">
        <v>223</v>
      </c>
      <c r="C240" s="19">
        <f>+E108+C234</f>
        <v>15749615295.780003</v>
      </c>
      <c r="D240" s="144">
        <f>+C240*E223</f>
        <v>208761150745.56393</v>
      </c>
      <c r="E240" s="144">
        <f>+C240*E231</f>
        <v>103183893870.43263</v>
      </c>
    </row>
    <row r="241" spans="2:10">
      <c r="B241" s="330" t="s">
        <v>224</v>
      </c>
      <c r="C241" s="331">
        <f>+E87+E82+E80-E53</f>
        <v>22374328545.149998</v>
      </c>
      <c r="D241" s="332">
        <f>+C241*F223</f>
        <v>77974534979.847748</v>
      </c>
      <c r="E241" s="332"/>
    </row>
    <row r="242" spans="2:10">
      <c r="B242" s="1" t="s">
        <v>225</v>
      </c>
      <c r="C242" s="19">
        <f>+C240*(1-E12)</f>
        <v>10166119607.719978</v>
      </c>
      <c r="E242" s="332">
        <f>+C242*G231</f>
        <v>78541052647.987747</v>
      </c>
    </row>
    <row r="243" spans="2:10">
      <c r="B243" s="330" t="s">
        <v>226</v>
      </c>
      <c r="C243" s="331">
        <f>+E34</f>
        <v>90224924508.630005</v>
      </c>
      <c r="D243" s="332">
        <f>+C243*H223</f>
        <v>134886262140.40187</v>
      </c>
      <c r="E243" s="332">
        <f>+C243*H231</f>
        <v>35208390881.048637</v>
      </c>
    </row>
    <row r="244" spans="2:10">
      <c r="B244" s="328" t="s">
        <v>212</v>
      </c>
      <c r="C244" s="329"/>
      <c r="D244" s="334">
        <f>+AVERAGE(D239:D243)</f>
        <v>142479764217.91043</v>
      </c>
      <c r="E244" s="334">
        <f>+AVERAGE(E239:E243)</f>
        <v>72628419140.651398</v>
      </c>
    </row>
    <row r="247" spans="2:10">
      <c r="B247" s="233" t="s">
        <v>231</v>
      </c>
      <c r="C247" s="260"/>
      <c r="D247" s="300"/>
      <c r="E247" s="300"/>
      <c r="F247" s="300"/>
      <c r="G247" s="300"/>
      <c r="H247" s="300"/>
      <c r="I247" s="300"/>
      <c r="J247" s="300"/>
    </row>
    <row r="248" spans="2:10">
      <c r="B248" s="335"/>
      <c r="C248" s="335"/>
      <c r="D248" s="335"/>
      <c r="E248" s="336"/>
      <c r="F248" s="335"/>
      <c r="G248" s="337"/>
      <c r="H248" s="337"/>
      <c r="I248" s="337"/>
    </row>
    <row r="249" spans="2:10" ht="15.6">
      <c r="C249" s="348"/>
      <c r="D249" s="418" t="s">
        <v>232</v>
      </c>
      <c r="E249" s="418" t="s">
        <v>233</v>
      </c>
      <c r="F249" s="418" t="s">
        <v>234</v>
      </c>
      <c r="G249" s="418" t="s">
        <v>235</v>
      </c>
      <c r="H249" s="337"/>
      <c r="I249" s="337"/>
    </row>
    <row r="250" spans="2:10">
      <c r="B250" s="1" t="s">
        <v>236</v>
      </c>
      <c r="C250" s="348"/>
      <c r="D250" s="415">
        <f>(+MIN(D239:D243))/1000000</f>
        <v>77974.534979847755</v>
      </c>
      <c r="E250" s="415">
        <f>D250</f>
        <v>77974.534979847755</v>
      </c>
      <c r="F250" s="415">
        <f>(+MAX(D239:D243))/1000000</f>
        <v>208761.15074556394</v>
      </c>
      <c r="G250" s="415">
        <f>F250</f>
        <v>208761.15074556394</v>
      </c>
      <c r="H250" s="337"/>
      <c r="I250" s="337"/>
    </row>
    <row r="251" spans="2:10">
      <c r="B251" s="417" t="s">
        <v>237</v>
      </c>
      <c r="C251" s="348"/>
      <c r="D251" s="416">
        <f>(+MIN(E239:E243))/1000000</f>
        <v>35208.390881048639</v>
      </c>
      <c r="E251" s="416">
        <f t="shared" ref="E251:E253" si="159">D251</f>
        <v>35208.390881048639</v>
      </c>
      <c r="F251" s="416">
        <f>(+MAX(E239:E243))/1000000</f>
        <v>103183.89387043263</v>
      </c>
      <c r="G251" s="416">
        <f t="shared" ref="G251:G253" si="160">F251</f>
        <v>103183.89387043263</v>
      </c>
      <c r="H251" s="335"/>
      <c r="I251" s="335"/>
    </row>
    <row r="252" spans="2:10">
      <c r="B252" s="1" t="s">
        <v>238</v>
      </c>
      <c r="C252" s="348"/>
      <c r="D252" s="415">
        <f>(+MIN(H185:I189))/1000000</f>
        <v>46175.49031731479</v>
      </c>
      <c r="E252" s="415">
        <f t="shared" si="159"/>
        <v>46175.49031731479</v>
      </c>
      <c r="F252" s="415">
        <f>(+MAX(H185:I189))/1000000</f>
        <v>67216.476213297952</v>
      </c>
      <c r="G252" s="415">
        <f t="shared" si="160"/>
        <v>67216.476213297952</v>
      </c>
      <c r="H252" s="337"/>
      <c r="I252" s="337"/>
    </row>
    <row r="253" spans="2:10">
      <c r="B253" s="417" t="s">
        <v>239</v>
      </c>
      <c r="C253" s="348"/>
      <c r="D253" s="416">
        <f>(+MIN(C175))/1000000</f>
        <v>52527.872983190908</v>
      </c>
      <c r="E253" s="416">
        <f t="shared" si="159"/>
        <v>52527.872983190908</v>
      </c>
      <c r="F253" s="416">
        <f>(+MAX(C175))/1000000</f>
        <v>52527.872983190908</v>
      </c>
      <c r="G253" s="416">
        <f t="shared" si="160"/>
        <v>52527.872983190908</v>
      </c>
      <c r="H253" s="337"/>
      <c r="I253" s="337"/>
    </row>
    <row r="254" spans="2:10">
      <c r="B254" s="414" t="s">
        <v>302</v>
      </c>
      <c r="C254" s="335"/>
      <c r="D254" s="335"/>
      <c r="E254" s="338"/>
      <c r="F254" s="335"/>
      <c r="G254" s="337"/>
      <c r="H254" s="337"/>
      <c r="I254" s="337"/>
    </row>
    <row r="255" spans="2:10">
      <c r="B255" s="335"/>
      <c r="C255" s="335"/>
      <c r="D255" s="335"/>
      <c r="E255" s="338"/>
      <c r="F255" s="335"/>
      <c r="G255" s="337"/>
      <c r="H255" s="337"/>
      <c r="I255" s="337"/>
    </row>
    <row r="256" spans="2:10">
      <c r="B256" s="335"/>
      <c r="C256" s="339"/>
      <c r="D256" s="335"/>
      <c r="E256" s="338"/>
      <c r="F256" s="335"/>
      <c r="G256" s="337"/>
      <c r="H256" s="337"/>
      <c r="I256" s="337"/>
    </row>
    <row r="257" spans="2:9">
      <c r="B257" s="335"/>
      <c r="C257" s="335"/>
      <c r="D257" s="335"/>
      <c r="E257" s="340"/>
      <c r="F257" s="335"/>
      <c r="G257" s="337"/>
      <c r="H257" s="337"/>
      <c r="I257" s="337"/>
    </row>
    <row r="258" spans="2:9">
      <c r="B258" s="335"/>
      <c r="C258" s="335"/>
      <c r="D258" s="335"/>
      <c r="E258" s="340"/>
      <c r="F258" s="335"/>
      <c r="G258" s="337"/>
      <c r="H258" s="337"/>
      <c r="I258" s="337"/>
    </row>
    <row r="259" spans="2:9">
      <c r="B259" s="335"/>
      <c r="C259" s="335"/>
      <c r="D259" s="335"/>
      <c r="E259" s="340"/>
      <c r="F259" s="335"/>
      <c r="G259" s="337"/>
      <c r="H259" s="337"/>
      <c r="I259" s="337"/>
    </row>
    <row r="260" spans="2:9">
      <c r="B260" s="335"/>
      <c r="C260" s="335"/>
      <c r="D260" s="335"/>
      <c r="E260" s="338"/>
      <c r="F260" s="335"/>
      <c r="G260" s="337"/>
      <c r="H260" s="337"/>
      <c r="I260" s="337"/>
    </row>
    <row r="261" spans="2:9">
      <c r="B261" s="335"/>
      <c r="C261" s="335"/>
      <c r="D261" s="335"/>
      <c r="E261" s="335"/>
      <c r="F261" s="335"/>
      <c r="G261" s="337"/>
      <c r="H261" s="337"/>
      <c r="I261" s="337"/>
    </row>
    <row r="262" spans="2:9">
      <c r="B262" s="335"/>
      <c r="C262" s="335"/>
      <c r="D262" s="335"/>
      <c r="E262" s="335"/>
      <c r="F262" s="335"/>
      <c r="G262" s="335"/>
      <c r="H262" s="335"/>
      <c r="I262" s="337"/>
    </row>
    <row r="263" spans="2:9" ht="14.4">
      <c r="B263" s="335"/>
      <c r="C263"/>
      <c r="D263"/>
      <c r="E263"/>
      <c r="F263"/>
      <c r="G263"/>
      <c r="H263"/>
      <c r="I263"/>
    </row>
    <row r="264" spans="2:9">
      <c r="B264" s="335"/>
      <c r="C264" s="335"/>
      <c r="D264" s="335"/>
      <c r="E264" s="335"/>
      <c r="F264" s="335"/>
      <c r="G264" s="335"/>
      <c r="H264" s="335"/>
      <c r="I264" s="335"/>
    </row>
    <row r="265" spans="2:9">
      <c r="B265" s="335"/>
      <c r="C265" s="335"/>
      <c r="D265" s="335"/>
      <c r="E265" s="335"/>
      <c r="F265" s="335"/>
      <c r="G265" s="335"/>
      <c r="H265" s="335"/>
      <c r="I265" s="335"/>
    </row>
    <row r="266" spans="2:9">
      <c r="B266" s="335"/>
      <c r="C266" s="335"/>
      <c r="D266" s="335"/>
      <c r="E266" s="335"/>
      <c r="F266" s="335"/>
      <c r="G266" s="335"/>
      <c r="H266" s="335"/>
      <c r="I266" s="335"/>
    </row>
    <row r="267" spans="2:9">
      <c r="B267" s="335"/>
      <c r="C267" s="335"/>
      <c r="D267" s="335"/>
      <c r="E267" s="335"/>
      <c r="F267" s="335"/>
      <c r="G267" s="335"/>
      <c r="H267" s="335"/>
      <c r="I267" s="335"/>
    </row>
    <row r="268" spans="2:9">
      <c r="B268" s="335"/>
      <c r="C268" s="335"/>
      <c r="D268" s="335"/>
      <c r="E268" s="335"/>
      <c r="F268" s="335"/>
      <c r="G268" s="335"/>
      <c r="H268" s="335"/>
      <c r="I268" s="335"/>
    </row>
    <row r="269" spans="2:9">
      <c r="B269" s="335"/>
      <c r="C269" s="335"/>
      <c r="D269" s="335"/>
      <c r="E269" s="335"/>
      <c r="F269" s="335"/>
      <c r="G269" s="335"/>
      <c r="H269" s="335"/>
      <c r="I269" s="335"/>
    </row>
    <row r="270" spans="2:9">
      <c r="B270" s="335"/>
      <c r="C270" s="335"/>
      <c r="D270" s="335"/>
      <c r="E270" s="335"/>
      <c r="F270" s="335"/>
      <c r="G270" s="335"/>
      <c r="H270" s="335"/>
      <c r="I270" s="335"/>
    </row>
    <row r="271" spans="2:9">
      <c r="B271" s="335"/>
      <c r="C271" s="335"/>
      <c r="D271" s="335"/>
      <c r="E271" s="335"/>
      <c r="F271" s="335"/>
      <c r="G271" s="335"/>
      <c r="H271" s="335"/>
      <c r="I271" s="335"/>
    </row>
    <row r="272" spans="2:9">
      <c r="B272" s="335"/>
      <c r="C272" s="335"/>
      <c r="D272" s="335"/>
      <c r="E272" s="335"/>
      <c r="F272" s="335"/>
      <c r="G272" s="335"/>
      <c r="H272" s="335"/>
      <c r="I272" s="335"/>
    </row>
    <row r="273" spans="2:9">
      <c r="B273" s="335"/>
      <c r="C273" s="335"/>
      <c r="D273" s="335"/>
      <c r="E273" s="335"/>
      <c r="F273" s="335"/>
      <c r="G273" s="335"/>
      <c r="H273" s="335"/>
      <c r="I273" s="335"/>
    </row>
    <row r="274" spans="2:9">
      <c r="B274" s="335"/>
      <c r="C274" s="335"/>
      <c r="D274" s="335"/>
      <c r="E274" s="335"/>
      <c r="F274" s="335"/>
      <c r="G274" s="335"/>
      <c r="H274" s="335"/>
      <c r="I274" s="335"/>
    </row>
    <row r="275" spans="2:9" ht="16.2">
      <c r="B275" s="341"/>
      <c r="C275" s="341"/>
      <c r="D275" s="342"/>
      <c r="E275" s="342"/>
      <c r="F275" s="343"/>
      <c r="G275"/>
      <c r="H275"/>
      <c r="I275"/>
    </row>
  </sheetData>
  <mergeCells count="1">
    <mergeCell ref="D185:D190"/>
  </mergeCells>
  <dataValidations count="1">
    <dataValidation type="whole" allowBlank="1" showInputMessage="1" showErrorMessage="1" sqref="N28" xr:uid="{BEEAD7CE-F323-4EC4-9843-0AA08C0C27E0}">
      <formula1>1</formula1>
      <formula2>2</formula2>
    </dataValidation>
  </dataValidations>
  <pageMargins left="0.7" right="0.7" top="0.75" bottom="0.75" header="0.3" footer="0.3"/>
  <pageSetup orientation="portrait" r:id="rId1"/>
  <ignoredErrors>
    <ignoredError sqref="F250:F253"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2288-225A-45E8-8A13-A35795ACEED2}">
  <dimension ref="B2:G5"/>
  <sheetViews>
    <sheetView workbookViewId="0">
      <selection activeCell="B2" sqref="B2"/>
    </sheetView>
  </sheetViews>
  <sheetFormatPr baseColWidth="10" defaultRowHeight="14.4"/>
  <sheetData>
    <row r="2" spans="2:7">
      <c r="B2">
        <v>2022</v>
      </c>
      <c r="C2">
        <f t="shared" ref="C2:G2" si="0">+B2+1</f>
        <v>2023</v>
      </c>
      <c r="D2">
        <f t="shared" si="0"/>
        <v>2024</v>
      </c>
      <c r="E2">
        <f t="shared" si="0"/>
        <v>2025</v>
      </c>
      <c r="F2">
        <f t="shared" si="0"/>
        <v>2026</v>
      </c>
      <c r="G2">
        <f t="shared" si="0"/>
        <v>2027</v>
      </c>
    </row>
    <row r="3" spans="2:7">
      <c r="B3" s="409">
        <f>+-'VALORACIÓN ALUICA'!C178/1000000</f>
        <v>-52878.027796830909</v>
      </c>
      <c r="C3" s="409">
        <f>+'VALORACIÓN ALUICA'!F13/1000000</f>
        <v>6388.4673068484226</v>
      </c>
      <c r="D3" s="409">
        <f>+'VALORACIÓN ALUICA'!G13/1000000</f>
        <v>6673.6669911298341</v>
      </c>
      <c r="E3" s="409">
        <f>+'VALORACIÓN ALUICA'!H13/1000000</f>
        <v>3096.6980544867083</v>
      </c>
      <c r="F3" s="409">
        <f>+'VALORACIÓN ALUICA'!I13/1000000</f>
        <v>9363.8250695193328</v>
      </c>
      <c r="G3" s="409">
        <f>+'VALORACIÓN ALUICA'!J13/1000000+'VALORACIÓN ALUICA'!J197</f>
        <v>98091.138743192947</v>
      </c>
    </row>
    <row r="5" spans="2:7">
      <c r="B5" s="408">
        <f>+IRR(B3:G3)</f>
        <v>0.21483952963964525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345A-D4B2-4805-82C8-D9075D19C070}">
  <dimension ref="A2:AP164"/>
  <sheetViews>
    <sheetView showGridLines="0" topLeftCell="AC124" workbookViewId="0">
      <selection activeCell="AK164" sqref="AK164"/>
    </sheetView>
  </sheetViews>
  <sheetFormatPr baseColWidth="10" defaultRowHeight="14.4" outlineLevelRow="1"/>
  <cols>
    <col min="2" max="2" width="48.6640625" customWidth="1"/>
    <col min="3" max="3" width="0" hidden="1" customWidth="1"/>
    <col min="4" max="4" width="15.6640625" customWidth="1"/>
    <col min="5" max="5" width="6.33203125" bestFit="1" customWidth="1"/>
    <col min="6" max="6" width="15.6640625" customWidth="1"/>
    <col min="7" max="7" width="6.33203125" bestFit="1" customWidth="1"/>
    <col min="9" max="9" width="48.6640625" customWidth="1"/>
    <col min="10" max="11" width="17.6640625" customWidth="1"/>
    <col min="13" max="13" width="34.109375" customWidth="1"/>
    <col min="15" max="21" width="8.6640625" customWidth="1"/>
    <col min="23" max="23" width="48.6640625" bestFit="1" customWidth="1"/>
    <col min="24" max="24" width="16.6640625" bestFit="1" customWidth="1"/>
    <col min="30" max="30" width="49.5546875" bestFit="1" customWidth="1"/>
    <col min="31" max="35" width="9.6640625" customWidth="1"/>
    <col min="37" max="37" width="31.33203125" bestFit="1" customWidth="1"/>
    <col min="38" max="38" width="14.5546875" bestFit="1" customWidth="1"/>
    <col min="39" max="42" width="15.5546875" bestFit="1" customWidth="1"/>
  </cols>
  <sheetData>
    <row r="2" spans="1:7">
      <c r="A2" t="s">
        <v>136</v>
      </c>
      <c r="B2" s="352" t="s">
        <v>279</v>
      </c>
      <c r="C2" s="353" t="s">
        <v>5</v>
      </c>
      <c r="D2" s="354">
        <f>+'VALORACIÓN ALUICA'!D33</f>
        <v>2021</v>
      </c>
      <c r="E2" s="354" t="s">
        <v>280</v>
      </c>
      <c r="F2" s="354">
        <f>+'VALORACIÓN ALUICA'!E33</f>
        <v>2022</v>
      </c>
      <c r="G2" s="354" t="s">
        <v>280</v>
      </c>
    </row>
    <row r="3" spans="1:7">
      <c r="B3" s="235" t="s">
        <v>11</v>
      </c>
      <c r="C3" s="241">
        <v>10.1</v>
      </c>
      <c r="D3" s="365">
        <f>+'VALORACIÓN ALUICA'!D34/1000000</f>
        <v>60053.37913781</v>
      </c>
      <c r="E3" s="359">
        <f t="shared" ref="E3:E15" si="0">+D3/$D$3</f>
        <v>1</v>
      </c>
      <c r="F3" s="365">
        <f>+'VALORACIÓN ALUICA'!E34/1000000</f>
        <v>90224.924508630007</v>
      </c>
      <c r="G3" s="359">
        <f>+F3/$F$3</f>
        <v>1</v>
      </c>
    </row>
    <row r="4" spans="1:7">
      <c r="B4" s="237" t="s">
        <v>12</v>
      </c>
      <c r="C4" s="246">
        <v>10.199999999999999</v>
      </c>
      <c r="D4" s="366">
        <f>+'VALORACIÓN ALUICA'!D35/1000000</f>
        <v>-51897.171186</v>
      </c>
      <c r="E4" s="360">
        <f>+-D4/$D$3</f>
        <v>0.86418402979300801</v>
      </c>
      <c r="F4" s="366">
        <f>+'VALORACIÓN ALUICA'!E35/1000000</f>
        <v>-70068.461015720008</v>
      </c>
      <c r="G4" s="360">
        <f>+-F4/$F$3</f>
        <v>0.77659761310210862</v>
      </c>
    </row>
    <row r="5" spans="1:7">
      <c r="B5" s="355" t="s">
        <v>13</v>
      </c>
      <c r="C5" s="356"/>
      <c r="D5" s="367">
        <f>+'VALORACIÓN ALUICA'!D36/1000000</f>
        <v>8156.2079518099972</v>
      </c>
      <c r="E5" s="361">
        <f t="shared" si="0"/>
        <v>0.13581597020699199</v>
      </c>
      <c r="F5" s="367">
        <f>+'VALORACIÓN ALUICA'!E36/1000000</f>
        <v>20156.463492910003</v>
      </c>
      <c r="G5" s="361">
        <f>+F5/$F$3</f>
        <v>0.22340238689789138</v>
      </c>
    </row>
    <row r="6" spans="1:7">
      <c r="B6" s="237" t="s">
        <v>15</v>
      </c>
      <c r="C6" s="246">
        <v>11.1</v>
      </c>
      <c r="D6" s="368">
        <f>+'VALORACIÓN ALUICA'!D37/1000000</f>
        <v>621.74759500000005</v>
      </c>
      <c r="E6" s="362">
        <f t="shared" si="0"/>
        <v>1.0353249124803099E-2</v>
      </c>
      <c r="F6" s="368">
        <f>+'VALORACIÓN ALUICA'!E37/1000000</f>
        <v>411.17327893999999</v>
      </c>
      <c r="G6" s="362">
        <f>+F6/$F$3</f>
        <v>4.5572028037626265E-3</v>
      </c>
    </row>
    <row r="7" spans="1:7">
      <c r="B7" s="237" t="s">
        <v>16</v>
      </c>
      <c r="C7" s="246">
        <v>10.199999999999999</v>
      </c>
      <c r="D7" s="368">
        <f>+'VALORACIÓN ALUICA'!D38/1000000</f>
        <v>-1949.59287148</v>
      </c>
      <c r="E7" s="360">
        <f>+-D7/$D$3</f>
        <v>3.2464332556642488E-2</v>
      </c>
      <c r="F7" s="368">
        <f>+'VALORACIÓN ALUICA'!E38/1000000</f>
        <v>-2930.29627071</v>
      </c>
      <c r="G7" s="360">
        <f>+-F7/$F$3</f>
        <v>3.2477680493151508E-2</v>
      </c>
    </row>
    <row r="8" spans="1:7">
      <c r="B8" s="237" t="s">
        <v>17</v>
      </c>
      <c r="C8" s="246">
        <v>10.199999999999999</v>
      </c>
      <c r="D8" s="368">
        <f>+'VALORACIÓN ALUICA'!D39/1000000</f>
        <v>-1646.0784889200002</v>
      </c>
      <c r="E8" s="360">
        <f>+-D8/$D$3</f>
        <v>2.7410255884895218E-2</v>
      </c>
      <c r="F8" s="368">
        <f>+'VALORACIÓN ALUICA'!E39/1000000</f>
        <v>-1976.55192642</v>
      </c>
      <c r="G8" s="360">
        <f>+-F8/$F$3</f>
        <v>2.1906939098973066E-2</v>
      </c>
    </row>
    <row r="9" spans="1:7">
      <c r="B9" s="237" t="s">
        <v>18</v>
      </c>
      <c r="C9" s="246">
        <v>11.3</v>
      </c>
      <c r="D9" s="368">
        <f>+'VALORACIÓN ALUICA'!D40/1000000</f>
        <v>-829.1100271900001</v>
      </c>
      <c r="E9" s="360">
        <f>+-D9/$D$3</f>
        <v>1.3806217719861612E-2</v>
      </c>
      <c r="F9" s="368">
        <f>+'VALORACIÓN ALUICA'!E40/1000000</f>
        <v>-701.70258253999998</v>
      </c>
      <c r="G9" s="360">
        <f>+-F9/$F$3</f>
        <v>7.7772587382201929E-3</v>
      </c>
    </row>
    <row r="10" spans="1:7">
      <c r="B10" s="237" t="s">
        <v>19</v>
      </c>
      <c r="C10" s="246">
        <v>11.2</v>
      </c>
      <c r="D10" s="368">
        <f>+'VALORACIÓN ALUICA'!D41/1000000</f>
        <v>-303.31145956</v>
      </c>
      <c r="E10" s="360">
        <f>+-D10/$D$3</f>
        <v>5.0506976279213762E-3</v>
      </c>
      <c r="F10" s="368">
        <f>+'VALORACIÓN ALUICA'!E41/1000000</f>
        <v>-629.84301667999989</v>
      </c>
      <c r="G10" s="360">
        <f>+-F10/$F$3</f>
        <v>6.9808095724120606E-3</v>
      </c>
    </row>
    <row r="11" spans="1:7">
      <c r="B11" s="358" t="s">
        <v>20</v>
      </c>
      <c r="C11" s="357"/>
      <c r="D11" s="367">
        <f>+'VALORACIÓN ALUICA'!D42/1000000</f>
        <v>4049.8626996599974</v>
      </c>
      <c r="E11" s="361">
        <f t="shared" si="0"/>
        <v>6.7437715542474408E-2</v>
      </c>
      <c r="F11" s="367">
        <f>+'VALORACIÓN ALUICA'!E42/1000000</f>
        <v>14329.242975500003</v>
      </c>
      <c r="G11" s="361">
        <f>+F11/$F$3</f>
        <v>0.15881690179889718</v>
      </c>
    </row>
    <row r="12" spans="1:7">
      <c r="B12" s="238" t="s">
        <v>21</v>
      </c>
      <c r="C12" s="241">
        <v>7</v>
      </c>
      <c r="D12" s="366">
        <f>+'VALORACIÓN ALUICA'!D43/1000000</f>
        <v>-1400.98299994532</v>
      </c>
      <c r="E12" s="360">
        <f>+-D12/$D$3</f>
        <v>2.3328962001128294E-2</v>
      </c>
      <c r="F12" s="366">
        <f>+'VALORACIÓN ALUICA'!E43/1000000</f>
        <v>-5079.9505171599994</v>
      </c>
      <c r="G12" s="360">
        <f>+-F12/$F$3</f>
        <v>5.6303183902072451E-2</v>
      </c>
    </row>
    <row r="13" spans="1:7">
      <c r="B13" s="358" t="s">
        <v>182</v>
      </c>
      <c r="C13" s="357"/>
      <c r="D13" s="367">
        <f>+'VALORACIÓN ALUICA'!D44/1000000</f>
        <v>2648.8796997146778</v>
      </c>
      <c r="E13" s="361">
        <f t="shared" si="0"/>
        <v>4.4108753541346114E-2</v>
      </c>
      <c r="F13" s="367">
        <f>+'VALORACIÓN ALUICA'!E44/1000000</f>
        <v>9249.2924583400036</v>
      </c>
      <c r="G13" s="361">
        <f>+F13/$F$3</f>
        <v>0.10251371789682473</v>
      </c>
    </row>
    <row r="14" spans="1:7">
      <c r="B14" s="240" t="s">
        <v>155</v>
      </c>
      <c r="C14" s="230"/>
      <c r="D14" s="369">
        <f>+'VALORACIÓN ALUICA'!D45/1000000</f>
        <v>0</v>
      </c>
      <c r="E14" s="363">
        <f t="shared" si="0"/>
        <v>0</v>
      </c>
      <c r="F14" s="369">
        <f>+'VALORACIÓN ALUICA'!E45/1000000</f>
        <v>0</v>
      </c>
      <c r="G14" s="363">
        <f>+F14/$F$3</f>
        <v>0</v>
      </c>
    </row>
    <row r="15" spans="1:7">
      <c r="B15" s="240" t="s">
        <v>183</v>
      </c>
      <c r="C15" s="241"/>
      <c r="D15" s="370">
        <f>+'VALORACIÓN ALUICA'!D46/1000000</f>
        <v>2648.8796997146778</v>
      </c>
      <c r="E15" s="364">
        <f t="shared" si="0"/>
        <v>4.4108753541346114E-2</v>
      </c>
      <c r="F15" s="370">
        <f>+'VALORACIÓN ALUICA'!E46/1000000</f>
        <v>9249.2924583400036</v>
      </c>
      <c r="G15" s="364">
        <f>+F15/$F$3</f>
        <v>0.10251371789682473</v>
      </c>
    </row>
    <row r="17" spans="9:11">
      <c r="I17" s="352" t="s">
        <v>281</v>
      </c>
      <c r="J17" s="354">
        <f>+'VALORACIÓN ALUICA'!D33</f>
        <v>2021</v>
      </c>
      <c r="K17" s="354">
        <f>+'VALORACIÓN ALUICA'!E33</f>
        <v>2022</v>
      </c>
    </row>
    <row r="18" spans="9:11">
      <c r="I18" s="244" t="s">
        <v>41</v>
      </c>
      <c r="J18" s="66"/>
      <c r="K18" s="247"/>
    </row>
    <row r="19" spans="9:11">
      <c r="I19" s="244" t="s">
        <v>42</v>
      </c>
      <c r="J19" s="66"/>
      <c r="K19" s="247"/>
    </row>
    <row r="20" spans="9:11" hidden="1">
      <c r="I20" s="294" t="s">
        <v>145</v>
      </c>
      <c r="J20" s="296">
        <f t="shared" ref="J20:K20" si="1">+IF(J66&lt;0,-J66,0)</f>
        <v>0</v>
      </c>
      <c r="K20" s="296">
        <f t="shared" si="1"/>
        <v>0</v>
      </c>
    </row>
    <row r="21" spans="9:11">
      <c r="I21" s="243" t="s">
        <v>43</v>
      </c>
      <c r="J21" s="372">
        <f>+'VALORACIÓN ALUICA'!D53/1000000</f>
        <v>755.10144857</v>
      </c>
      <c r="K21" s="351">
        <f>+'VALORACIÓN ALUICA'!E53/1000000</f>
        <v>2376.8566700599999</v>
      </c>
    </row>
    <row r="22" spans="9:11">
      <c r="I22" s="243" t="s">
        <v>44</v>
      </c>
      <c r="J22" s="372">
        <f>+'VALORACIÓN ALUICA'!D54/1000000</f>
        <v>1727.88042307</v>
      </c>
      <c r="K22" s="351">
        <f>+'VALORACIÓN ALUICA'!E54/1000000</f>
        <v>2594.8344041300002</v>
      </c>
    </row>
    <row r="23" spans="9:11">
      <c r="I23" s="261" t="s">
        <v>45</v>
      </c>
      <c r="J23" s="372">
        <f>+'VALORACIÓN ALUICA'!D55/1000000</f>
        <v>21.725045999999999</v>
      </c>
      <c r="K23" s="351">
        <f>+'VALORACIÓN ALUICA'!E55/1000000</f>
        <v>0</v>
      </c>
    </row>
    <row r="24" spans="9:11">
      <c r="I24" s="371" t="s">
        <v>46</v>
      </c>
      <c r="J24" s="372">
        <f>+'VALORACIÓN ALUICA'!D56/1000000</f>
        <v>6439.3855569500001</v>
      </c>
      <c r="K24" s="351">
        <f>+'VALORACIÓN ALUICA'!E56/1000000</f>
        <v>7901.9150973000005</v>
      </c>
    </row>
    <row r="25" spans="9:11">
      <c r="I25" s="243" t="s">
        <v>47</v>
      </c>
      <c r="J25" s="372">
        <f>+'VALORACIÓN ALUICA'!D57/1000000</f>
        <v>10564.50847316</v>
      </c>
      <c r="K25" s="351">
        <f>+'VALORACIÓN ALUICA'!E57/1000000</f>
        <v>10866.19315399</v>
      </c>
    </row>
    <row r="26" spans="9:11">
      <c r="I26" s="243" t="s">
        <v>48</v>
      </c>
      <c r="J26" s="372">
        <f>+'VALORACIÓN ALUICA'!D58/1000000</f>
        <v>1201.82</v>
      </c>
      <c r="K26" s="351">
        <f>+'VALORACIÓN ALUICA'!E58/1000000</f>
        <v>1569.9939999999999</v>
      </c>
    </row>
    <row r="27" spans="9:11">
      <c r="I27" s="262" t="s">
        <v>49</v>
      </c>
      <c r="J27" s="373">
        <f>+'VALORACIÓN ALUICA'!D59/1000000</f>
        <v>20710.420947750001</v>
      </c>
      <c r="K27" s="373">
        <f>+'VALORACIÓN ALUICA'!E59/1000000</f>
        <v>25309.793325480005</v>
      </c>
    </row>
    <row r="28" spans="9:11">
      <c r="I28" s="243" t="s">
        <v>14</v>
      </c>
      <c r="J28" s="374"/>
      <c r="K28" s="375"/>
    </row>
    <row r="29" spans="9:11">
      <c r="I29" s="244" t="s">
        <v>50</v>
      </c>
      <c r="J29" s="374"/>
      <c r="K29" s="375"/>
    </row>
    <row r="30" spans="9:11">
      <c r="I30" s="243" t="s">
        <v>51</v>
      </c>
      <c r="J30" s="372">
        <f>+'VALORACIÓN ALUICA'!D62/1000000</f>
        <v>10637.138060860001</v>
      </c>
      <c r="K30" s="351">
        <f>+'VALORACIÓN ALUICA'!E62/1000000</f>
        <v>9741.9852410799995</v>
      </c>
    </row>
    <row r="31" spans="9:11">
      <c r="I31" s="243" t="s">
        <v>52</v>
      </c>
      <c r="J31" s="372">
        <f>+'VALORACIÓN ALUICA'!D63/1000000</f>
        <v>1223.03</v>
      </c>
      <c r="K31" s="351">
        <f>+'VALORACIÓN ALUICA'!E63/1000000</f>
        <v>1223.03</v>
      </c>
    </row>
    <row r="32" spans="9:11">
      <c r="I32" s="243" t="s">
        <v>53</v>
      </c>
      <c r="J32" s="372">
        <f>+'VALORACIÓN ALUICA'!D64/1000000</f>
        <v>0</v>
      </c>
      <c r="K32" s="351">
        <f>+'VALORACIÓN ALUICA'!E64/1000000</f>
        <v>0</v>
      </c>
    </row>
    <row r="33" spans="9:11">
      <c r="I33" s="243" t="s">
        <v>48</v>
      </c>
      <c r="J33" s="372">
        <f>+'VALORACIÓN ALUICA'!D65/1000000</f>
        <v>263.85648900000001</v>
      </c>
      <c r="K33" s="351">
        <f>+'VALORACIÓN ALUICA'!E65/1000000</f>
        <v>1240.7412090728551</v>
      </c>
    </row>
    <row r="34" spans="9:11">
      <c r="I34" s="262" t="s">
        <v>55</v>
      </c>
      <c r="J34" s="373">
        <f>+'VALORACIÓN ALUICA'!D66/1000000</f>
        <v>12124.02454986</v>
      </c>
      <c r="K34" s="373">
        <f>+'VALORACIÓN ALUICA'!E66/1000000</f>
        <v>12205.756450152854</v>
      </c>
    </row>
    <row r="35" spans="9:11">
      <c r="I35" s="262" t="s">
        <v>56</v>
      </c>
      <c r="J35" s="373">
        <f>+'VALORACIÓN ALUICA'!D67/1000000</f>
        <v>32834.445497610002</v>
      </c>
      <c r="K35" s="373">
        <f>+'VALORACIÓN ALUICA'!E67/1000000</f>
        <v>37515.549775632855</v>
      </c>
    </row>
    <row r="36" spans="9:11">
      <c r="I36" s="243" t="s">
        <v>14</v>
      </c>
      <c r="J36" s="376"/>
      <c r="K36" s="376"/>
    </row>
    <row r="37" spans="9:11">
      <c r="I37" s="244" t="s">
        <v>57</v>
      </c>
      <c r="J37" s="377"/>
      <c r="K37" s="376"/>
    </row>
    <row r="38" spans="9:11">
      <c r="I38" s="244" t="s">
        <v>58</v>
      </c>
      <c r="J38" s="377"/>
      <c r="K38" s="376"/>
    </row>
    <row r="39" spans="9:11" hidden="1">
      <c r="I39" s="294" t="s">
        <v>146</v>
      </c>
      <c r="J39" s="378">
        <f>+J66+J20</f>
        <v>0</v>
      </c>
      <c r="K39" s="378">
        <f>+K66+K20</f>
        <v>0</v>
      </c>
    </row>
    <row r="40" spans="9:11">
      <c r="I40" s="243" t="s">
        <v>59</v>
      </c>
      <c r="J40" s="372">
        <f>+'VALORACIÓN ALUICA'!D72/1000000</f>
        <v>1944.884</v>
      </c>
      <c r="K40" s="351">
        <f>+'VALORACIÓN ALUICA'!E72/1000000</f>
        <v>2157.0790000000002</v>
      </c>
    </row>
    <row r="41" spans="9:11">
      <c r="I41" s="243" t="s">
        <v>60</v>
      </c>
      <c r="J41" s="372">
        <f>+'VALORACIÓN ALUICA'!D73/1000000</f>
        <v>2295.2433211699999</v>
      </c>
      <c r="K41" s="351">
        <f>+'VALORACIÓN ALUICA'!E73/1000000</f>
        <v>518.30952201000002</v>
      </c>
    </row>
    <row r="42" spans="9:11">
      <c r="I42" s="255" t="s">
        <v>85</v>
      </c>
      <c r="J42" s="379">
        <f>+'VALORACIÓN ALUICA'!D74/1000000</f>
        <v>7725.52095001</v>
      </c>
      <c r="K42" s="380">
        <f>+'VALORACIÓN ALUICA'!E74/1000000</f>
        <v>4480.2190884399997</v>
      </c>
    </row>
    <row r="43" spans="9:11">
      <c r="I43" s="243" t="s">
        <v>62</v>
      </c>
      <c r="J43" s="372">
        <f>+'VALORACIÓN ALUICA'!D75/1000000</f>
        <v>238.56388699999999</v>
      </c>
      <c r="K43" s="351">
        <f>+'VALORACIÓN ALUICA'!E75/1000000</f>
        <v>275.80689899999999</v>
      </c>
    </row>
    <row r="44" spans="9:11">
      <c r="I44" s="243" t="s">
        <v>63</v>
      </c>
      <c r="J44" s="372">
        <f>+'VALORACIÓN ALUICA'!D76/1000000</f>
        <v>1400.9829999453152</v>
      </c>
      <c r="K44" s="351">
        <f>+'VALORACIÓN ALUICA'!E76/1000000</f>
        <v>5079.9505171600013</v>
      </c>
    </row>
    <row r="45" spans="9:11">
      <c r="I45" s="262" t="s">
        <v>64</v>
      </c>
      <c r="J45" s="373">
        <f>+'VALORACIÓN ALUICA'!D77/1000000</f>
        <v>13605.195158125314</v>
      </c>
      <c r="K45" s="373">
        <f>+'VALORACIÓN ALUICA'!E77/1000000</f>
        <v>12511.365026610001</v>
      </c>
    </row>
    <row r="46" spans="9:11">
      <c r="I46" s="243" t="s">
        <v>14</v>
      </c>
      <c r="J46" s="377"/>
      <c r="K46" s="376"/>
    </row>
    <row r="47" spans="9:11">
      <c r="I47" s="244" t="s">
        <v>65</v>
      </c>
      <c r="J47" s="377"/>
      <c r="K47" s="376"/>
    </row>
    <row r="48" spans="9:11">
      <c r="I48" s="243" t="s">
        <v>60</v>
      </c>
      <c r="J48" s="372">
        <f>+'VALORACIÓN ALUICA'!D80/1000000</f>
        <v>1961.2645109800001</v>
      </c>
      <c r="K48" s="351">
        <f>+'VALORACIÓN ALUICA'!E80/1000000</f>
        <v>236.69016500000001</v>
      </c>
    </row>
    <row r="49" spans="9:21">
      <c r="I49" s="243" t="s">
        <v>66</v>
      </c>
      <c r="J49" s="372">
        <f>+'VALORACIÓN ALUICA'!D81/1000000</f>
        <v>452.00632544000001</v>
      </c>
      <c r="K49" s="351">
        <f>+'VALORACIÓN ALUICA'!E81/1000000</f>
        <v>217.88494643999999</v>
      </c>
    </row>
    <row r="50" spans="9:21">
      <c r="I50" s="243" t="s">
        <v>67</v>
      </c>
      <c r="J50" s="372">
        <f>+'VALORACIÓN ALUICA'!D82/1000000</f>
        <v>4282.5587332100004</v>
      </c>
      <c r="K50" s="351">
        <f>+'VALORACIÓN ALUICA'!E82/1000000</f>
        <v>1790.01169142</v>
      </c>
    </row>
    <row r="51" spans="9:21">
      <c r="I51" s="243" t="s">
        <v>63</v>
      </c>
      <c r="J51" s="372">
        <f>+'VALORACIÓN ALUICA'!D83/1000000</f>
        <v>539.91539699999998</v>
      </c>
      <c r="K51" s="351">
        <f>+'VALORACIÓN ALUICA'!E83/1000000</f>
        <v>35.114587999999998</v>
      </c>
    </row>
    <row r="52" spans="9:21">
      <c r="I52" s="262" t="s">
        <v>68</v>
      </c>
      <c r="J52" s="373">
        <f>+'VALORACIÓN ALUICA'!D84/1000000</f>
        <v>7235.7449666299999</v>
      </c>
      <c r="K52" s="373">
        <f>+'VALORACIÓN ALUICA'!E84/1000000</f>
        <v>2279.7013908600002</v>
      </c>
    </row>
    <row r="53" spans="9:21">
      <c r="I53" s="262" t="s">
        <v>69</v>
      </c>
      <c r="J53" s="373">
        <f>+'VALORACIÓN ALUICA'!D85/1000000</f>
        <v>20840.940124755314</v>
      </c>
      <c r="K53" s="373">
        <f>+'VALORACIÓN ALUICA'!E85/1000000</f>
        <v>14791.066417470001</v>
      </c>
    </row>
    <row r="54" spans="9:21">
      <c r="I54" s="243" t="s">
        <v>14</v>
      </c>
      <c r="J54" s="377"/>
      <c r="K54" s="376"/>
    </row>
    <row r="55" spans="9:21">
      <c r="I55" s="262" t="s">
        <v>70</v>
      </c>
      <c r="J55" s="373">
        <f>+'VALORACIÓN ALUICA'!D87/1000000</f>
        <v>11993.505374504681</v>
      </c>
      <c r="K55" s="373">
        <f>+'VALORACIÓN ALUICA'!E87/1000000</f>
        <v>22724.483358789999</v>
      </c>
    </row>
    <row r="56" spans="9:21">
      <c r="I56" s="262" t="s">
        <v>78</v>
      </c>
      <c r="J56" s="373">
        <f>+'VALORACIÓN ALUICA'!D88/1000000</f>
        <v>32834.445499259993</v>
      </c>
      <c r="K56" s="373">
        <f>+'VALORACIÓN ALUICA'!E88/1000000</f>
        <v>37515.549776259999</v>
      </c>
    </row>
    <row r="58" spans="9:21">
      <c r="M58" s="352" t="s">
        <v>134</v>
      </c>
      <c r="N58" s="354"/>
      <c r="O58" s="354">
        <v>2021</v>
      </c>
      <c r="P58" s="354">
        <f t="shared" ref="P58:U58" si="2">+O58+1</f>
        <v>2022</v>
      </c>
      <c r="Q58" s="354">
        <f t="shared" si="2"/>
        <v>2023</v>
      </c>
      <c r="R58" s="354">
        <f t="shared" si="2"/>
        <v>2024</v>
      </c>
      <c r="S58" s="354">
        <f t="shared" si="2"/>
        <v>2025</v>
      </c>
      <c r="T58" s="354">
        <f t="shared" si="2"/>
        <v>2026</v>
      </c>
      <c r="U58" s="354">
        <f t="shared" si="2"/>
        <v>2027</v>
      </c>
    </row>
    <row r="59" spans="9:21">
      <c r="M59" s="1" t="s">
        <v>148</v>
      </c>
      <c r="N59" s="1"/>
      <c r="O59" s="199"/>
      <c r="P59" s="381">
        <f>+'VALORACIÓN ALUICA'!E4</f>
        <v>0.50241211741944769</v>
      </c>
      <c r="Q59" s="382">
        <f>+'VALORACIÓN ALUICA'!F4</f>
        <v>-0.15</v>
      </c>
      <c r="R59" s="382">
        <f>+'VALORACIÓN ALUICA'!G4</f>
        <v>-0.05</v>
      </c>
      <c r="S59" s="382">
        <f>+'VALORACIÓN ALUICA'!H4</f>
        <v>0.1</v>
      </c>
      <c r="T59" s="382">
        <f>+'VALORACIÓN ALUICA'!I4</f>
        <v>0.15</v>
      </c>
      <c r="U59" s="382">
        <f>+'VALORACIÓN ALUICA'!J4</f>
        <v>0.05</v>
      </c>
    </row>
    <row r="60" spans="9:21">
      <c r="M60" s="1" t="s">
        <v>168</v>
      </c>
      <c r="N60" s="1"/>
      <c r="O60" s="199"/>
      <c r="P60" s="280"/>
      <c r="Q60" s="382">
        <f>+'VALORACIÓN ALUICA'!F5</f>
        <v>0.03</v>
      </c>
      <c r="R60" s="382">
        <f>+'VALORACIÓN ALUICA'!G5</f>
        <v>0.03</v>
      </c>
      <c r="S60" s="382">
        <f>+'VALORACIÓN ALUICA'!H5</f>
        <v>0.03</v>
      </c>
      <c r="T60" s="382">
        <f>+'VALORACIÓN ALUICA'!I5</f>
        <v>0.03</v>
      </c>
      <c r="U60" s="382">
        <f>+'VALORACIÓN ALUICA'!J5</f>
        <v>0.03</v>
      </c>
    </row>
    <row r="61" spans="9:21">
      <c r="M61" s="1" t="s">
        <v>149</v>
      </c>
      <c r="N61" s="1"/>
      <c r="O61" s="382">
        <f>+'VALORACIÓN ALUICA'!D6</f>
        <v>0.86418402979300801</v>
      </c>
      <c r="P61" s="382">
        <f>+'VALORACIÓN ALUICA'!E6</f>
        <v>0.77659761310210862</v>
      </c>
      <c r="Q61" s="382">
        <f>+'VALORACIÓN ALUICA'!F6</f>
        <v>0.77659761310210862</v>
      </c>
      <c r="R61" s="382">
        <f>+'VALORACIÓN ALUICA'!G6</f>
        <v>0.76</v>
      </c>
      <c r="S61" s="382">
        <f>+'VALORACIÓN ALUICA'!H6</f>
        <v>0.75</v>
      </c>
      <c r="T61" s="382">
        <f>+'VALORACIÓN ALUICA'!I6</f>
        <v>0.74</v>
      </c>
      <c r="U61" s="382">
        <f>+'VALORACIÓN ALUICA'!J6</f>
        <v>0.73</v>
      </c>
    </row>
    <row r="62" spans="9:21">
      <c r="M62" s="1" t="s">
        <v>151</v>
      </c>
      <c r="N62" s="1"/>
      <c r="O62" s="382">
        <f>+'VALORACIÓN ALUICA'!D7</f>
        <v>3.2464332556642488E-2</v>
      </c>
      <c r="P62" s="382">
        <f>+'VALORACIÓN ALUICA'!E7</f>
        <v>3.2477680493151508E-2</v>
      </c>
      <c r="Q62" s="382">
        <f>+'VALORACIÓN ALUICA'!F7</f>
        <v>3.2500000000000001E-2</v>
      </c>
      <c r="R62" s="382">
        <f>+'VALORACIÓN ALUICA'!G7</f>
        <v>3.2500000000000001E-2</v>
      </c>
      <c r="S62" s="382">
        <f>+'VALORACIÓN ALUICA'!H7</f>
        <v>3.2500000000000001E-2</v>
      </c>
      <c r="T62" s="382">
        <f>+'VALORACIÓN ALUICA'!I7</f>
        <v>3.2500000000000001E-2</v>
      </c>
      <c r="U62" s="382">
        <f>+'VALORACIÓN ALUICA'!J7</f>
        <v>3.2500000000000001E-2</v>
      </c>
    </row>
    <row r="63" spans="9:21">
      <c r="M63" s="1" t="s">
        <v>152</v>
      </c>
      <c r="N63" s="1"/>
      <c r="O63" s="382">
        <f>+'VALORACIÓN ALUICA'!D8</f>
        <v>2.7410255884895218E-2</v>
      </c>
      <c r="P63" s="382">
        <f>+'VALORACIÓN ALUICA'!E8</f>
        <v>2.190693909897307E-2</v>
      </c>
      <c r="Q63" s="382">
        <f>+'VALORACIÓN ALUICA'!F8</f>
        <v>2.1899999999999999E-2</v>
      </c>
      <c r="R63" s="382">
        <f>+'VALORACIÓN ALUICA'!G8</f>
        <v>2.1899999999999999E-2</v>
      </c>
      <c r="S63" s="382">
        <f>+'VALORACIÓN ALUICA'!H8</f>
        <v>2.1899999999999999E-2</v>
      </c>
      <c r="T63" s="382">
        <f>+'VALORACIÓN ALUICA'!I8</f>
        <v>2.1899999999999999E-2</v>
      </c>
      <c r="U63" s="382">
        <f>+'VALORACIÓN ALUICA'!J8</f>
        <v>2.1899999999999999E-2</v>
      </c>
    </row>
    <row r="64" spans="9:21" hidden="1" outlineLevel="1">
      <c r="M64" s="193" t="s">
        <v>157</v>
      </c>
      <c r="N64" s="193"/>
      <c r="O64" s="297"/>
      <c r="P64" s="297"/>
      <c r="Q64" s="298"/>
      <c r="R64" s="299"/>
      <c r="S64" s="299"/>
      <c r="T64" s="299"/>
      <c r="U64" s="299"/>
    </row>
    <row r="65" spans="13:21" collapsed="1">
      <c r="M65" s="1" t="s">
        <v>153</v>
      </c>
      <c r="N65" s="1"/>
      <c r="O65" s="280"/>
      <c r="P65" s="382">
        <f>+'VALORACIÓN ALUICA'!E10</f>
        <v>0.17</v>
      </c>
      <c r="Q65" s="382">
        <f>+'VALORACIÓN ALUICA'!F10</f>
        <v>0.14000000000000001</v>
      </c>
      <c r="R65" s="382">
        <f>+'VALORACIÓN ALUICA'!G10</f>
        <v>0.11</v>
      </c>
      <c r="S65" s="382">
        <f>+'VALORACIÓN ALUICA'!H10</f>
        <v>0.09</v>
      </c>
      <c r="T65" s="382">
        <f>+'VALORACIÓN ALUICA'!I10</f>
        <v>0.09</v>
      </c>
      <c r="U65" s="382">
        <f>+'VALORACIÓN ALUICA'!J10</f>
        <v>0.09</v>
      </c>
    </row>
    <row r="66" spans="13:21">
      <c r="M66" s="1" t="s">
        <v>154</v>
      </c>
      <c r="N66" s="1"/>
      <c r="O66" s="280"/>
      <c r="P66" s="382">
        <f>+'VALORACIÓN ALUICA'!E11</f>
        <v>0.76</v>
      </c>
      <c r="Q66" s="382">
        <f>+'VALORACIÓN ALUICA'!F11</f>
        <v>0.76</v>
      </c>
      <c r="R66" s="382">
        <f>+'VALORACIÓN ALUICA'!G11</f>
        <v>0.76</v>
      </c>
      <c r="S66" s="382">
        <f>+'VALORACIÓN ALUICA'!H11</f>
        <v>0.76</v>
      </c>
      <c r="T66" s="382">
        <f>+'VALORACIÓN ALUICA'!I11</f>
        <v>0.76</v>
      </c>
      <c r="U66" s="382">
        <f>+'VALORACIÓN ALUICA'!J11</f>
        <v>0.76</v>
      </c>
    </row>
    <row r="67" spans="13:21">
      <c r="M67" s="1" t="s">
        <v>135</v>
      </c>
      <c r="N67" s="1"/>
      <c r="O67" s="382">
        <f>+'VALORACIÓN ALUICA'!D12</f>
        <v>0.34593345598183811</v>
      </c>
      <c r="P67" s="382">
        <f>+'VALORACIÓN ALUICA'!E12</f>
        <v>0.3545163220308043</v>
      </c>
      <c r="Q67" s="382">
        <f>+'VALORACIÓN ALUICA'!F12</f>
        <v>0.35</v>
      </c>
      <c r="R67" s="382">
        <f>+'VALORACIÓN ALUICA'!G12</f>
        <v>0.35</v>
      </c>
      <c r="S67" s="382">
        <f>+'VALORACIÓN ALUICA'!H12</f>
        <v>0.35</v>
      </c>
      <c r="T67" s="382">
        <f>+'VALORACIÓN ALUICA'!I12</f>
        <v>0.35</v>
      </c>
      <c r="U67" s="382">
        <f>+'VALORACIÓN ALUICA'!J12</f>
        <v>0.35</v>
      </c>
    </row>
    <row r="68" spans="13:21">
      <c r="M68" s="1" t="s">
        <v>155</v>
      </c>
      <c r="N68" s="1"/>
      <c r="O68" s="280"/>
      <c r="P68" s="312"/>
      <c r="Q68" s="383">
        <f>+'VALORACIÓN ALUICA'!F13/1000000</f>
        <v>6388.4673068484226</v>
      </c>
      <c r="R68" s="383">
        <f>+'VALORACIÓN ALUICA'!G13/1000000</f>
        <v>6673.6669911298341</v>
      </c>
      <c r="S68" s="383">
        <f>+'VALORACIÓN ALUICA'!H13/1000000</f>
        <v>3096.6980544867083</v>
      </c>
      <c r="T68" s="383">
        <f>+'VALORACIÓN ALUICA'!I13/1000000</f>
        <v>9363.8250695193328</v>
      </c>
      <c r="U68" s="383">
        <f>+'VALORACIÓN ALUICA'!J13/1000000</f>
        <v>10315.875394008852</v>
      </c>
    </row>
    <row r="69" spans="13:21">
      <c r="M69" s="1" t="s">
        <v>150</v>
      </c>
      <c r="N69" s="1"/>
      <c r="O69" s="382">
        <f>+'VALORACIÓN ALUICA'!D14</f>
        <v>1.0353249124803099E-2</v>
      </c>
      <c r="P69" s="382">
        <f>+'VALORACIÓN ALUICA'!E14</f>
        <v>4.5572028037626265E-3</v>
      </c>
      <c r="Q69" s="382">
        <f>+'VALORACIÓN ALUICA'!F14</f>
        <v>4.5999999999999999E-3</v>
      </c>
      <c r="R69" s="382">
        <f>+'VALORACIÓN ALUICA'!G14</f>
        <v>4.5999999999999999E-3</v>
      </c>
      <c r="S69" s="382">
        <f>+'VALORACIÓN ALUICA'!H14</f>
        <v>4.5999999999999999E-3</v>
      </c>
      <c r="T69" s="382">
        <f>+'VALORACIÓN ALUICA'!I14</f>
        <v>4.5999999999999999E-3</v>
      </c>
      <c r="U69" s="382">
        <f>+'VALORACIÓN ALUICA'!J14</f>
        <v>4.5999999999999999E-3</v>
      </c>
    </row>
    <row r="70" spans="13:21">
      <c r="M70" s="1" t="s">
        <v>156</v>
      </c>
      <c r="N70" s="1"/>
      <c r="O70" s="382">
        <f>+'VALORACIÓN ALUICA'!D15</f>
        <v>5.0506976279213762E-3</v>
      </c>
      <c r="P70" s="382">
        <f>+'VALORACIÓN ALUICA'!E15</f>
        <v>6.9808095724120615E-3</v>
      </c>
      <c r="Q70" s="382">
        <f>+'VALORACIÓN ALUICA'!F15</f>
        <v>7.0000000000000001E-3</v>
      </c>
      <c r="R70" s="382">
        <f>+'VALORACIÓN ALUICA'!G15</f>
        <v>7.0000000000000001E-3</v>
      </c>
      <c r="S70" s="382">
        <f>+'VALORACIÓN ALUICA'!H15</f>
        <v>7.0000000000000001E-3</v>
      </c>
      <c r="T70" s="382">
        <f>+'VALORACIÓN ALUICA'!I15</f>
        <v>7.0000000000000001E-3</v>
      </c>
      <c r="U70" s="382">
        <f>+'VALORACIÓN ALUICA'!J15</f>
        <v>7.0000000000000001E-3</v>
      </c>
    </row>
    <row r="71" spans="13:21">
      <c r="M71" s="1" t="s">
        <v>158</v>
      </c>
      <c r="N71" s="1"/>
      <c r="O71" s="280"/>
      <c r="P71" s="382">
        <f>+'VALORACIÓN ALUICA'!E16</f>
        <v>2.6343681449494078E-2</v>
      </c>
      <c r="Q71" s="382">
        <f>+'VALORACIÓN ALUICA'!F16</f>
        <v>2.6343681449494078E-2</v>
      </c>
      <c r="R71" s="382">
        <f>+'VALORACIÓN ALUICA'!G16</f>
        <v>2.6343681449494078E-2</v>
      </c>
      <c r="S71" s="382">
        <f>+'VALORACIÓN ALUICA'!H16</f>
        <v>2.6343681449494078E-2</v>
      </c>
      <c r="T71" s="382">
        <f>+'VALORACIÓN ALUICA'!I16</f>
        <v>2.6343681449494078E-2</v>
      </c>
      <c r="U71" s="382">
        <f>+'VALORACIÓN ALUICA'!J16</f>
        <v>2.6343681449494078E-2</v>
      </c>
    </row>
    <row r="72" spans="13:21">
      <c r="M72" s="1" t="s">
        <v>159</v>
      </c>
      <c r="N72" s="1"/>
      <c r="O72" s="280"/>
      <c r="P72" s="382">
        <f>+'VALORACIÓN ALUICA'!E17</f>
        <v>0.12043449427270676</v>
      </c>
      <c r="Q72" s="382">
        <f>+'VALORACIÓN ALUICA'!F17</f>
        <v>0.12</v>
      </c>
      <c r="R72" s="382">
        <f>+'VALORACIÓN ALUICA'!G17</f>
        <v>0.12</v>
      </c>
      <c r="S72" s="382">
        <f>+'VALORACIÓN ALUICA'!H17</f>
        <v>0.12</v>
      </c>
      <c r="T72" s="382">
        <f>+'VALORACIÓN ALUICA'!I17</f>
        <v>0.12</v>
      </c>
      <c r="U72" s="382">
        <f>+'VALORACIÓN ALUICA'!J17</f>
        <v>0.12</v>
      </c>
    </row>
    <row r="73" spans="13:21">
      <c r="M73" s="1" t="s">
        <v>160</v>
      </c>
      <c r="N73" s="1"/>
      <c r="O73" s="280"/>
      <c r="P73" s="382">
        <f>+'VALORACIÓN ALUICA'!E18</f>
        <v>8.7580179649185325E-2</v>
      </c>
      <c r="Q73" s="382">
        <f>+'VALORACIÓN ALUICA'!F18</f>
        <v>8.7999999999999995E-2</v>
      </c>
      <c r="R73" s="382">
        <f>+'VALORACIÓN ALUICA'!G18</f>
        <v>8.7999999999999995E-2</v>
      </c>
      <c r="S73" s="382">
        <f>+'VALORACIÓN ALUICA'!H18</f>
        <v>8.7999999999999995E-2</v>
      </c>
      <c r="T73" s="382">
        <f>+'VALORACIÓN ALUICA'!I18</f>
        <v>8.7999999999999995E-2</v>
      </c>
      <c r="U73" s="382">
        <f>+'VALORACIÓN ALUICA'!J18</f>
        <v>8.7999999999999995E-2</v>
      </c>
    </row>
    <row r="74" spans="13:21">
      <c r="M74" s="1" t="s">
        <v>161</v>
      </c>
      <c r="N74" s="1"/>
      <c r="O74" s="280"/>
      <c r="P74" s="382">
        <f>+'VALORACIÓN ALUICA'!E19</f>
        <v>4.6160508604599991E-2</v>
      </c>
      <c r="Q74" s="382">
        <f>+'VALORACIÓN ALUICA'!F19</f>
        <v>0.05</v>
      </c>
      <c r="R74" s="382">
        <f>+'VALORACIÓN ALUICA'!G19</f>
        <v>0.05</v>
      </c>
      <c r="S74" s="382">
        <f>+'VALORACIÓN ALUICA'!H19</f>
        <v>0.05</v>
      </c>
      <c r="T74" s="382">
        <f>+'VALORACIÓN ALUICA'!I19</f>
        <v>0.05</v>
      </c>
      <c r="U74" s="382">
        <f>+'VALORACIÓN ALUICA'!J19</f>
        <v>0.05</v>
      </c>
    </row>
    <row r="75" spans="13:21">
      <c r="M75" s="1" t="s">
        <v>282</v>
      </c>
      <c r="N75" s="1"/>
      <c r="O75" s="280"/>
      <c r="P75" s="383">
        <f>+'VALORACIÓN ALUICA'!E20/1000000</f>
        <v>9741.9852410799995</v>
      </c>
      <c r="Q75" s="383">
        <f>+'VALORACIÓN ALUICA'!F20/1000000</f>
        <v>9975.7928867840001</v>
      </c>
      <c r="R75" s="383">
        <f>+'VALORACIÓN ALUICA'!G20/1000000</f>
        <v>20085.526608538599</v>
      </c>
      <c r="S75" s="383">
        <f>+'VALORACIÓN ALUICA'!H20/1000000</f>
        <v>25531.250278111671</v>
      </c>
      <c r="T75" s="383">
        <f>+'VALORACIÓN ALUICA'!I20/1000000</f>
        <v>25696.562780892789</v>
      </c>
      <c r="U75" s="383">
        <f>+'VALORACIÓN ALUICA'!J20/1000000</f>
        <v>27197.459664319573</v>
      </c>
    </row>
    <row r="76" spans="13:21">
      <c r="M76" s="1" t="s">
        <v>283</v>
      </c>
      <c r="N76" s="1"/>
      <c r="O76" s="280"/>
      <c r="P76" s="383">
        <f>+'VALORACIÓN ALUICA'!E21/1000000</f>
        <v>2463.7712090728551</v>
      </c>
      <c r="Q76" s="383">
        <f>+'VALORACIÓN ALUICA'!F21/1000000</f>
        <v>2522.9017180159999</v>
      </c>
      <c r="R76" s="383">
        <f>+'VALORACIÓN ALUICA'!G21/1000000</f>
        <v>2550.6536369141759</v>
      </c>
      <c r="S76" s="383">
        <f>+'VALORACIÓN ALUICA'!H21/1000000</f>
        <v>2627.1732460216012</v>
      </c>
      <c r="T76" s="383">
        <f>+'VALORACIÓN ALUICA'!I21/1000000</f>
        <v>2705.9884434022492</v>
      </c>
      <c r="U76" s="383">
        <f>+'VALORACIÓN ALUICA'!J21/1000000</f>
        <v>2787.1680967043162</v>
      </c>
    </row>
    <row r="77" spans="13:21">
      <c r="M77" s="1" t="s">
        <v>164</v>
      </c>
      <c r="N77" s="1"/>
      <c r="O77" s="280"/>
      <c r="P77" s="382">
        <f>+'VALORACIÓN ALUICA'!E22</f>
        <v>4.9656113461324834E-2</v>
      </c>
      <c r="Q77" s="382">
        <f>+'VALORACIÓN ALUICA'!F22</f>
        <v>4.4999999999999998E-2</v>
      </c>
      <c r="R77" s="382">
        <f>+'VALORACIÓN ALUICA'!G22</f>
        <v>4.4999999999999998E-2</v>
      </c>
      <c r="S77" s="382">
        <f>+'VALORACIÓN ALUICA'!H22</f>
        <v>4.4999999999999998E-2</v>
      </c>
      <c r="T77" s="382">
        <f>+'VALORACIÓN ALUICA'!I22</f>
        <v>4.4999999999999998E-2</v>
      </c>
      <c r="U77" s="382">
        <f>+'VALORACIÓN ALUICA'!J22</f>
        <v>4.4999999999999998E-2</v>
      </c>
    </row>
    <row r="78" spans="13:21">
      <c r="M78" s="1" t="s">
        <v>165</v>
      </c>
      <c r="N78" s="1"/>
      <c r="O78" s="280"/>
      <c r="P78" s="382">
        <f>+'VALORACIÓN ALUICA'!E23</f>
        <v>2.390779501060902E-2</v>
      </c>
      <c r="Q78" s="382">
        <f>+'VALORACIÓN ALUICA'!F23</f>
        <v>2.5000000000000001E-2</v>
      </c>
      <c r="R78" s="382">
        <f>+'VALORACIÓN ALUICA'!G23</f>
        <v>2.5000000000000001E-2</v>
      </c>
      <c r="S78" s="382">
        <f>+'VALORACIÓN ALUICA'!H23</f>
        <v>2.5000000000000001E-2</v>
      </c>
      <c r="T78" s="382">
        <f>+'VALORACIÓN ALUICA'!I23</f>
        <v>2.5000000000000001E-2</v>
      </c>
      <c r="U78" s="382">
        <f>+'VALORACIÓN ALUICA'!J23</f>
        <v>2.5000000000000001E-2</v>
      </c>
    </row>
    <row r="79" spans="13:21">
      <c r="M79" s="1" t="s">
        <v>166</v>
      </c>
      <c r="N79" s="1"/>
      <c r="O79" s="280"/>
      <c r="P79" s="382">
        <f>+'VALORACIÓN ALUICA'!E24</f>
        <v>5.6303183902072472E-2</v>
      </c>
      <c r="Q79" s="382">
        <f>+'VALORACIÓN ALUICA'!F24</f>
        <v>5.6000000000000001E-2</v>
      </c>
      <c r="R79" s="382">
        <f>+'VALORACIÓN ALUICA'!G24</f>
        <v>5.6000000000000001E-2</v>
      </c>
      <c r="S79" s="382">
        <f>+'VALORACIÓN ALUICA'!H24</f>
        <v>5.6000000000000001E-2</v>
      </c>
      <c r="T79" s="382">
        <f>+'VALORACIÓN ALUICA'!I24</f>
        <v>5.6000000000000001E-2</v>
      </c>
      <c r="U79" s="382">
        <f>+'VALORACIÓN ALUICA'!J24</f>
        <v>5.6000000000000001E-2</v>
      </c>
    </row>
    <row r="80" spans="13:21">
      <c r="M80" s="1" t="s">
        <v>167</v>
      </c>
      <c r="N80" s="1"/>
      <c r="O80" s="280"/>
      <c r="P80" s="382">
        <f>+'VALORACIÓN ALUICA'!E25</f>
        <v>3.0568814604396716E-3</v>
      </c>
      <c r="Q80" s="382">
        <f>+'VALORACIÓN ALUICA'!F25</f>
        <v>3.0000000000000001E-3</v>
      </c>
      <c r="R80" s="382">
        <f>+'VALORACIÓN ALUICA'!G25</f>
        <v>3.0000000000000001E-3</v>
      </c>
      <c r="S80" s="382">
        <f>+'VALORACIÓN ALUICA'!H25</f>
        <v>3.0000000000000001E-3</v>
      </c>
      <c r="T80" s="382">
        <f>+'VALORACIÓN ALUICA'!I25</f>
        <v>3.0000000000000001E-3</v>
      </c>
      <c r="U80" s="382">
        <f>+'VALORACIÓN ALUICA'!J25</f>
        <v>3.0000000000000001E-3</v>
      </c>
    </row>
    <row r="81" spans="13:28">
      <c r="M81" s="1" t="s">
        <v>169</v>
      </c>
      <c r="N81" s="1"/>
      <c r="O81" s="280"/>
      <c r="P81" s="382">
        <f>+'VALORACIÓN ALUICA'!E26</f>
        <v>5.7446379127801183E-3</v>
      </c>
      <c r="Q81" s="382">
        <f>+'VALORACIÓN ALUICA'!F26</f>
        <v>5.0000000000000001E-3</v>
      </c>
      <c r="R81" s="382">
        <f>+'VALORACIÓN ALUICA'!G26</f>
        <v>5.0000000000000001E-3</v>
      </c>
      <c r="S81" s="382">
        <f>+'VALORACIÓN ALUICA'!H26</f>
        <v>5.0000000000000001E-3</v>
      </c>
      <c r="T81" s="382">
        <f>+'VALORACIÓN ALUICA'!I26</f>
        <v>5.0000000000000001E-3</v>
      </c>
      <c r="U81" s="382">
        <f>+'VALORACIÓN ALUICA'!J26</f>
        <v>5.0000000000000001E-3</v>
      </c>
    </row>
    <row r="82" spans="13:28">
      <c r="M82" s="1" t="s">
        <v>284</v>
      </c>
      <c r="N82" s="1"/>
      <c r="O82" s="280"/>
      <c r="P82" s="383">
        <f>+'VALORACIÓN ALUICA'!E27/1000000</f>
        <v>2026.70185642</v>
      </c>
      <c r="Q82" s="383">
        <f>+'VALORACIÓN ALUICA'!F27/1000000</f>
        <v>2026.70185642</v>
      </c>
      <c r="R82" s="383">
        <f>+'VALORACIÓN ALUICA'!G27/1000000</f>
        <v>2026.70185642</v>
      </c>
      <c r="S82" s="383">
        <f>+'VALORACIÓN ALUICA'!H27/1000000</f>
        <v>2026.70185642</v>
      </c>
      <c r="T82" s="383">
        <f>+'VALORACIÓN ALUICA'!I27/1000000</f>
        <v>2026.70185642</v>
      </c>
      <c r="U82" s="383">
        <f>+'VALORACIÓN ALUICA'!J27/1000000</f>
        <v>2026.70185642</v>
      </c>
    </row>
    <row r="83" spans="13:28">
      <c r="M83" s="1" t="s">
        <v>285</v>
      </c>
      <c r="N83" s="1"/>
      <c r="O83" s="280"/>
      <c r="P83" s="383">
        <f>+'VALORACIÓN ALUICA'!E28/1000000</f>
        <v>252.99953443999999</v>
      </c>
      <c r="Q83" s="383">
        <f>+'VALORACIÓN ALUICA'!F28/1000000</f>
        <v>252.99953443999999</v>
      </c>
      <c r="R83" s="383">
        <f>+'VALORACIÓN ALUICA'!G28/1000000</f>
        <v>252.99953443999999</v>
      </c>
      <c r="S83" s="383">
        <f>+'VALORACIÓN ALUICA'!H28/1000000</f>
        <v>252.99953443999999</v>
      </c>
      <c r="T83" s="383">
        <f>+'VALORACIÓN ALUICA'!I28/1000000</f>
        <v>252.99953443999999</v>
      </c>
      <c r="U83" s="383">
        <f>+'VALORACIÓN ALUICA'!J28/1000000</f>
        <v>252.99953443999999</v>
      </c>
    </row>
    <row r="84" spans="13:28">
      <c r="M84" s="1" t="s">
        <v>172</v>
      </c>
      <c r="N84" s="1"/>
      <c r="O84" s="280"/>
      <c r="P84" s="382">
        <f>+'VALORACIÓN ALUICA'!E29</f>
        <v>7.1130965814461114E-2</v>
      </c>
      <c r="Q84" s="382">
        <f>+'VALORACIÓN ALUICA'!F29</f>
        <v>7.1130965814461114E-2</v>
      </c>
      <c r="R84" s="382">
        <f>+'VALORACIÓN ALUICA'!G29</f>
        <v>7.1130965814461114E-2</v>
      </c>
      <c r="S84" s="382">
        <f>+'VALORACIÓN ALUICA'!H29</f>
        <v>7.1130965814461114E-2</v>
      </c>
      <c r="T84" s="382">
        <f>+'VALORACIÓN ALUICA'!I29</f>
        <v>7.1130965814461114E-2</v>
      </c>
      <c r="U84" s="382">
        <f>+'VALORACIÓN ALUICA'!J29</f>
        <v>7.1130965814461114E-2</v>
      </c>
    </row>
    <row r="85" spans="13:28">
      <c r="M85" s="1" t="s">
        <v>137</v>
      </c>
      <c r="N85" s="1"/>
      <c r="O85" s="384">
        <f>+'VALORACIÓN ALUICA'!D30</f>
        <v>0.181530930298581</v>
      </c>
      <c r="P85" s="384">
        <f>+'VALORACIÓN ALUICA'!E30</f>
        <v>0.181530930298581</v>
      </c>
      <c r="Q85" s="384">
        <f>+'VALORACIÓN ALUICA'!F30</f>
        <v>0.181530930298581</v>
      </c>
      <c r="R85" s="384">
        <f>+'VALORACIÓN ALUICA'!G30</f>
        <v>0.181530930298581</v>
      </c>
      <c r="S85" s="384">
        <f>+'VALORACIÓN ALUICA'!H30</f>
        <v>0.181530930298581</v>
      </c>
      <c r="T85" s="384">
        <f>+'VALORACIÓN ALUICA'!I30</f>
        <v>0.181530930298581</v>
      </c>
      <c r="U85" s="384">
        <f>+'VALORACIÓN ALUICA'!J30</f>
        <v>0.181530930298581</v>
      </c>
    </row>
    <row r="86" spans="13:28">
      <c r="M86" s="1"/>
      <c r="N86" s="1"/>
      <c r="O86" s="280"/>
      <c r="P86" s="280"/>
      <c r="Q86" s="283"/>
      <c r="R86" s="281"/>
      <c r="S86" s="281"/>
      <c r="T86" s="281"/>
      <c r="U86" s="281"/>
    </row>
    <row r="87" spans="13:28">
      <c r="W87" s="385" t="s">
        <v>279</v>
      </c>
      <c r="X87" s="354">
        <f>+'VALORACIÓN ALUICA'!F33</f>
        <v>2023</v>
      </c>
      <c r="Y87" s="354">
        <f>+'VALORACIÓN ALUICA'!G33</f>
        <v>2024</v>
      </c>
      <c r="Z87" s="354">
        <f>+'VALORACIÓN ALUICA'!H33</f>
        <v>2025</v>
      </c>
      <c r="AA87" s="354">
        <f>+'VALORACIÓN ALUICA'!I33</f>
        <v>2026</v>
      </c>
      <c r="AB87" s="354">
        <f>+'VALORACIÓN ALUICA'!J33</f>
        <v>2027</v>
      </c>
    </row>
    <row r="88" spans="13:28">
      <c r="W88" s="386" t="s">
        <v>11</v>
      </c>
      <c r="X88" s="365">
        <f>+'VALORACIÓN ALUICA'!F34/1000000</f>
        <v>76691.185832335497</v>
      </c>
      <c r="Y88" s="365">
        <f>+'VALORACIÓN ALUICA'!G34/1000000</f>
        <v>72856.626540718717</v>
      </c>
      <c r="Z88" s="365">
        <f>+'VALORACIÓN ALUICA'!H34/1000000</f>
        <v>80142.289194790603</v>
      </c>
      <c r="AA88" s="365">
        <f>+'VALORACIÓN ALUICA'!I34/1000000</f>
        <v>92163.632574009185</v>
      </c>
      <c r="AB88" s="365">
        <f>+'VALORACIÓN ALUICA'!J34/1000000</f>
        <v>96771.814202709662</v>
      </c>
    </row>
    <row r="89" spans="13:28">
      <c r="W89" s="387" t="s">
        <v>12</v>
      </c>
      <c r="X89" s="366">
        <f>+'VALORACIÓN ALUICA'!F35/1000000</f>
        <v>-59558.191863361993</v>
      </c>
      <c r="Y89" s="366">
        <f>+'VALORACIÓN ALUICA'!G35/1000000</f>
        <v>-55371.03617094623</v>
      </c>
      <c r="Z89" s="366">
        <f>+'VALORACIÓN ALUICA'!H35/1000000</f>
        <v>-60106.716896092956</v>
      </c>
      <c r="AA89" s="366">
        <f>+'VALORACIÓN ALUICA'!I35/1000000</f>
        <v>-68201.088104766794</v>
      </c>
      <c r="AB89" s="366">
        <f>+'VALORACIÓN ALUICA'!J35/1000000</f>
        <v>-70643.424367978048</v>
      </c>
    </row>
    <row r="90" spans="13:28">
      <c r="W90" s="388" t="s">
        <v>13</v>
      </c>
      <c r="X90" s="367">
        <f>+'VALORACIÓN ALUICA'!F36/1000000</f>
        <v>17132.993968973504</v>
      </c>
      <c r="Y90" s="367">
        <f>+'VALORACIÓN ALUICA'!G36/1000000</f>
        <v>17485.59036977249</v>
      </c>
      <c r="Z90" s="367">
        <f>+'VALORACIÓN ALUICA'!H36/1000000</f>
        <v>20035.572298697647</v>
      </c>
      <c r="AA90" s="367">
        <f>+'VALORACIÓN ALUICA'!I36/1000000</f>
        <v>23962.544469242384</v>
      </c>
      <c r="AB90" s="367">
        <f>+'VALORACIÓN ALUICA'!J36/1000000</f>
        <v>26128.389834731614</v>
      </c>
    </row>
    <row r="91" spans="13:28">
      <c r="W91" s="387" t="s">
        <v>15</v>
      </c>
      <c r="X91" s="368">
        <f>+'VALORACIÓN ALUICA'!F37/1000000</f>
        <v>352.77945482874327</v>
      </c>
      <c r="Y91" s="368">
        <f>+'VALORACIÓN ALUICA'!G37/1000000</f>
        <v>335.14048208730605</v>
      </c>
      <c r="Z91" s="368">
        <f>+'VALORACIÓN ALUICA'!H37/1000000</f>
        <v>368.6545302960368</v>
      </c>
      <c r="AA91" s="368">
        <f>+'VALORACIÓN ALUICA'!I37/1000000</f>
        <v>423.95270984044225</v>
      </c>
      <c r="AB91" s="368">
        <f>+'VALORACIÓN ALUICA'!J37/1000000</f>
        <v>445.15034533246438</v>
      </c>
    </row>
    <row r="92" spans="13:28">
      <c r="W92" s="387" t="s">
        <v>16</v>
      </c>
      <c r="X92" s="368">
        <f>+'VALORACIÓN ALUICA'!F38/1000000</f>
        <v>-2492.463539550904</v>
      </c>
      <c r="Y92" s="368">
        <f>+'VALORACIÓN ALUICA'!G38/1000000</f>
        <v>-2367.8403625733586</v>
      </c>
      <c r="Z92" s="368">
        <f>+'VALORACIÓN ALUICA'!H38/1000000</f>
        <v>-2604.6243988306946</v>
      </c>
      <c r="AA92" s="368">
        <f>+'VALORACIÓN ALUICA'!I38/1000000</f>
        <v>-2995.3180586552985</v>
      </c>
      <c r="AB92" s="368">
        <f>+'VALORACIÓN ALUICA'!J38/1000000</f>
        <v>-3145.0839615880636</v>
      </c>
    </row>
    <row r="93" spans="13:28">
      <c r="W93" s="387" t="s">
        <v>17</v>
      </c>
      <c r="X93" s="368">
        <f>+'VALORACIÓN ALUICA'!F39/1000000</f>
        <v>-1679.5369697281474</v>
      </c>
      <c r="Y93" s="368">
        <f>+'VALORACIÓN ALUICA'!G39/1000000</f>
        <v>-1595.56012124174</v>
      </c>
      <c r="Z93" s="368">
        <f>+'VALORACIÓN ALUICA'!H39/1000000</f>
        <v>-1755.116133365914</v>
      </c>
      <c r="AA93" s="368">
        <f>+'VALORACIÓN ALUICA'!I39/1000000</f>
        <v>-2018.3835533708011</v>
      </c>
      <c r="AB93" s="368">
        <f>+'VALORACIÓN ALUICA'!J39/1000000</f>
        <v>-2119.3027310393413</v>
      </c>
    </row>
    <row r="94" spans="13:28">
      <c r="W94" s="387" t="s">
        <v>18</v>
      </c>
      <c r="X94" s="368">
        <f>+'VALORACIÓN ALUICA'!F40/1000000</f>
        <v>0</v>
      </c>
      <c r="Y94" s="368">
        <f>+'VALORACIÓN ALUICA'!G40/1000000</f>
        <v>0</v>
      </c>
      <c r="Z94" s="368">
        <f>+'VALORACIÓN ALUICA'!H40/1000000</f>
        <v>0</v>
      </c>
      <c r="AA94" s="368">
        <f>+'VALORACIÓN ALUICA'!I40/1000000</f>
        <v>0</v>
      </c>
      <c r="AB94" s="368">
        <f>+'VALORACIÓN ALUICA'!J40/1000000</f>
        <v>0</v>
      </c>
    </row>
    <row r="95" spans="13:28">
      <c r="W95" s="387" t="s">
        <v>19</v>
      </c>
      <c r="X95" s="368">
        <f>+'VALORACIÓN ALUICA'!F41/1000000</f>
        <v>-536.83830082634847</v>
      </c>
      <c r="Y95" s="368">
        <f>+'VALORACIÓN ALUICA'!G41/1000000</f>
        <v>-509.99638578503101</v>
      </c>
      <c r="Z95" s="368">
        <f>+'VALORACIÓN ALUICA'!H41/1000000</f>
        <v>-560.99602436353416</v>
      </c>
      <c r="AA95" s="368">
        <f>+'VALORACIÓN ALUICA'!I41/1000000</f>
        <v>-645.14542801806431</v>
      </c>
      <c r="AB95" s="368">
        <f>+'VALORACIÓN ALUICA'!J41/1000000</f>
        <v>-677.40269941896759</v>
      </c>
    </row>
    <row r="96" spans="13:28">
      <c r="W96" s="358" t="s">
        <v>20</v>
      </c>
      <c r="X96" s="367">
        <f>+'VALORACIÓN ALUICA'!F42/1000000</f>
        <v>12776.934613696845</v>
      </c>
      <c r="Y96" s="367">
        <f>+'VALORACIÓN ALUICA'!G42/1000000</f>
        <v>13347.333982259668</v>
      </c>
      <c r="Z96" s="367">
        <f>+'VALORACIÓN ALUICA'!H42/1000000</f>
        <v>15483.490272433541</v>
      </c>
      <c r="AA96" s="367">
        <f>+'VALORACIÓN ALUICA'!I42/1000000</f>
        <v>18727.650139038666</v>
      </c>
      <c r="AB96" s="367">
        <f>+'VALORACIÓN ALUICA'!J42/1000000</f>
        <v>20631.750788017704</v>
      </c>
    </row>
    <row r="97" spans="23:35">
      <c r="W97" s="389" t="s">
        <v>21</v>
      </c>
      <c r="X97" s="366">
        <f>+'VALORACIÓN ALUICA'!F43/1000000</f>
        <v>-4471.9271147938953</v>
      </c>
      <c r="Y97" s="366">
        <f>+'VALORACIÓN ALUICA'!G43/1000000</f>
        <v>-4671.566893790884</v>
      </c>
      <c r="Z97" s="366">
        <f>+'VALORACIÓN ALUICA'!H43/1000000</f>
        <v>-5419.2215953517389</v>
      </c>
      <c r="AA97" s="366">
        <f>+'VALORACIÓN ALUICA'!I43/1000000</f>
        <v>-6554.6775486635324</v>
      </c>
      <c r="AB97" s="366">
        <f>+'VALORACIÓN ALUICA'!J43/1000000</f>
        <v>-7221.1127758061966</v>
      </c>
    </row>
    <row r="98" spans="23:35">
      <c r="W98" s="358" t="s">
        <v>182</v>
      </c>
      <c r="X98" s="367">
        <f>+'VALORACIÓN ALUICA'!F44/1000000</f>
        <v>8305.0074989029508</v>
      </c>
      <c r="Y98" s="367">
        <f>+'VALORACIÓN ALUICA'!G44/1000000</f>
        <v>8675.767088468785</v>
      </c>
      <c r="Z98" s="367">
        <f>+'VALORACIÓN ALUICA'!H44/1000000</f>
        <v>10064.268677081802</v>
      </c>
      <c r="AA98" s="367">
        <f>+'VALORACIÓN ALUICA'!I44/1000000</f>
        <v>12172.972590375133</v>
      </c>
      <c r="AB98" s="367">
        <f>+'VALORACIÓN ALUICA'!J44/1000000</f>
        <v>13410.638012211508</v>
      </c>
    </row>
    <row r="99" spans="23:35">
      <c r="W99" s="240" t="s">
        <v>155</v>
      </c>
      <c r="X99" s="369">
        <f>+'VALORACIÓN ALUICA'!F45/1000000</f>
        <v>6388.4673068484226</v>
      </c>
      <c r="Y99" s="369">
        <f>+'VALORACIÓN ALUICA'!G45/1000000</f>
        <v>6673.6669911298341</v>
      </c>
      <c r="Z99" s="369">
        <f>+'VALORACIÓN ALUICA'!H45/1000000</f>
        <v>3096.6980544867083</v>
      </c>
      <c r="AA99" s="369">
        <f>+'VALORACIÓN ALUICA'!I45/1000000</f>
        <v>9363.8250695193328</v>
      </c>
      <c r="AB99" s="369">
        <f>+'VALORACIÓN ALUICA'!J45/1000000</f>
        <v>10315.875394008852</v>
      </c>
    </row>
    <row r="100" spans="23:35">
      <c r="W100" s="240" t="s">
        <v>183</v>
      </c>
      <c r="X100" s="370">
        <f>+'VALORACIÓN ALUICA'!F46/1000000</f>
        <v>1916.5401920545273</v>
      </c>
      <c r="Y100" s="370">
        <f>+'VALORACIÓN ALUICA'!G46/1000000</f>
        <v>2002.1000973389503</v>
      </c>
      <c r="Z100" s="370">
        <f>+'VALORACIÓN ALUICA'!H46/1000000</f>
        <v>6967.5706225950944</v>
      </c>
      <c r="AA100" s="370">
        <f>+'VALORACIÓN ALUICA'!I46/1000000</f>
        <v>2809.1475208558008</v>
      </c>
      <c r="AB100" s="370">
        <f>+'VALORACIÓN ALUICA'!J46/1000000</f>
        <v>3094.7626182026556</v>
      </c>
    </row>
    <row r="102" spans="23:35">
      <c r="X102">
        <v>1000000</v>
      </c>
      <c r="AD102" s="385" t="s">
        <v>281</v>
      </c>
      <c r="AE102" s="354">
        <f>+'VALORACIÓN ALUICA'!F33</f>
        <v>2023</v>
      </c>
      <c r="AF102" s="354">
        <f>+'VALORACIÓN ALUICA'!G33</f>
        <v>2024</v>
      </c>
      <c r="AG102" s="354">
        <f>+'VALORACIÓN ALUICA'!H33</f>
        <v>2025</v>
      </c>
      <c r="AH102" s="354">
        <f>+'VALORACIÓN ALUICA'!I33</f>
        <v>2026</v>
      </c>
      <c r="AI102" s="354">
        <f>+'VALORACIÓN ALUICA'!J33</f>
        <v>2027</v>
      </c>
    </row>
    <row r="103" spans="23:35">
      <c r="AD103" s="240" t="s">
        <v>41</v>
      </c>
      <c r="AE103" s="247"/>
      <c r="AF103" s="247"/>
      <c r="AG103" s="247"/>
      <c r="AH103" s="247"/>
      <c r="AI103" s="247"/>
    </row>
    <row r="104" spans="23:35">
      <c r="AD104" s="240" t="s">
        <v>42</v>
      </c>
      <c r="AE104" s="247"/>
      <c r="AF104" s="247"/>
      <c r="AG104" s="247"/>
      <c r="AH104" s="247"/>
      <c r="AI104" s="247"/>
    </row>
    <row r="105" spans="23:35">
      <c r="AD105" s="390" t="s">
        <v>145</v>
      </c>
      <c r="AE105" s="296">
        <f ca="1">+'VALORACIÓN ALUICA'!F52/1000000</f>
        <v>2891.9951241439285</v>
      </c>
      <c r="AF105" s="296">
        <f ca="1">+'VALORACIÓN ALUICA'!G52/1000000</f>
        <v>-4666.8886585318678</v>
      </c>
      <c r="AG105" s="296">
        <f ca="1">+'VALORACIÓN ALUICA'!H52/1000000</f>
        <v>-4316.9146598295365</v>
      </c>
      <c r="AH105" s="296">
        <f ca="1">+'VALORACIÓN ALUICA'!I52/1000000</f>
        <v>-3559.2278587357177</v>
      </c>
      <c r="AI105" s="296">
        <f ca="1">+'VALORACIÓN ALUICA'!J52/1000000</f>
        <v>-2739.352768108673</v>
      </c>
    </row>
    <row r="106" spans="23:35">
      <c r="AD106" s="371" t="s">
        <v>43</v>
      </c>
      <c r="AE106" s="351">
        <f>+'VALORACIÓN ALUICA'!F53/1000000</f>
        <v>2020.3281695509997</v>
      </c>
      <c r="AF106" s="351">
        <f>+'VALORACIÓN ALUICA'!G53/1000000</f>
        <v>1919.3117610734496</v>
      </c>
      <c r="AG106" s="351">
        <f>+'VALORACIÓN ALUICA'!H53/1000000</f>
        <v>2111.2429371807948</v>
      </c>
      <c r="AH106" s="351">
        <f>+'VALORACIÓN ALUICA'!I53/1000000</f>
        <v>2427.9293777579142</v>
      </c>
      <c r="AI106" s="351">
        <f>+'VALORACIÓN ALUICA'!J53/1000000</f>
        <v>2549.3258466458101</v>
      </c>
    </row>
    <row r="107" spans="23:35">
      <c r="AD107" s="371" t="s">
        <v>44</v>
      </c>
      <c r="AE107" s="351">
        <f>+'VALORACIÓN ALUICA'!F54/1000000</f>
        <v>2389.0651448440781</v>
      </c>
      <c r="AF107" s="351">
        <f>+'VALORACIÓN ALUICA'!G54/1000000</f>
        <v>2269.6118876018745</v>
      </c>
      <c r="AG107" s="351">
        <f>+'VALORACIÓN ALUICA'!H54/1000000</f>
        <v>2496.5730763620618</v>
      </c>
      <c r="AH107" s="351">
        <f>+'VALORACIÓN ALUICA'!I54/1000000</f>
        <v>2871.0590378163711</v>
      </c>
      <c r="AI107" s="351">
        <f>+'VALORACIÓN ALUICA'!J54/1000000</f>
        <v>3014.6119897071899</v>
      </c>
    </row>
    <row r="108" spans="23:35">
      <c r="AD108" s="391" t="s">
        <v>45</v>
      </c>
      <c r="AE108" s="351">
        <f>+'VALORACIÓN ALUICA'!F55/1000000</f>
        <v>0</v>
      </c>
      <c r="AF108" s="351">
        <f>+'VALORACIÓN ALUICA'!G55/1000000</f>
        <v>0</v>
      </c>
      <c r="AG108" s="351">
        <f>+'VALORACIÓN ALUICA'!H55/1000000</f>
        <v>0</v>
      </c>
      <c r="AH108" s="351">
        <f>+'VALORACIÓN ALUICA'!I55/1000000</f>
        <v>0</v>
      </c>
      <c r="AI108" s="351">
        <f>+'VALORACIÓN ALUICA'!J55/1000000</f>
        <v>0</v>
      </c>
    </row>
    <row r="109" spans="23:35">
      <c r="AD109" s="371" t="s">
        <v>46</v>
      </c>
      <c r="AE109" s="351">
        <f>+'VALORACIÓN ALUICA'!F56/1000000</f>
        <v>6748.8243532455235</v>
      </c>
      <c r="AF109" s="351">
        <f>+'VALORACIÓN ALUICA'!G56/1000000</f>
        <v>6411.3831355832472</v>
      </c>
      <c r="AG109" s="351">
        <f>+'VALORACIÓN ALUICA'!H56/1000000</f>
        <v>7052.5214491415727</v>
      </c>
      <c r="AH109" s="351">
        <f>+'VALORACIÓN ALUICA'!I56/1000000</f>
        <v>8110.3996665128079</v>
      </c>
      <c r="AI109" s="351">
        <f>+'VALORACIÓN ALUICA'!J56/1000000</f>
        <v>8515.9196498384499</v>
      </c>
    </row>
    <row r="110" spans="23:35">
      <c r="AD110" s="371" t="s">
        <v>47</v>
      </c>
      <c r="AE110" s="351">
        <f>+'VALORACIÓN ALUICA'!F57/1000000</f>
        <v>9202.9422998802584</v>
      </c>
      <c r="AF110" s="351">
        <f>+'VALORACIÓN ALUICA'!G57/1000000</f>
        <v>8742.7951848862449</v>
      </c>
      <c r="AG110" s="351">
        <f>+'VALORACIÓN ALUICA'!H57/1000000</f>
        <v>9617.0747033748721</v>
      </c>
      <c r="AH110" s="351">
        <f>+'VALORACIÓN ALUICA'!I57/1000000</f>
        <v>11059.635908881102</v>
      </c>
      <c r="AI110" s="351">
        <f>+'VALORACIÓN ALUICA'!J57/1000000</f>
        <v>11612.617704325159</v>
      </c>
    </row>
    <row r="111" spans="23:35">
      <c r="AD111" s="371" t="s">
        <v>48</v>
      </c>
      <c r="AE111" s="351">
        <f>+'VALORACIÓN ALUICA'!F58/1000000</f>
        <v>1445.4941467726967</v>
      </c>
      <c r="AF111" s="351">
        <f>+'VALORACIÓN ALUICA'!G58/1000000</f>
        <v>1373.2194394340622</v>
      </c>
      <c r="AG111" s="351">
        <f>+'VALORACIÓN ALUICA'!H58/1000000</f>
        <v>1510.5413833774685</v>
      </c>
      <c r="AH111" s="351">
        <f>+'VALORACIÓN ALUICA'!I58/1000000</f>
        <v>1737.1225908840888</v>
      </c>
      <c r="AI111" s="351">
        <f>+'VALORACIÓN ALUICA'!J58/1000000</f>
        <v>1823.9787204282934</v>
      </c>
    </row>
    <row r="112" spans="23:35">
      <c r="AD112" s="392" t="s">
        <v>49</v>
      </c>
      <c r="AE112" s="373">
        <f ca="1">+'VALORACIÓN ALUICA'!F59/1000000</f>
        <v>24698.649238437483</v>
      </c>
      <c r="AF112" s="373">
        <f ca="1">+'VALORACIÓN ALUICA'!G59/1000000</f>
        <v>16049.432750047012</v>
      </c>
      <c r="AG112" s="373">
        <f ca="1">+'VALORACIÓN ALUICA'!H59/1000000</f>
        <v>18471.038889607236</v>
      </c>
      <c r="AH112" s="373">
        <f ca="1">+'VALORACIÓN ALUICA'!I59/1000000</f>
        <v>22646.918723116567</v>
      </c>
      <c r="AI112" s="373">
        <f ca="1">+'VALORACIÓN ALUICA'!J59/1000000</f>
        <v>24777.101142836233</v>
      </c>
    </row>
    <row r="113" spans="30:35">
      <c r="AD113" s="371" t="s">
        <v>14</v>
      </c>
      <c r="AE113" s="375"/>
      <c r="AF113" s="375"/>
      <c r="AG113" s="375"/>
      <c r="AH113" s="375"/>
      <c r="AI113" s="375"/>
    </row>
    <row r="114" spans="30:35">
      <c r="AD114" s="240" t="s">
        <v>50</v>
      </c>
      <c r="AE114" s="375"/>
      <c r="AF114" s="375"/>
      <c r="AG114" s="375"/>
      <c r="AH114" s="375"/>
      <c r="AI114" s="375"/>
    </row>
    <row r="115" spans="30:35">
      <c r="AD115" s="371" t="s">
        <v>51</v>
      </c>
      <c r="AE115" s="351">
        <f>+'VALORACIÓN ALUICA'!F62/1000000</f>
        <v>9975.7928867840001</v>
      </c>
      <c r="AF115" s="351">
        <f>+'VALORACIÓN ALUICA'!G62/1000000</f>
        <v>20085.526608538599</v>
      </c>
      <c r="AG115" s="351">
        <f>+'VALORACIÓN ALUICA'!H62/1000000</f>
        <v>25531.250278111671</v>
      </c>
      <c r="AH115" s="351">
        <f>+'VALORACIÓN ALUICA'!I62/1000000</f>
        <v>25696.562780892789</v>
      </c>
      <c r="AI115" s="351">
        <f>+'VALORACIÓN ALUICA'!J62/1000000</f>
        <v>27197.459664319573</v>
      </c>
    </row>
    <row r="116" spans="30:35">
      <c r="AD116" s="371" t="s">
        <v>52</v>
      </c>
      <c r="AE116" s="351">
        <f>+'VALORACIÓN ALUICA'!F63/1000000</f>
        <v>1252.3827199629661</v>
      </c>
      <c r="AF116" s="351">
        <f>+'VALORACIÓN ALUICA'!G63/1000000</f>
        <v>1266.1589298825588</v>
      </c>
      <c r="AG116" s="351">
        <f>+'VALORACIÓN ALUICA'!H63/1000000</f>
        <v>1304.1436977790356</v>
      </c>
      <c r="AH116" s="351">
        <f>+'VALORACIÓN ALUICA'!I63/1000000</f>
        <v>1343.268008712407</v>
      </c>
      <c r="AI116" s="351">
        <f>+'VALORACIÓN ALUICA'!J63/1000000</f>
        <v>1383.5660489737788</v>
      </c>
    </row>
    <row r="117" spans="30:35">
      <c r="AD117" s="371" t="s">
        <v>53</v>
      </c>
      <c r="AE117" s="351">
        <f>+'VALORACIÓN ALUICA'!F64/1000000</f>
        <v>0</v>
      </c>
      <c r="AF117" s="351">
        <f>+'VALORACIÓN ALUICA'!G64/1000000</f>
        <v>0</v>
      </c>
      <c r="AG117" s="351">
        <f>+'VALORACIÓN ALUICA'!H64/1000000</f>
        <v>0</v>
      </c>
      <c r="AH117" s="351">
        <f>+'VALORACIÓN ALUICA'!I64/1000000</f>
        <v>0</v>
      </c>
      <c r="AI117" s="351">
        <f>+'VALORACIÓN ALUICA'!J64/1000000</f>
        <v>0</v>
      </c>
    </row>
    <row r="118" spans="30:35">
      <c r="AD118" s="371" t="s">
        <v>48</v>
      </c>
      <c r="AE118" s="351">
        <f>+'VALORACIÓN ALUICA'!F65/1000000</f>
        <v>1270.5189980530333</v>
      </c>
      <c r="AF118" s="351">
        <f>+'VALORACIÓN ALUICA'!G65/1000000</f>
        <v>1284.4947070316168</v>
      </c>
      <c r="AG118" s="351">
        <f>+'VALORACIÓN ALUICA'!H65/1000000</f>
        <v>1323.0295482425654</v>
      </c>
      <c r="AH118" s="351">
        <f>+'VALORACIÓN ALUICA'!I65/1000000</f>
        <v>1362.7204346898427</v>
      </c>
      <c r="AI118" s="351">
        <f>+'VALORACIÓN ALUICA'!J65/1000000</f>
        <v>1403.6020477305376</v>
      </c>
    </row>
    <row r="119" spans="30:35">
      <c r="AD119" s="392" t="s">
        <v>55</v>
      </c>
      <c r="AE119" s="373">
        <f>+'VALORACIÓN ALUICA'!F66/1000000</f>
        <v>12498.694604800001</v>
      </c>
      <c r="AF119" s="373">
        <f>+'VALORACIÓN ALUICA'!G66/1000000</f>
        <v>22636.180245452775</v>
      </c>
      <c r="AG119" s="373">
        <f>+'VALORACIÓN ALUICA'!H66/1000000</f>
        <v>28158.423524133275</v>
      </c>
      <c r="AH119" s="373">
        <f>+'VALORACIÓN ALUICA'!I66/1000000</f>
        <v>28402.551224295035</v>
      </c>
      <c r="AI119" s="373">
        <f>+'VALORACIÓN ALUICA'!J66/1000000</f>
        <v>29984.627761023887</v>
      </c>
    </row>
    <row r="120" spans="30:35">
      <c r="AD120" s="392" t="s">
        <v>56</v>
      </c>
      <c r="AE120" s="373">
        <f ca="1">+'VALORACIÓN ALUICA'!F67/1000000</f>
        <v>37197.34384323749</v>
      </c>
      <c r="AF120" s="373">
        <f ca="1">+'VALORACIÓN ALUICA'!G67/1000000</f>
        <v>38685.612995499789</v>
      </c>
      <c r="AG120" s="373">
        <f ca="1">+'VALORACIÓN ALUICA'!H67/1000000</f>
        <v>46629.462413740512</v>
      </c>
      <c r="AH120" s="373">
        <f ca="1">+'VALORACIÓN ALUICA'!I67/1000000</f>
        <v>51049.469947411606</v>
      </c>
      <c r="AI120" s="373">
        <f ca="1">+'VALORACIÓN ALUICA'!J67/1000000</f>
        <v>54761.728903860123</v>
      </c>
    </row>
    <row r="121" spans="30:35">
      <c r="AD121" s="371" t="s">
        <v>14</v>
      </c>
      <c r="AE121" s="376"/>
      <c r="AF121" s="376"/>
      <c r="AG121" s="376"/>
      <c r="AH121" s="376"/>
      <c r="AI121" s="376"/>
    </row>
    <row r="122" spans="30:35">
      <c r="AD122" s="240" t="s">
        <v>57</v>
      </c>
      <c r="AE122" s="376"/>
      <c r="AF122" s="376"/>
      <c r="AG122" s="376"/>
      <c r="AH122" s="376"/>
      <c r="AI122" s="376"/>
    </row>
    <row r="123" spans="30:35">
      <c r="AD123" s="240" t="s">
        <v>58</v>
      </c>
      <c r="AE123" s="376"/>
      <c r="AF123" s="376"/>
      <c r="AG123" s="376"/>
      <c r="AH123" s="376"/>
      <c r="AI123" s="376"/>
    </row>
    <row r="124" spans="30:35">
      <c r="AD124" s="390" t="s">
        <v>146</v>
      </c>
      <c r="AE124" s="378">
        <f>+'VALORACIÓN ALUICA'!F71/1000000</f>
        <v>0</v>
      </c>
      <c r="AF124" s="378">
        <f>+'VALORACIÓN ALUICA'!G71/1000000</f>
        <v>0</v>
      </c>
      <c r="AG124" s="378">
        <f>+'VALORACIÓN ALUICA'!H71/1000000</f>
        <v>0</v>
      </c>
      <c r="AH124" s="378">
        <f>+'VALORACIÓN ALUICA'!I71/1000000</f>
        <v>0</v>
      </c>
      <c r="AI124" s="378">
        <f>+'VALORACIÓN ALUICA'!J71/1000000</f>
        <v>0</v>
      </c>
    </row>
    <row r="125" spans="30:35">
      <c r="AD125" s="371" t="s">
        <v>59</v>
      </c>
      <c r="AE125" s="351">
        <f>+'VALORACIÓN ALUICA'!F72/1000000</f>
        <v>1917.2796458083876</v>
      </c>
      <c r="AF125" s="351">
        <f>+'VALORACIÓN ALUICA'!G72/1000000</f>
        <v>1821.4156635179681</v>
      </c>
      <c r="AG125" s="351">
        <f>+'VALORACIÓN ALUICA'!H72/1000000</f>
        <v>2003.5572298697653</v>
      </c>
      <c r="AH125" s="351">
        <f>+'VALORACIÓN ALUICA'!I72/1000000</f>
        <v>2304.0908143502297</v>
      </c>
      <c r="AI125" s="351">
        <f>+'VALORACIÓN ALUICA'!J72/1000000</f>
        <v>2419.2953550677412</v>
      </c>
    </row>
    <row r="126" spans="30:35">
      <c r="AD126" s="371" t="s">
        <v>60</v>
      </c>
      <c r="AE126" s="351">
        <f>+'VALORACIÓN ALUICA'!F73/1000000</f>
        <v>383.45592916167749</v>
      </c>
      <c r="AF126" s="351">
        <f>+'VALORACIÓN ALUICA'!G73/1000000</f>
        <v>364.28313270359359</v>
      </c>
      <c r="AG126" s="351">
        <f>+'VALORACIÓN ALUICA'!H73/1000000</f>
        <v>400.711445973953</v>
      </c>
      <c r="AH126" s="351">
        <f>+'VALORACIÓN ALUICA'!I73/1000000</f>
        <v>460.81816287004597</v>
      </c>
      <c r="AI126" s="351">
        <f>+'VALORACIÓN ALUICA'!J73/1000000</f>
        <v>483.85907101354832</v>
      </c>
    </row>
    <row r="127" spans="30:35">
      <c r="AD127" s="393" t="s">
        <v>85</v>
      </c>
      <c r="AE127" s="380">
        <f>+'VALORACIÓN ALUICA'!F74/1000000</f>
        <v>3451.1033624550973</v>
      </c>
      <c r="AF127" s="380">
        <f>+'VALORACIÓN ALUICA'!G74/1000000</f>
        <v>3278.5481943323421</v>
      </c>
      <c r="AG127" s="380">
        <f>+'VALORACIÓN ALUICA'!H74/1000000</f>
        <v>3606.4030137655768</v>
      </c>
      <c r="AH127" s="380">
        <f>+'VALORACIÓN ALUICA'!I74/1000000</f>
        <v>4147.3634658304136</v>
      </c>
      <c r="AI127" s="380">
        <f>+'VALORACIÓN ALUICA'!J74/1000000</f>
        <v>4354.7316391219338</v>
      </c>
    </row>
    <row r="128" spans="30:35">
      <c r="AD128" s="371" t="s">
        <v>62</v>
      </c>
      <c r="AE128" s="351">
        <f>+'VALORACIÓN ALUICA'!F75/1000000</f>
        <v>230.07355749700648</v>
      </c>
      <c r="AF128" s="351">
        <f>+'VALORACIÓN ALUICA'!G75/1000000</f>
        <v>218.56987962215618</v>
      </c>
      <c r="AG128" s="351">
        <f>+'VALORACIÓN ALUICA'!H75/1000000</f>
        <v>240.42686758437179</v>
      </c>
      <c r="AH128" s="351">
        <f>+'VALORACIÓN ALUICA'!I75/1000000</f>
        <v>276.49089772202751</v>
      </c>
      <c r="AI128" s="351">
        <f>+'VALORACIÓN ALUICA'!J75/1000000</f>
        <v>290.31544260812899</v>
      </c>
    </row>
    <row r="129" spans="30:42">
      <c r="AD129" s="371" t="s">
        <v>63</v>
      </c>
      <c r="AE129" s="351">
        <f>+'VALORACIÓN ALUICA'!F76/1000000</f>
        <v>4294.7064066107878</v>
      </c>
      <c r="AF129" s="351">
        <f>+'VALORACIÓN ALUICA'!G76/1000000</f>
        <v>4079.9710862802481</v>
      </c>
      <c r="AG129" s="351">
        <f>+'VALORACIÓN ALUICA'!H76/1000000</f>
        <v>4487.9681949082733</v>
      </c>
      <c r="AH129" s="351">
        <f>+'VALORACIÓN ALUICA'!I76/1000000</f>
        <v>5161.1634241445145</v>
      </c>
      <c r="AI129" s="351">
        <f>+'VALORACIÓN ALUICA'!J76/1000000</f>
        <v>5419.2215953517407</v>
      </c>
    </row>
    <row r="130" spans="30:42">
      <c r="AD130" s="392" t="s">
        <v>64</v>
      </c>
      <c r="AE130" s="373">
        <f>+'VALORACIÓN ALUICA'!F77/1000000</f>
        <v>10276.618901532956</v>
      </c>
      <c r="AF130" s="373">
        <f>+'VALORACIÓN ALUICA'!G77/1000000</f>
        <v>9762.7879564563082</v>
      </c>
      <c r="AG130" s="373">
        <f>+'VALORACIÓN ALUICA'!H77/1000000</f>
        <v>10739.06675210194</v>
      </c>
      <c r="AH130" s="373">
        <f>+'VALORACIÓN ALUICA'!I77/1000000</f>
        <v>12349.926764917233</v>
      </c>
      <c r="AI130" s="373">
        <f>+'VALORACIÓN ALUICA'!J77/1000000</f>
        <v>12967.423103163093</v>
      </c>
    </row>
    <row r="131" spans="30:42">
      <c r="AD131" s="371" t="s">
        <v>14</v>
      </c>
      <c r="AE131" s="376"/>
      <c r="AF131" s="376"/>
      <c r="AG131" s="376"/>
      <c r="AH131" s="376"/>
      <c r="AI131" s="376"/>
    </row>
    <row r="132" spans="30:42">
      <c r="AD132" s="240" t="s">
        <v>65</v>
      </c>
      <c r="AE132" s="376"/>
      <c r="AF132" s="376"/>
      <c r="AG132" s="376"/>
      <c r="AH132" s="376"/>
      <c r="AI132" s="376"/>
    </row>
    <row r="133" spans="30:42">
      <c r="AD133" s="371" t="s">
        <v>60</v>
      </c>
      <c r="AE133" s="351">
        <f>+'VALORACIÓN ALUICA'!F80/1000000</f>
        <v>236.69016500000001</v>
      </c>
      <c r="AF133" s="351">
        <f>+'VALORACIÓN ALUICA'!G80/1000000</f>
        <v>236.69016500000001</v>
      </c>
      <c r="AG133" s="351">
        <f>+'VALORACIÓN ALUICA'!H80/1000000</f>
        <v>236.69016500000001</v>
      </c>
      <c r="AH133" s="351">
        <f>+'VALORACIÓN ALUICA'!I80/1000000</f>
        <v>236.69016500000001</v>
      </c>
      <c r="AI133" s="351">
        <f>+'VALORACIÓN ALUICA'!J80/1000000</f>
        <v>236.69016500000001</v>
      </c>
    </row>
    <row r="134" spans="30:42">
      <c r="AD134" s="371" t="s">
        <v>66</v>
      </c>
      <c r="AE134" s="351">
        <f>+'VALORACIÓN ALUICA'!F81/1000000</f>
        <v>217.88494643999999</v>
      </c>
      <c r="AF134" s="351">
        <f>+'VALORACIÓN ALUICA'!G81/1000000</f>
        <v>217.88494643999999</v>
      </c>
      <c r="AG134" s="351">
        <f>+'VALORACIÓN ALUICA'!H81/1000000</f>
        <v>217.88494643999999</v>
      </c>
      <c r="AH134" s="351">
        <f>+'VALORACIÓN ALUICA'!I81/1000000</f>
        <v>217.88494643999999</v>
      </c>
      <c r="AI134" s="351">
        <f>+'VALORACIÓN ALUICA'!J81/1000000</f>
        <v>217.88494643999999</v>
      </c>
    </row>
    <row r="135" spans="30:42">
      <c r="AD135" s="371" t="s">
        <v>67</v>
      </c>
      <c r="AE135" s="351">
        <f>+'VALORACIÓN ALUICA'!F82/1000000</f>
        <v>1790.01169142</v>
      </c>
      <c r="AF135" s="351">
        <f>+'VALORACIÓN ALUICA'!G82/1000000</f>
        <v>1790.01169142</v>
      </c>
      <c r="AG135" s="351">
        <f>+'VALORACIÓN ALUICA'!H82/1000000</f>
        <v>1790.01169142</v>
      </c>
      <c r="AH135" s="351">
        <f>+'VALORACIÓN ALUICA'!I82/1000000</f>
        <v>1790.01169142</v>
      </c>
      <c r="AI135" s="351">
        <f>+'VALORACIÓN ALUICA'!J82/1000000</f>
        <v>1790.01169142</v>
      </c>
    </row>
    <row r="136" spans="30:42">
      <c r="AD136" s="371" t="s">
        <v>63</v>
      </c>
      <c r="AE136" s="351">
        <f>+'VALORACIÓN ALUICA'!F83/1000000</f>
        <v>35.114587999999998</v>
      </c>
      <c r="AF136" s="351">
        <f>+'VALORACIÓN ALUICA'!G83/1000000</f>
        <v>35.114587999999998</v>
      </c>
      <c r="AG136" s="351">
        <f>+'VALORACIÓN ALUICA'!H83/1000000</f>
        <v>35.114587999999998</v>
      </c>
      <c r="AH136" s="351">
        <f>+'VALORACIÓN ALUICA'!I83/1000000</f>
        <v>35.114587999999998</v>
      </c>
      <c r="AI136" s="351">
        <f>+'VALORACIÓN ALUICA'!J83/1000000</f>
        <v>35.114587999999998</v>
      </c>
    </row>
    <row r="137" spans="30:42">
      <c r="AD137" s="392" t="s">
        <v>68</v>
      </c>
      <c r="AE137" s="373">
        <f>+'VALORACIÓN ALUICA'!F84/1000000</f>
        <v>2279.7013908600002</v>
      </c>
      <c r="AF137" s="373">
        <f>+'VALORACIÓN ALUICA'!G84/1000000</f>
        <v>2279.7013908600002</v>
      </c>
      <c r="AG137" s="373">
        <f>+'VALORACIÓN ALUICA'!H84/1000000</f>
        <v>2279.7013908600002</v>
      </c>
      <c r="AH137" s="373">
        <f>+'VALORACIÓN ALUICA'!I84/1000000</f>
        <v>2279.7013908600002</v>
      </c>
      <c r="AI137" s="373">
        <f>+'VALORACIÓN ALUICA'!J84/1000000</f>
        <v>2279.7013908600002</v>
      </c>
    </row>
    <row r="138" spans="30:42">
      <c r="AD138" s="392" t="s">
        <v>69</v>
      </c>
      <c r="AE138" s="373">
        <f>+'VALORACIÓN ALUICA'!F85/1000000</f>
        <v>12556.320292392958</v>
      </c>
      <c r="AF138" s="373">
        <f>+'VALORACIÓN ALUICA'!G85/1000000</f>
        <v>12042.489347316308</v>
      </c>
      <c r="AG138" s="373">
        <f>+'VALORACIÓN ALUICA'!H85/1000000</f>
        <v>13018.768142961941</v>
      </c>
      <c r="AH138" s="373">
        <f>+'VALORACIÓN ALUICA'!I85/1000000</f>
        <v>14629.628155777233</v>
      </c>
      <c r="AI138" s="373">
        <f>+'VALORACIÓN ALUICA'!J85/1000000</f>
        <v>15247.124494023094</v>
      </c>
    </row>
    <row r="139" spans="30:42">
      <c r="AD139" s="371" t="s">
        <v>14</v>
      </c>
      <c r="AE139" s="376"/>
      <c r="AF139" s="376"/>
      <c r="AG139" s="376"/>
      <c r="AH139" s="376"/>
      <c r="AI139" s="376"/>
    </row>
    <row r="140" spans="30:42">
      <c r="AD140" s="392" t="s">
        <v>70</v>
      </c>
      <c r="AE140" s="373">
        <f>+'VALORACIÓN ALUICA'!F87/1000000</f>
        <v>24641.023550844529</v>
      </c>
      <c r="AF140" s="373">
        <f>+'VALORACIÓN ALUICA'!G87/1000000</f>
        <v>26643.123648183479</v>
      </c>
      <c r="AG140" s="373">
        <f>+'VALORACIÓN ALUICA'!H87/1000000</f>
        <v>33610.694270778571</v>
      </c>
      <c r="AH140" s="373">
        <f>+'VALORACIÓN ALUICA'!I87/1000000</f>
        <v>36419.841791634368</v>
      </c>
      <c r="AI140" s="373">
        <f>+'VALORACIÓN ALUICA'!J87/1000000</f>
        <v>39514.604409837018</v>
      </c>
    </row>
    <row r="141" spans="30:42">
      <c r="AD141" s="392" t="s">
        <v>78</v>
      </c>
      <c r="AE141" s="373">
        <f>+'VALORACIÓN ALUICA'!F88/1000000</f>
        <v>37197.34384323749</v>
      </c>
      <c r="AF141" s="373">
        <f>+'VALORACIÓN ALUICA'!G88/1000000</f>
        <v>38685.612995499789</v>
      </c>
      <c r="AG141" s="373">
        <f>+'VALORACIÓN ALUICA'!H88/1000000</f>
        <v>46629.462413740512</v>
      </c>
      <c r="AH141" s="373">
        <f>+'VALORACIÓN ALUICA'!I88/1000000</f>
        <v>51049.469947411606</v>
      </c>
      <c r="AI141" s="373">
        <f>+'VALORACIÓN ALUICA'!J88/1000000</f>
        <v>54761.728903860116</v>
      </c>
    </row>
    <row r="143" spans="30:42">
      <c r="AK143" s="303" t="s">
        <v>176</v>
      </c>
      <c r="AL143" s="354">
        <f>+'VALORACIÓN ALUICA'!N16</f>
        <v>2023</v>
      </c>
      <c r="AM143" s="354">
        <f>+'VALORACIÓN ALUICA'!O16</f>
        <v>2024</v>
      </c>
      <c r="AN143" s="354">
        <f>+'VALORACIÓN ALUICA'!P16</f>
        <v>2025</v>
      </c>
      <c r="AO143" s="354">
        <f>+'VALORACIÓN ALUICA'!Q16</f>
        <v>2026</v>
      </c>
      <c r="AP143" s="354">
        <f>+'VALORACIÓN ALUICA'!R16</f>
        <v>2027</v>
      </c>
    </row>
    <row r="144" spans="30:42">
      <c r="AK144" s="371" t="s">
        <v>178</v>
      </c>
      <c r="AL144" s="410">
        <f>+'VALORACIÓN ALUICA'!N5</f>
        <v>-0.15</v>
      </c>
      <c r="AM144" s="410">
        <f>+'VALORACIÓN ALUICA'!O5</f>
        <v>-0.05</v>
      </c>
      <c r="AN144" s="410">
        <f>+'VALORACIÓN ALUICA'!P5</f>
        <v>0.01</v>
      </c>
      <c r="AO144" s="410">
        <f>+'VALORACIÓN ALUICA'!Q5</f>
        <v>0.03</v>
      </c>
      <c r="AP144" s="410">
        <f>+'VALORACIÓN ALUICA'!R5</f>
        <v>0.04</v>
      </c>
    </row>
    <row r="145" spans="37:42">
      <c r="AK145" s="411" t="s">
        <v>179</v>
      </c>
      <c r="AL145" s="412">
        <f>+'VALORACIÓN ALUICA'!N6</f>
        <v>0.77659761310210862</v>
      </c>
      <c r="AM145" s="412">
        <f>+'VALORACIÓN ALUICA'!O6</f>
        <v>0.77659761310210862</v>
      </c>
      <c r="AN145" s="412">
        <f>+'VALORACIÓN ALUICA'!P6</f>
        <v>0.76</v>
      </c>
      <c r="AO145" s="412">
        <f>+'VALORACIÓN ALUICA'!Q6</f>
        <v>0.75</v>
      </c>
      <c r="AP145" s="412">
        <f>+'VALORACIÓN ALUICA'!R6</f>
        <v>0.74</v>
      </c>
    </row>
    <row r="146" spans="37:42">
      <c r="AK146" s="371" t="s">
        <v>155</v>
      </c>
      <c r="AL146" s="351">
        <f>+'VALORACIÓN ALUICA'!N7/1000000</f>
        <v>6388.4673068484226</v>
      </c>
      <c r="AM146" s="351">
        <f>+'VALORACIÓN ALUICA'!O7/1000000</f>
        <v>6673.6669911298341</v>
      </c>
      <c r="AN146" s="351">
        <f>+'VALORACIÓN ALUICA'!P7/1000000</f>
        <v>3096.6980544867083</v>
      </c>
      <c r="AO146" s="351">
        <f>+'VALORACIÓN ALUICA'!Q7/1000000</f>
        <v>9363.8250695193328</v>
      </c>
      <c r="AP146" s="351">
        <f>+'VALORACIÓN ALUICA'!R7/1000000</f>
        <v>10315.875394008852</v>
      </c>
    </row>
    <row r="147" spans="37:42">
      <c r="AK147" s="411" t="s">
        <v>177</v>
      </c>
      <c r="AL147" s="412">
        <f>+'VALORACIÓN ALUICA'!N8</f>
        <v>0.12</v>
      </c>
      <c r="AM147" s="412">
        <f>+'VALORACIÓN ALUICA'!O8</f>
        <v>0.12</v>
      </c>
      <c r="AN147" s="412">
        <f>+'VALORACIÓN ALUICA'!P8</f>
        <v>0.12</v>
      </c>
      <c r="AO147" s="412">
        <f>+'VALORACIÓN ALUICA'!Q8</f>
        <v>0.12</v>
      </c>
      <c r="AP147" s="412">
        <f>+'VALORACIÓN ALUICA'!R8</f>
        <v>0.12</v>
      </c>
    </row>
    <row r="148" spans="37:42">
      <c r="AK148" s="371" t="s">
        <v>160</v>
      </c>
      <c r="AL148" s="410">
        <f>+'VALORACIÓN ALUICA'!N9</f>
        <v>8.7999999999999995E-2</v>
      </c>
      <c r="AM148" s="410">
        <f>+'VALORACIÓN ALUICA'!O9</f>
        <v>8.7999999999999995E-2</v>
      </c>
      <c r="AN148" s="410">
        <f>+'VALORACIÓN ALUICA'!P9</f>
        <v>8.7999999999999995E-2</v>
      </c>
      <c r="AO148" s="410">
        <f>+'VALORACIÓN ALUICA'!Q9</f>
        <v>8.7999999999999995E-2</v>
      </c>
      <c r="AP148" s="410">
        <f>+'VALORACIÓN ALUICA'!R9</f>
        <v>8.7999999999999995E-2</v>
      </c>
    </row>
    <row r="149" spans="37:42">
      <c r="AK149" s="411" t="s">
        <v>161</v>
      </c>
      <c r="AL149" s="412">
        <f>+'VALORACIÓN ALUICA'!N10</f>
        <v>0.05</v>
      </c>
      <c r="AM149" s="412">
        <f>+'VALORACIÓN ALUICA'!O10</f>
        <v>0.05</v>
      </c>
      <c r="AN149" s="412">
        <f>+'VALORACIÓN ALUICA'!P10</f>
        <v>0.05</v>
      </c>
      <c r="AO149" s="412">
        <f>+'VALORACIÓN ALUICA'!Q10</f>
        <v>0.05</v>
      </c>
      <c r="AP149" s="412">
        <f>+'VALORACIÓN ALUICA'!R10</f>
        <v>0.05</v>
      </c>
    </row>
    <row r="150" spans="37:42">
      <c r="AK150" s="371" t="s">
        <v>162</v>
      </c>
      <c r="AL150" s="351">
        <f>+'VALORACIÓN ALUICA'!N11/1000000</f>
        <v>9975.7928867840001</v>
      </c>
      <c r="AM150" s="351">
        <f>+'VALORACIÓN ALUICA'!O11/1000000</f>
        <v>11085.526608538599</v>
      </c>
      <c r="AN150" s="351">
        <f>+'VALORACIÓN ALUICA'!P11/1000000</f>
        <v>16531.250278111671</v>
      </c>
      <c r="AO150" s="351">
        <f>+'VALORACIÓN ALUICA'!Q11/1000000</f>
        <v>16696.562780892789</v>
      </c>
      <c r="AP150" s="351">
        <f>+'VALORACIÓN ALUICA'!R11/1000000</f>
        <v>18197.459664319573</v>
      </c>
    </row>
    <row r="151" spans="37:42">
      <c r="AK151" s="411" t="s">
        <v>163</v>
      </c>
      <c r="AL151" s="413">
        <f>+'VALORACIÓN ALUICA'!N12/1000000</f>
        <v>2522.9017180159999</v>
      </c>
      <c r="AM151" s="413">
        <f>+'VALORACIÓN ALUICA'!O12/1000000</f>
        <v>2550.6536369141759</v>
      </c>
      <c r="AN151" s="413">
        <f>+'VALORACIÓN ALUICA'!P12/1000000</f>
        <v>2627.1732460216012</v>
      </c>
      <c r="AO151" s="413">
        <f>+'VALORACIÓN ALUICA'!Q12/1000000</f>
        <v>2705.9884434022492</v>
      </c>
      <c r="AP151" s="413">
        <f>+'VALORACIÓN ALUICA'!R12/1000000</f>
        <v>2787.1680967043162</v>
      </c>
    </row>
    <row r="152" spans="37:42">
      <c r="AK152" s="371" t="s">
        <v>164</v>
      </c>
      <c r="AL152" s="410">
        <f>+'VALORACIÓN ALUICA'!N13</f>
        <v>4.4999999999999998E-2</v>
      </c>
      <c r="AM152" s="410">
        <f>+'VALORACIÓN ALUICA'!O13</f>
        <v>4.4999999999999998E-2</v>
      </c>
      <c r="AN152" s="410">
        <f>+'VALORACIÓN ALUICA'!P13</f>
        <v>4.4999999999999998E-2</v>
      </c>
      <c r="AO152" s="410">
        <f>+'VALORACIÓN ALUICA'!Q13</f>
        <v>4.4999999999999998E-2</v>
      </c>
      <c r="AP152" s="410">
        <f>+'VALORACIÓN ALUICA'!R13</f>
        <v>4.4999999999999998E-2</v>
      </c>
    </row>
    <row r="155" spans="37:42">
      <c r="AK155" s="303" t="s">
        <v>176</v>
      </c>
      <c r="AL155" s="354">
        <f t="shared" ref="AL155:AP155" si="3">+AL143</f>
        <v>2023</v>
      </c>
      <c r="AM155" s="354">
        <f t="shared" si="3"/>
        <v>2024</v>
      </c>
      <c r="AN155" s="354">
        <f t="shared" si="3"/>
        <v>2025</v>
      </c>
      <c r="AO155" s="354">
        <f t="shared" si="3"/>
        <v>2026</v>
      </c>
      <c r="AP155" s="354">
        <f t="shared" si="3"/>
        <v>2027</v>
      </c>
    </row>
    <row r="156" spans="37:42">
      <c r="AK156" s="371" t="s">
        <v>178</v>
      </c>
      <c r="AL156" s="410">
        <f>+'VALORACIÓN ALUICA'!N17</f>
        <v>-0.15</v>
      </c>
      <c r="AM156" s="410">
        <f>+'VALORACIÓN ALUICA'!O17</f>
        <v>-0.05</v>
      </c>
      <c r="AN156" s="410">
        <f>+'VALORACIÓN ALUICA'!P17</f>
        <v>0.1</v>
      </c>
      <c r="AO156" s="410">
        <f>+'VALORACIÓN ALUICA'!Q17</f>
        <v>0.15</v>
      </c>
      <c r="AP156" s="410">
        <f>+'VALORACIÓN ALUICA'!R17</f>
        <v>0.05</v>
      </c>
    </row>
    <row r="157" spans="37:42">
      <c r="AK157" s="411" t="s">
        <v>179</v>
      </c>
      <c r="AL157" s="412">
        <f>+'VALORACIÓN ALUICA'!N18</f>
        <v>0.77659761310210862</v>
      </c>
      <c r="AM157" s="412">
        <f>+'VALORACIÓN ALUICA'!O18</f>
        <v>0.76</v>
      </c>
      <c r="AN157" s="412">
        <f>+'VALORACIÓN ALUICA'!P18</f>
        <v>0.75</v>
      </c>
      <c r="AO157" s="412">
        <f>+'VALORACIÓN ALUICA'!Q18</f>
        <v>0.74</v>
      </c>
      <c r="AP157" s="412">
        <f>+'VALORACIÓN ALUICA'!R18</f>
        <v>0.73</v>
      </c>
    </row>
    <row r="158" spans="37:42">
      <c r="AK158" s="371" t="s">
        <v>155</v>
      </c>
      <c r="AL158" s="351">
        <f>+'VALORACIÓN ALUICA'!N19/1000000</f>
        <v>6388.4673068484226</v>
      </c>
      <c r="AM158" s="351">
        <f>+'VALORACIÓN ALUICA'!O19/1000000</f>
        <v>6673.6669911298341</v>
      </c>
      <c r="AN158" s="351">
        <f>+'VALORACIÓN ALUICA'!P19/1000000</f>
        <v>3096.6980544867083</v>
      </c>
      <c r="AO158" s="351">
        <f>+'VALORACIÓN ALUICA'!Q19/1000000</f>
        <v>9363.8250695193328</v>
      </c>
      <c r="AP158" s="351">
        <f>+'VALORACIÓN ALUICA'!R19/1000000</f>
        <v>10315.875394008852</v>
      </c>
    </row>
    <row r="159" spans="37:42">
      <c r="AK159" s="411" t="s">
        <v>177</v>
      </c>
      <c r="AL159" s="412">
        <f>+'VALORACIÓN ALUICA'!N20</f>
        <v>0.12</v>
      </c>
      <c r="AM159" s="412">
        <f>+'VALORACIÓN ALUICA'!O20</f>
        <v>0.12</v>
      </c>
      <c r="AN159" s="412">
        <f>+'VALORACIÓN ALUICA'!P20</f>
        <v>0.12</v>
      </c>
      <c r="AO159" s="412">
        <f>+'VALORACIÓN ALUICA'!Q20</f>
        <v>0.12</v>
      </c>
      <c r="AP159" s="412">
        <f>+'VALORACIÓN ALUICA'!R20</f>
        <v>0.12</v>
      </c>
    </row>
    <row r="160" spans="37:42">
      <c r="AK160" s="371" t="s">
        <v>160</v>
      </c>
      <c r="AL160" s="410">
        <f>+'VALORACIÓN ALUICA'!N21</f>
        <v>8.7999999999999995E-2</v>
      </c>
      <c r="AM160" s="410">
        <f>+'VALORACIÓN ALUICA'!O21</f>
        <v>8.7999999999999995E-2</v>
      </c>
      <c r="AN160" s="410">
        <f>+'VALORACIÓN ALUICA'!P21</f>
        <v>8.7999999999999995E-2</v>
      </c>
      <c r="AO160" s="410">
        <f>+'VALORACIÓN ALUICA'!Q21</f>
        <v>8.7999999999999995E-2</v>
      </c>
      <c r="AP160" s="410">
        <f>+'VALORACIÓN ALUICA'!R21</f>
        <v>8.7999999999999995E-2</v>
      </c>
    </row>
    <row r="161" spans="37:42">
      <c r="AK161" s="411" t="s">
        <v>161</v>
      </c>
      <c r="AL161" s="412">
        <f>+'VALORACIÓN ALUICA'!N22</f>
        <v>0.05</v>
      </c>
      <c r="AM161" s="412">
        <f>+'VALORACIÓN ALUICA'!O22</f>
        <v>0.05</v>
      </c>
      <c r="AN161" s="412">
        <f>+'VALORACIÓN ALUICA'!P22</f>
        <v>0.05</v>
      </c>
      <c r="AO161" s="412">
        <f>+'VALORACIÓN ALUICA'!Q22</f>
        <v>0.05</v>
      </c>
      <c r="AP161" s="412">
        <f>+'VALORACIÓN ALUICA'!R22</f>
        <v>0.05</v>
      </c>
    </row>
    <row r="162" spans="37:42">
      <c r="AK162" s="371" t="s">
        <v>162</v>
      </c>
      <c r="AL162" s="351">
        <f>+'VALORACIÓN ALUICA'!N23/1000000</f>
        <v>9975.7928867840001</v>
      </c>
      <c r="AM162" s="351">
        <f>+'VALORACIÓN ALUICA'!O23/1000000</f>
        <v>20085.526608538599</v>
      </c>
      <c r="AN162" s="351">
        <f>+'VALORACIÓN ALUICA'!P23/1000000</f>
        <v>25531.250278111671</v>
      </c>
      <c r="AO162" s="351">
        <f>+'VALORACIÓN ALUICA'!Q23/1000000</f>
        <v>25696.562780892789</v>
      </c>
      <c r="AP162" s="351">
        <f>+'VALORACIÓN ALUICA'!R23/1000000</f>
        <v>27197.459664319573</v>
      </c>
    </row>
    <row r="163" spans="37:42">
      <c r="AK163" s="411" t="s">
        <v>163</v>
      </c>
      <c r="AL163" s="413">
        <f>+'VALORACIÓN ALUICA'!N24/1000000</f>
        <v>2522.9017180159999</v>
      </c>
      <c r="AM163" s="413">
        <f>+'VALORACIÓN ALUICA'!O24/1000000</f>
        <v>2550.6536369141759</v>
      </c>
      <c r="AN163" s="413">
        <f>+'VALORACIÓN ALUICA'!P24/1000000</f>
        <v>2627.1732460216012</v>
      </c>
      <c r="AO163" s="413">
        <f>+'VALORACIÓN ALUICA'!Q24/1000000</f>
        <v>2705.9884434022492</v>
      </c>
      <c r="AP163" s="413">
        <f>+'VALORACIÓN ALUICA'!R24/1000000</f>
        <v>2787.1680967043162</v>
      </c>
    </row>
    <row r="164" spans="37:42">
      <c r="AK164" s="371" t="s">
        <v>164</v>
      </c>
      <c r="AL164" s="410">
        <f>+'VALORACIÓN ALUICA'!N25</f>
        <v>4.4999999999999998E-2</v>
      </c>
      <c r="AM164" s="410">
        <f>+'VALORACIÓN ALUICA'!O25</f>
        <v>4.4999999999999998E-2</v>
      </c>
      <c r="AN164" s="410">
        <f>+'VALORACIÓN ALUICA'!P25</f>
        <v>4.4999999999999998E-2</v>
      </c>
      <c r="AO164" s="410">
        <f>+'VALORACIÓN ALUICA'!Q25</f>
        <v>4.4999999999999998E-2</v>
      </c>
      <c r="AP164" s="410">
        <f>+'VALORACIÓN ALUICA'!R25</f>
        <v>4.4999999999999998E-2</v>
      </c>
    </row>
  </sheetData>
  <pageMargins left="0.7" right="0.7" top="0.75" bottom="0.75" header="0.3" footer="0.3"/>
  <ignoredErrors>
    <ignoredError sqref="E4:G11 E12:G12"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470AF-E36D-42C1-A972-CCC36426EF09}">
  <dimension ref="B2:Y42"/>
  <sheetViews>
    <sheetView showGridLines="0" tabSelected="1" zoomScale="73" workbookViewId="0">
      <selection activeCell="R22" sqref="R22"/>
    </sheetView>
  </sheetViews>
  <sheetFormatPr baseColWidth="10" defaultColWidth="11.44140625" defaultRowHeight="13.8"/>
  <cols>
    <col min="1" max="1" width="11.44140625" style="396"/>
    <col min="2" max="5" width="8.44140625" style="396" customWidth="1"/>
    <col min="6" max="6" width="4.109375" style="396" customWidth="1"/>
    <col min="7" max="10" width="8.44140625" style="396" customWidth="1"/>
    <col min="11" max="11" width="11.44140625" style="396"/>
    <col min="12" max="14" width="14.88671875" style="396" customWidth="1"/>
    <col min="15" max="15" width="9.44140625" style="396" customWidth="1"/>
    <col min="16" max="16" width="14.21875" style="396" customWidth="1"/>
    <col min="17" max="16384" width="11.44140625" style="396"/>
  </cols>
  <sheetData>
    <row r="2" spans="2:16" ht="14.4" thickBot="1"/>
    <row r="3" spans="2:16">
      <c r="B3" s="397" t="s">
        <v>286</v>
      </c>
      <c r="C3" s="397"/>
      <c r="D3" s="397"/>
      <c r="E3" s="397"/>
      <c r="G3" s="397" t="s">
        <v>286</v>
      </c>
      <c r="H3" s="397"/>
      <c r="I3" s="397"/>
      <c r="J3" s="397"/>
      <c r="L3" s="435" t="s">
        <v>297</v>
      </c>
      <c r="M3" s="435"/>
      <c r="N3" s="435"/>
      <c r="P3" s="430">
        <v>3.4299999999999997E-2</v>
      </c>
    </row>
    <row r="4" spans="2:16" ht="14.4" thickBot="1">
      <c r="L4" s="435"/>
      <c r="M4" s="435"/>
      <c r="N4" s="435"/>
      <c r="P4" s="431"/>
    </row>
    <row r="5" spans="2:16" ht="14.4" thickBot="1">
      <c r="B5" s="398" t="s">
        <v>87</v>
      </c>
      <c r="C5" s="399"/>
      <c r="D5" s="399"/>
      <c r="E5" s="399"/>
      <c r="F5" s="400"/>
      <c r="G5" s="398" t="s">
        <v>292</v>
      </c>
      <c r="H5" s="399"/>
      <c r="I5" s="399"/>
      <c r="J5" s="399"/>
    </row>
    <row r="6" spans="2:16">
      <c r="B6" s="401" t="s">
        <v>288</v>
      </c>
      <c r="C6" s="401"/>
      <c r="D6" s="401"/>
      <c r="E6" s="401"/>
      <c r="F6" s="400"/>
      <c r="G6" s="401" t="s">
        <v>290</v>
      </c>
      <c r="H6" s="401"/>
      <c r="I6" s="401"/>
      <c r="J6" s="401"/>
      <c r="L6" s="435" t="s">
        <v>298</v>
      </c>
      <c r="M6" s="435"/>
      <c r="N6" s="435"/>
      <c r="P6" s="430">
        <v>3.8399999999999997E-2</v>
      </c>
    </row>
    <row r="7" spans="2:16" ht="14.4" thickBot="1">
      <c r="B7" s="398" t="s">
        <v>88</v>
      </c>
      <c r="C7" s="399"/>
      <c r="D7" s="399"/>
      <c r="E7" s="399"/>
      <c r="F7" s="400"/>
      <c r="G7" s="398" t="s">
        <v>291</v>
      </c>
      <c r="H7" s="399"/>
      <c r="I7" s="399"/>
      <c r="J7" s="399"/>
      <c r="L7" s="435"/>
      <c r="M7" s="435"/>
      <c r="N7" s="435"/>
      <c r="P7" s="431"/>
    </row>
    <row r="8" spans="2:16" ht="14.4" thickBot="1">
      <c r="B8" s="401" t="s">
        <v>287</v>
      </c>
      <c r="C8" s="401"/>
      <c r="D8" s="401"/>
      <c r="E8" s="401"/>
      <c r="F8" s="400"/>
      <c r="G8" s="401" t="s">
        <v>293</v>
      </c>
      <c r="H8" s="401"/>
      <c r="I8" s="401"/>
      <c r="J8" s="401"/>
    </row>
    <row r="9" spans="2:16">
      <c r="B9" s="401" t="s">
        <v>289</v>
      </c>
      <c r="C9" s="401"/>
      <c r="D9" s="401"/>
      <c r="E9" s="401"/>
      <c r="F9" s="400"/>
      <c r="G9" s="398" t="s">
        <v>295</v>
      </c>
      <c r="H9" s="399"/>
      <c r="I9" s="399"/>
      <c r="J9" s="399"/>
      <c r="L9" s="435" t="s">
        <v>257</v>
      </c>
      <c r="M9" s="435"/>
      <c r="N9" s="435"/>
      <c r="P9" s="432">
        <v>1.1499999999999999</v>
      </c>
    </row>
    <row r="10" spans="2:16" ht="14.4" thickBot="1">
      <c r="B10" s="398" t="s">
        <v>294</v>
      </c>
      <c r="C10" s="399"/>
      <c r="D10" s="399"/>
      <c r="E10" s="399"/>
      <c r="F10" s="400"/>
      <c r="G10" s="400"/>
      <c r="H10" s="400"/>
      <c r="I10" s="400"/>
      <c r="J10" s="400"/>
      <c r="L10" s="435"/>
      <c r="M10" s="435"/>
      <c r="N10" s="435"/>
      <c r="P10" s="433"/>
    </row>
    <row r="11" spans="2:16" ht="14.4" thickBot="1"/>
    <row r="12" spans="2:16">
      <c r="L12" s="435" t="s">
        <v>299</v>
      </c>
      <c r="M12" s="435"/>
      <c r="N12" s="435"/>
      <c r="P12" s="430">
        <v>0.19170000000000001</v>
      </c>
    </row>
    <row r="13" spans="2:16" ht="14.4" thickBot="1">
      <c r="B13" s="397" t="s">
        <v>296</v>
      </c>
      <c r="C13" s="397"/>
      <c r="D13" s="397"/>
      <c r="E13" s="397"/>
      <c r="F13" s="397"/>
      <c r="G13" s="397"/>
      <c r="H13" s="397"/>
      <c r="I13" s="397"/>
      <c r="J13" s="397"/>
      <c r="L13" s="435"/>
      <c r="M13" s="435"/>
      <c r="N13" s="435"/>
      <c r="P13" s="431"/>
    </row>
    <row r="14" spans="2:16" ht="14.4" thickBot="1">
      <c r="B14" s="436"/>
      <c r="C14" s="436"/>
      <c r="D14" s="436"/>
      <c r="E14" s="436"/>
      <c r="F14" s="436"/>
      <c r="G14" s="436"/>
      <c r="H14" s="436"/>
      <c r="I14" s="436"/>
      <c r="J14" s="436"/>
    </row>
    <row r="15" spans="2:16">
      <c r="B15" s="436"/>
      <c r="C15" s="436"/>
      <c r="D15" s="436"/>
      <c r="E15" s="436"/>
      <c r="F15" s="436"/>
      <c r="G15" s="436"/>
      <c r="H15" s="436"/>
      <c r="I15" s="436"/>
      <c r="J15" s="436"/>
      <c r="L15" s="435" t="s">
        <v>300</v>
      </c>
      <c r="M15" s="435"/>
      <c r="N15" s="435"/>
      <c r="P15" s="430">
        <v>5.7799999999999997E-2</v>
      </c>
    </row>
    <row r="16" spans="2:16" ht="14.4" thickBot="1">
      <c r="B16" s="436"/>
      <c r="C16" s="436"/>
      <c r="D16" s="436"/>
      <c r="E16" s="436"/>
      <c r="F16" s="436"/>
      <c r="G16" s="436"/>
      <c r="H16" s="436"/>
      <c r="I16" s="436"/>
      <c r="J16" s="436"/>
      <c r="L16" s="435"/>
      <c r="M16" s="435"/>
      <c r="N16" s="435"/>
      <c r="P16" s="431"/>
    </row>
    <row r="17" spans="2:25" ht="14.4" thickBot="1">
      <c r="B17" s="436"/>
      <c r="C17" s="436"/>
      <c r="D17" s="436"/>
      <c r="E17" s="436"/>
      <c r="F17" s="436"/>
      <c r="G17" s="436"/>
      <c r="H17" s="436"/>
      <c r="I17" s="436"/>
      <c r="J17" s="436"/>
    </row>
    <row r="18" spans="2:25">
      <c r="L18" s="435" t="s">
        <v>260</v>
      </c>
      <c r="M18" s="435"/>
      <c r="N18" s="435"/>
      <c r="P18" s="430">
        <v>7.7100000000000002E-2</v>
      </c>
    </row>
    <row r="19" spans="2:25" ht="14.4" thickBot="1">
      <c r="L19" s="435"/>
      <c r="M19" s="435"/>
      <c r="N19" s="435"/>
      <c r="P19" s="431"/>
    </row>
    <row r="21" spans="2:25" ht="14.25" customHeight="1">
      <c r="L21" s="434"/>
      <c r="M21" s="434"/>
      <c r="N21" s="434"/>
      <c r="O21" s="434"/>
      <c r="P21" s="434"/>
    </row>
    <row r="22" spans="2:25" ht="15" customHeight="1">
      <c r="L22" s="434"/>
      <c r="M22" s="434"/>
      <c r="N22" s="434"/>
      <c r="O22" s="434"/>
      <c r="P22" s="434"/>
    </row>
    <row r="23" spans="2:25">
      <c r="L23" s="434"/>
      <c r="M23" s="434"/>
      <c r="N23" s="434"/>
      <c r="O23" s="434"/>
      <c r="P23" s="434"/>
    </row>
    <row r="25" spans="2:25">
      <c r="R25" s="402" t="s">
        <v>301</v>
      </c>
      <c r="S25" s="402"/>
      <c r="T25" s="402"/>
      <c r="U25" s="402">
        <v>2023</v>
      </c>
      <c r="V25" s="402">
        <f t="shared" ref="V25:Y25" si="0">+U25+1</f>
        <v>2024</v>
      </c>
      <c r="W25" s="402">
        <f t="shared" si="0"/>
        <v>2025</v>
      </c>
      <c r="X25" s="402">
        <f t="shared" si="0"/>
        <v>2026</v>
      </c>
      <c r="Y25" s="402">
        <f t="shared" si="0"/>
        <v>2027</v>
      </c>
    </row>
    <row r="26" spans="2:25" ht="5.0999999999999996" customHeight="1"/>
    <row r="27" spans="2:25">
      <c r="R27" s="396" t="s">
        <v>193</v>
      </c>
      <c r="U27" s="403">
        <f>+'VALORACIÓN ALUICA'!F165/1000000</f>
        <v>8907.2871690328902</v>
      </c>
      <c r="V27" s="403">
        <f>+'VALORACIÓN ALUICA'!G165/1000000</f>
        <v>-1017.3801118445682</v>
      </c>
      <c r="W27" s="403">
        <f>+'VALORACIÓN ALUICA'!H165/1000000</f>
        <v>4167.9996289809242</v>
      </c>
      <c r="X27" s="403">
        <f>+'VALORACIÓN ALUICA'!I165/1000000</f>
        <v>11201.749227451202</v>
      </c>
      <c r="Y27" s="403">
        <f>+'VALORACIÓN ALUICA'!J165/1000000</f>
        <v>11696.658810273613</v>
      </c>
    </row>
    <row r="28" spans="2:25">
      <c r="R28" s="396" t="s">
        <v>194</v>
      </c>
      <c r="Y28" s="403">
        <f>+'VALORACIÓN ALUICA'!J166/1000000</f>
        <v>79505.606880674182</v>
      </c>
    </row>
    <row r="29" spans="2:25" ht="5.0999999999999996" customHeight="1"/>
    <row r="30" spans="2:25">
      <c r="R30" s="404" t="s">
        <v>195</v>
      </c>
      <c r="S30" s="404"/>
      <c r="T30" s="404"/>
      <c r="U30" s="405">
        <f t="shared" ref="U30:Y30" si="1">+U28+U27</f>
        <v>8907.2871690328902</v>
      </c>
      <c r="V30" s="405">
        <f t="shared" si="1"/>
        <v>-1017.3801118445682</v>
      </c>
      <c r="W30" s="405">
        <f t="shared" si="1"/>
        <v>4167.9996289809242</v>
      </c>
      <c r="X30" s="405">
        <f t="shared" si="1"/>
        <v>11201.749227451202</v>
      </c>
      <c r="Y30" s="405">
        <f t="shared" si="1"/>
        <v>91202.265690947796</v>
      </c>
    </row>
    <row r="32" spans="2:25">
      <c r="R32" s="396" t="s">
        <v>196</v>
      </c>
      <c r="U32" s="403">
        <f>+'VALORACIÓN ALUICA'!F169/1000000</f>
        <v>16.64676082331486</v>
      </c>
      <c r="V32" s="403">
        <f>+'VALORACIÓN ALUICA'!G169/1000000</f>
        <v>31.146911821056932</v>
      </c>
      <c r="W32" s="403">
        <f>+'VALORACIÓN ALUICA'!H169/1000000</f>
        <v>-529.39639968453309</v>
      </c>
      <c r="X32" s="403">
        <f>+'VALORACIÓN ALUICA'!I169/1000000</f>
        <v>-763.55091626093918</v>
      </c>
      <c r="Y32" s="403">
        <f>+'VALORACIÓN ALUICA'!J169/1000000</f>
        <v>-439.51185674981537</v>
      </c>
    </row>
    <row r="33" spans="18:25">
      <c r="R33" s="396" t="s">
        <v>197</v>
      </c>
      <c r="Y33" s="403">
        <f>+'VALORACIÓN ALUICA'!J170/1000000</f>
        <v>-2987.4904850138641</v>
      </c>
    </row>
    <row r="34" spans="18:25" ht="5.0999999999999996" customHeight="1"/>
    <row r="35" spans="18:25">
      <c r="R35" s="404" t="s">
        <v>195</v>
      </c>
      <c r="S35" s="404"/>
      <c r="T35" s="404"/>
      <c r="U35" s="405">
        <f t="shared" ref="U35:Y35" si="2">+U33+U32</f>
        <v>16.64676082331486</v>
      </c>
      <c r="V35" s="405">
        <f t="shared" si="2"/>
        <v>31.146911821056932</v>
      </c>
      <c r="W35" s="405">
        <f t="shared" si="2"/>
        <v>-529.39639968453309</v>
      </c>
      <c r="X35" s="405">
        <f t="shared" si="2"/>
        <v>-763.55091626093918</v>
      </c>
      <c r="Y35" s="405">
        <f t="shared" si="2"/>
        <v>-3427.0023417636794</v>
      </c>
    </row>
    <row r="37" spans="18:25">
      <c r="R37" s="396" t="s">
        <v>198</v>
      </c>
      <c r="T37" s="403">
        <f>+'VALORACIÓN ALUICA'!C173/1000000</f>
        <v>54692.51721236849</v>
      </c>
    </row>
    <row r="38" spans="18:25">
      <c r="R38" s="396" t="s">
        <v>199</v>
      </c>
      <c r="T38" s="403">
        <f>+'VALORACIÓN ALUICA'!C174/1000000</f>
        <v>-2164.6442291775802</v>
      </c>
    </row>
    <row r="39" spans="18:25">
      <c r="R39" s="406" t="s">
        <v>140</v>
      </c>
      <c r="S39" s="406"/>
      <c r="T39" s="407">
        <f>+'VALORACIÓN ALUICA'!C175/1000000</f>
        <v>52527.872983190908</v>
      </c>
    </row>
    <row r="40" spans="18:25">
      <c r="R40" s="396" t="s">
        <v>200</v>
      </c>
      <c r="T40" s="403">
        <f>+'VALORACIÓN ALUICA'!C176/1000000</f>
        <v>2376.8566700599999</v>
      </c>
    </row>
    <row r="41" spans="18:25">
      <c r="R41" s="396" t="s">
        <v>201</v>
      </c>
      <c r="T41" s="403">
        <f>+'VALORACIÓN ALUICA'!C177/1000000</f>
        <v>-2026.70185642</v>
      </c>
    </row>
    <row r="42" spans="18:25">
      <c r="R42" s="406" t="s">
        <v>139</v>
      </c>
      <c r="S42" s="406"/>
      <c r="T42" s="407">
        <f>+'VALORACIÓN ALUICA'!C178/1000000</f>
        <v>52878.027796830909</v>
      </c>
    </row>
  </sheetData>
  <mergeCells count="13">
    <mergeCell ref="P18:P19"/>
    <mergeCell ref="L21:P23"/>
    <mergeCell ref="L3:N4"/>
    <mergeCell ref="L6:N7"/>
    <mergeCell ref="L9:N10"/>
    <mergeCell ref="L12:N13"/>
    <mergeCell ref="L15:N16"/>
    <mergeCell ref="L18:N19"/>
    <mergeCell ref="P3:P4"/>
    <mergeCell ref="P6:P7"/>
    <mergeCell ref="P9:P10"/>
    <mergeCell ref="P12:P13"/>
    <mergeCell ref="P15:P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4</vt:i4>
      </vt:variant>
    </vt:vector>
  </HeadingPairs>
  <TitlesOfParts>
    <vt:vector size="14" baseType="lpstr">
      <vt:lpstr>ESF 2021-2020</vt:lpstr>
      <vt:lpstr>ER 2021-2020 </vt:lpstr>
      <vt:lpstr>EVA 2021-2022</vt:lpstr>
      <vt:lpstr>ESF 2022-2021</vt:lpstr>
      <vt:lpstr>ER 2022-2021 </vt:lpstr>
      <vt:lpstr>VALORACIÓN ALUICA</vt:lpstr>
      <vt:lpstr>Hoja2</vt:lpstr>
      <vt:lpstr>EEFF</vt:lpstr>
      <vt:lpstr>Slides Valuation</vt:lpstr>
      <vt:lpstr>KPIs</vt:lpstr>
      <vt:lpstr>'ER 2021-2020 '!Área_de_impresión</vt:lpstr>
      <vt:lpstr>'ER 2022-2021 '!Área_de_impresión</vt:lpstr>
      <vt:lpstr>'ESF 2021-2020'!Área_de_impresión</vt:lpstr>
      <vt:lpstr>'ESF 2022-2021'!Área_de_impresión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Claritza Barriga Rojas</dc:creator>
  <cp:lastModifiedBy>NICOLÁS GONZÁLEZ</cp:lastModifiedBy>
  <dcterms:created xsi:type="dcterms:W3CDTF">2023-03-27T20:31:53Z</dcterms:created>
  <dcterms:modified xsi:type="dcterms:W3CDTF">2023-04-29T00:19:07Z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