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1\Matemáticas Financieras\"/>
    </mc:Choice>
  </mc:AlternateContent>
  <xr:revisionPtr revIDLastSave="0" documentId="13_ncr:1_{078EA643-B28C-40B9-82A9-1C6C89676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ler 1" sheetId="1" r:id="rId1"/>
    <sheet name="Taller 2" sheetId="3" r:id="rId2"/>
    <sheet name="Taller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2" i="3" l="1"/>
  <c r="X9" i="3"/>
  <c r="Y9" i="3" s="1"/>
  <c r="X10" i="3" s="1"/>
  <c r="P9" i="3"/>
  <c r="U32" i="3"/>
  <c r="M32" i="3"/>
  <c r="U31" i="3"/>
  <c r="M31" i="3"/>
  <c r="U30" i="3"/>
  <c r="M30" i="3"/>
  <c r="U29" i="3"/>
  <c r="M29" i="3"/>
  <c r="U28" i="3"/>
  <c r="M28" i="3"/>
  <c r="U27" i="3"/>
  <c r="M27" i="3"/>
  <c r="U26" i="3"/>
  <c r="M26" i="3"/>
  <c r="U25" i="3"/>
  <c r="M25" i="3"/>
  <c r="U24" i="3"/>
  <c r="M24" i="3"/>
  <c r="U23" i="3"/>
  <c r="M23" i="3"/>
  <c r="U22" i="3"/>
  <c r="M22" i="3"/>
  <c r="U21" i="3"/>
  <c r="M21" i="3"/>
  <c r="U20" i="3"/>
  <c r="M20" i="3"/>
  <c r="U19" i="3"/>
  <c r="M19" i="3"/>
  <c r="U18" i="3"/>
  <c r="M18" i="3"/>
  <c r="U17" i="3"/>
  <c r="M17" i="3"/>
  <c r="U16" i="3"/>
  <c r="M16" i="3"/>
  <c r="U15" i="3"/>
  <c r="M15" i="3"/>
  <c r="U14" i="3"/>
  <c r="M14" i="3"/>
  <c r="U13" i="3"/>
  <c r="M13" i="3"/>
  <c r="U12" i="3"/>
  <c r="M12" i="3"/>
  <c r="U11" i="3"/>
  <c r="M11" i="3"/>
  <c r="U10" i="3"/>
  <c r="M10" i="3"/>
  <c r="U9" i="3"/>
  <c r="M9" i="3"/>
  <c r="V4" i="3"/>
  <c r="X4" i="3" s="1"/>
  <c r="V3" i="3"/>
  <c r="X3" i="3" s="1"/>
  <c r="O3" i="3"/>
  <c r="O4" i="3" s="1"/>
  <c r="Q9" i="3" l="1"/>
  <c r="P10" i="3" s="1"/>
  <c r="Q10" i="3" s="1"/>
  <c r="P11" i="3" s="1"/>
  <c r="Y10" i="3"/>
  <c r="X11" i="3" s="1"/>
  <c r="Q11" i="3" l="1"/>
  <c r="P12" i="3" s="1"/>
  <c r="Y11" i="3"/>
  <c r="X12" i="3" s="1"/>
  <c r="Y12" i="3" l="1"/>
  <c r="X13" i="3" s="1"/>
  <c r="Q12" i="3"/>
  <c r="P13" i="3" s="1"/>
  <c r="Q13" i="3" l="1"/>
  <c r="P14" i="3" s="1"/>
  <c r="Y13" i="3"/>
  <c r="X14" i="3" s="1"/>
  <c r="Y14" i="3" l="1"/>
  <c r="X15" i="3" s="1"/>
  <c r="Q14" i="3"/>
  <c r="P15" i="3" s="1"/>
  <c r="Y15" i="3" l="1"/>
  <c r="X16" i="3" s="1"/>
  <c r="Q15" i="3"/>
  <c r="P16" i="3" s="1"/>
  <c r="Q16" i="3" l="1"/>
  <c r="P17" i="3" s="1"/>
  <c r="Y16" i="3"/>
  <c r="X17" i="3" s="1"/>
  <c r="Y17" i="3" l="1"/>
  <c r="X18" i="3" s="1"/>
  <c r="Q17" i="3"/>
  <c r="P18" i="3" s="1"/>
  <c r="Q18" i="3" l="1"/>
  <c r="P19" i="3" s="1"/>
  <c r="Y18" i="3"/>
  <c r="X19" i="3" s="1"/>
  <c r="Y19" i="3" l="1"/>
  <c r="X20" i="3" s="1"/>
  <c r="Q19" i="3"/>
  <c r="P20" i="3" s="1"/>
  <c r="Q20" i="3" l="1"/>
  <c r="P21" i="3" s="1"/>
  <c r="Y20" i="3"/>
  <c r="X21" i="3" s="1"/>
  <c r="Y21" i="3" l="1"/>
  <c r="Q21" i="3"/>
  <c r="P22" i="3" s="1"/>
  <c r="Q22" i="3" l="1"/>
  <c r="P23" i="3" s="1"/>
  <c r="Y22" i="3"/>
  <c r="X23" i="3" s="1"/>
  <c r="Y23" i="3" l="1"/>
  <c r="X24" i="3" s="1"/>
  <c r="Q23" i="3"/>
  <c r="P24" i="3" s="1"/>
  <c r="Y24" i="3" l="1"/>
  <c r="X25" i="3" s="1"/>
  <c r="Q24" i="3"/>
  <c r="P25" i="3" s="1"/>
  <c r="Y25" i="3" l="1"/>
  <c r="X26" i="3" s="1"/>
  <c r="Q25" i="3"/>
  <c r="P26" i="3" s="1"/>
  <c r="Y26" i="3" l="1"/>
  <c r="X27" i="3" s="1"/>
  <c r="Q26" i="3"/>
  <c r="P27" i="3" s="1"/>
  <c r="Y27" i="3" l="1"/>
  <c r="X28" i="3" s="1"/>
  <c r="Q27" i="3"/>
  <c r="P28" i="3" s="1"/>
  <c r="Y28" i="3" l="1"/>
  <c r="X29" i="3" s="1"/>
  <c r="Q28" i="3"/>
  <c r="P29" i="3" s="1"/>
  <c r="Y29" i="3" l="1"/>
  <c r="X30" i="3" s="1"/>
  <c r="Q29" i="3"/>
  <c r="P30" i="3" s="1"/>
  <c r="Y30" i="3" l="1"/>
  <c r="X31" i="3" s="1"/>
  <c r="Q30" i="3"/>
  <c r="P31" i="3" s="1"/>
  <c r="Y31" i="3" l="1"/>
  <c r="X32" i="3" s="1"/>
  <c r="Q31" i="3"/>
  <c r="P32" i="3" s="1"/>
  <c r="O32" i="3" l="1"/>
  <c r="Q32" i="3"/>
  <c r="W32" i="3"/>
  <c r="Y32" i="3" s="1"/>
  <c r="AU22" i="3" l="1"/>
  <c r="AU21" i="3"/>
  <c r="AU20" i="3"/>
  <c r="AU19" i="3"/>
  <c r="AU18" i="3"/>
  <c r="AU17" i="3"/>
  <c r="AU16" i="3"/>
  <c r="AU15" i="3"/>
  <c r="AU14" i="3"/>
  <c r="AU13" i="3"/>
  <c r="AU12" i="3"/>
  <c r="AU11" i="3"/>
  <c r="AU10" i="3"/>
  <c r="AU9" i="3"/>
  <c r="AU8" i="3"/>
  <c r="AU7" i="3"/>
  <c r="AU6" i="3"/>
  <c r="AU5" i="3"/>
  <c r="AE38" i="3"/>
  <c r="AE37" i="3"/>
  <c r="AE36" i="3"/>
  <c r="AE35" i="3"/>
  <c r="AE34" i="3"/>
  <c r="AE33" i="3"/>
  <c r="AE32" i="3"/>
  <c r="AE31" i="3"/>
  <c r="AE30" i="3"/>
  <c r="AE29" i="3"/>
  <c r="AX28" i="3"/>
  <c r="AE28" i="3"/>
  <c r="AE27" i="3"/>
  <c r="AE26" i="3"/>
  <c r="AE25" i="3"/>
  <c r="AE24" i="3"/>
  <c r="AE23" i="3"/>
  <c r="AE22" i="3"/>
  <c r="AE21" i="3"/>
  <c r="AM20" i="3"/>
  <c r="AM41" i="3" s="1"/>
  <c r="AM42" i="3" s="1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R4" i="3" a="1"/>
  <c r="AR4" i="3" s="1"/>
  <c r="AE4" i="3"/>
  <c r="AE3" i="3"/>
  <c r="AE40" i="3" l="1"/>
  <c r="AW4" i="3" s="1"/>
  <c r="AS5" i="3" s="1"/>
  <c r="AT5" i="3" s="1"/>
  <c r="AW5" i="3" s="1"/>
  <c r="AS6" i="3" l="1"/>
  <c r="AT6" i="3" s="1"/>
  <c r="AW6" i="3" s="1"/>
  <c r="AS7" i="3" l="1"/>
  <c r="AT7" i="3" s="1"/>
  <c r="AW7" i="3" s="1"/>
  <c r="AS8" i="3" l="1"/>
  <c r="AT8" i="3" s="1"/>
  <c r="AW8" i="3" s="1"/>
  <c r="AS9" i="3" l="1"/>
  <c r="AT9" i="3" s="1"/>
  <c r="AW9" i="3" s="1"/>
  <c r="AS10" i="3" l="1"/>
  <c r="AT10" i="3" s="1"/>
  <c r="AW10" i="3" s="1"/>
  <c r="AS11" i="3" l="1"/>
  <c r="AT11" i="3" s="1"/>
  <c r="AW11" i="3" s="1"/>
  <c r="AS12" i="3" l="1"/>
  <c r="AT12" i="3" s="1"/>
  <c r="AW12" i="3" s="1"/>
  <c r="AS13" i="3" l="1"/>
  <c r="AT13" i="3" s="1"/>
  <c r="AW13" i="3" s="1"/>
  <c r="AS14" i="3" l="1"/>
  <c r="AT14" i="3" s="1"/>
  <c r="AW14" i="3" s="1"/>
  <c r="AS15" i="3" l="1"/>
  <c r="AT15" i="3" s="1"/>
  <c r="AW15" i="3" s="1"/>
  <c r="AS16" i="3" l="1"/>
  <c r="AT16" i="3" s="1"/>
  <c r="AW16" i="3" s="1"/>
  <c r="AS17" i="3" l="1"/>
  <c r="AT17" i="3" s="1"/>
  <c r="AW17" i="3" s="1"/>
  <c r="AS18" i="3" l="1"/>
  <c r="AT18" i="3" s="1"/>
  <c r="AW18" i="3" s="1"/>
  <c r="AS19" i="3" l="1"/>
  <c r="AT19" i="3" s="1"/>
  <c r="AW19" i="3" s="1"/>
  <c r="AS20" i="3" l="1"/>
  <c r="AT20" i="3" s="1"/>
  <c r="AW20" i="3" s="1"/>
  <c r="AS21" i="3" l="1"/>
  <c r="AT21" i="3" s="1"/>
  <c r="AW21" i="3" s="1"/>
  <c r="AS22" i="3" l="1"/>
  <c r="AT22" i="3" s="1"/>
  <c r="AW22" i="3" s="1"/>
  <c r="AS23" i="3" l="1"/>
  <c r="AT1" i="3"/>
  <c r="AU33" i="3" l="1"/>
  <c r="AU25" i="3"/>
  <c r="AU40" i="3"/>
  <c r="AU32" i="3"/>
  <c r="AU24" i="3"/>
  <c r="AU39" i="3"/>
  <c r="AU31" i="3"/>
  <c r="AU23" i="3"/>
  <c r="AT23" i="3" s="1"/>
  <c r="AW23" i="3" s="1"/>
  <c r="AS24" i="3" s="1"/>
  <c r="AT24" i="3" s="1"/>
  <c r="AW24" i="3" s="1"/>
  <c r="AU38" i="3"/>
  <c r="AU30" i="3"/>
  <c r="AU37" i="3"/>
  <c r="AU29" i="3"/>
  <c r="AU36" i="3"/>
  <c r="AU28" i="3"/>
  <c r="AU35" i="3"/>
  <c r="AU27" i="3"/>
  <c r="AU34" i="3"/>
  <c r="AU26" i="3"/>
  <c r="AS25" i="3" l="1"/>
  <c r="AT25" i="3" s="1"/>
  <c r="AW25" i="3" s="1"/>
  <c r="AS26" i="3" l="1"/>
  <c r="AT26" i="3" s="1"/>
  <c r="AW26" i="3" s="1"/>
  <c r="AS27" i="3" l="1"/>
  <c r="AT27" i="3" s="1"/>
  <c r="AW27" i="3" s="1"/>
  <c r="AS28" i="3" l="1"/>
  <c r="AT28" i="3" s="1"/>
  <c r="AW28" i="3" s="1"/>
  <c r="AS29" i="3" l="1"/>
  <c r="AT29" i="3" s="1"/>
  <c r="AW29" i="3" s="1"/>
  <c r="AS30" i="3" l="1"/>
  <c r="AT30" i="3" s="1"/>
  <c r="AW30" i="3" s="1"/>
  <c r="AS31" i="3" l="1"/>
  <c r="AT31" i="3" s="1"/>
  <c r="AW31" i="3" s="1"/>
  <c r="AS32" i="3" l="1"/>
  <c r="AT32" i="3" s="1"/>
  <c r="AW32" i="3" s="1"/>
  <c r="AS33" i="3" l="1"/>
  <c r="AT33" i="3" s="1"/>
  <c r="AW33" i="3" s="1"/>
  <c r="AS34" i="3" l="1"/>
  <c r="AT34" i="3" s="1"/>
  <c r="AW34" i="3" s="1"/>
  <c r="AS35" i="3" l="1"/>
  <c r="AT35" i="3" s="1"/>
  <c r="AW35" i="3" s="1"/>
  <c r="AS36" i="3" l="1"/>
  <c r="AT36" i="3" s="1"/>
  <c r="AW36" i="3" s="1"/>
  <c r="AS37" i="3" l="1"/>
  <c r="AT37" i="3" s="1"/>
  <c r="AW37" i="3" s="1"/>
  <c r="AS38" i="3" l="1"/>
  <c r="AT38" i="3" s="1"/>
  <c r="AW38" i="3" s="1"/>
  <c r="AS39" i="3" l="1"/>
  <c r="AT39" i="3" s="1"/>
  <c r="AW39" i="3" s="1"/>
  <c r="AS40" i="3" l="1"/>
  <c r="AT40" i="3" s="1"/>
  <c r="AW40" i="3" s="1"/>
  <c r="D5" i="3" l="1"/>
  <c r="W50" i="2" l="1"/>
  <c r="R54" i="2" s="1"/>
  <c r="Q6" i="2"/>
  <c r="Q7" i="2" s="1"/>
  <c r="Q8" i="2" s="1"/>
  <c r="Q9" i="2" s="1"/>
  <c r="Q10" i="2" s="1"/>
  <c r="Q11" i="2" s="1"/>
  <c r="Q57" i="2"/>
  <c r="P57" i="2" a="1"/>
  <c r="P57" i="2" s="1"/>
  <c r="R53" i="2"/>
  <c r="T57" i="2" s="1"/>
  <c r="U57" i="2" s="1"/>
  <c r="U50" i="2"/>
  <c r="U15" i="2"/>
  <c r="R18" i="2"/>
  <c r="T22" i="2" s="1"/>
  <c r="U22" i="2" s="1"/>
  <c r="Q22" i="2"/>
  <c r="P22" i="2" a="1"/>
  <c r="P22" i="2" s="1"/>
  <c r="S6" i="2"/>
  <c r="S7" i="2" s="1"/>
  <c r="R51" i="2" s="1"/>
  <c r="M6" i="2"/>
  <c r="G10" i="2" a="1"/>
  <c r="G10" i="2" s="1"/>
  <c r="H10" i="2"/>
  <c r="X16" i="1"/>
  <c r="Z52" i="1"/>
  <c r="Z51" i="1"/>
  <c r="Z50" i="1"/>
  <c r="Z49" i="1"/>
  <c r="Z48" i="1"/>
  <c r="Z47" i="1"/>
  <c r="Z46" i="1"/>
  <c r="Z45" i="1"/>
  <c r="Z44" i="1"/>
  <c r="Z43" i="1"/>
  <c r="AA43" i="1" s="1"/>
  <c r="AA4" i="1" s="1"/>
  <c r="AD4" i="1" s="1"/>
  <c r="Z42" i="1"/>
  <c r="Z41" i="1"/>
  <c r="Z40" i="1"/>
  <c r="Z38" i="1"/>
  <c r="Z36" i="1"/>
  <c r="Z34" i="1"/>
  <c r="AA34" i="1" s="1"/>
  <c r="AA3" i="1" s="1"/>
  <c r="AD3" i="1" s="1"/>
  <c r="Z32" i="1"/>
  <c r="Z30" i="1"/>
  <c r="Z28" i="1"/>
  <c r="Z25" i="1"/>
  <c r="Z22" i="1"/>
  <c r="AA22" i="1" s="1"/>
  <c r="AA2" i="1" s="1"/>
  <c r="Z19" i="1"/>
  <c r="H4" i="2"/>
  <c r="I4" i="2" s="1"/>
  <c r="H7" i="2" s="1"/>
  <c r="W16" i="1" a="1"/>
  <c r="W16" i="1" s="1"/>
  <c r="D16" i="2"/>
  <c r="D9" i="2"/>
  <c r="D10" i="2" s="1"/>
  <c r="D11" i="2" s="1"/>
  <c r="D3" i="2"/>
  <c r="P8" i="1"/>
  <c r="T8" i="1" s="1"/>
  <c r="R26" i="1"/>
  <c r="R25" i="1"/>
  <c r="R24" i="1"/>
  <c r="R23" i="1"/>
  <c r="R22" i="1"/>
  <c r="R21" i="1"/>
  <c r="R20" i="1"/>
  <c r="R19" i="1"/>
  <c r="R18" i="1"/>
  <c r="R17" i="1"/>
  <c r="R16" i="1"/>
  <c r="R15" i="1"/>
  <c r="O8" i="1" a="1"/>
  <c r="O8" i="1" s="1"/>
  <c r="L4" i="1"/>
  <c r="L3" i="1"/>
  <c r="L2" i="1"/>
  <c r="D9" i="1" a="1"/>
  <c r="D9" i="1" s="1"/>
  <c r="G4" i="1"/>
  <c r="L5" i="1" l="1"/>
  <c r="E8" i="1" s="1"/>
  <c r="AB2" i="1"/>
  <c r="AD2" i="1" s="1"/>
  <c r="AD5" i="1" s="1"/>
  <c r="AC16" i="1" s="1"/>
  <c r="X19" i="1" s="1"/>
  <c r="V22" i="2"/>
  <c r="Q23" i="2" s="1"/>
  <c r="Q12" i="2"/>
  <c r="Q13" i="2" s="1"/>
  <c r="R16" i="2" s="1"/>
  <c r="V57" i="2"/>
  <c r="J10" i="2"/>
  <c r="J84" i="2"/>
  <c r="J52" i="2"/>
  <c r="J22" i="2"/>
  <c r="J74" i="2"/>
  <c r="J19" i="2"/>
  <c r="J70" i="2"/>
  <c r="J69" i="2"/>
  <c r="J67" i="2"/>
  <c r="J58" i="2"/>
  <c r="J56" i="2"/>
  <c r="J88" i="2"/>
  <c r="J28" i="2"/>
  <c r="J76" i="2"/>
  <c r="J51" i="2"/>
  <c r="J21" i="2"/>
  <c r="J47" i="2"/>
  <c r="J16" i="2"/>
  <c r="J41" i="2"/>
  <c r="J71" i="2"/>
  <c r="J40" i="2"/>
  <c r="J14" i="2"/>
  <c r="J39" i="2"/>
  <c r="J12" i="2"/>
  <c r="J38" i="2"/>
  <c r="J55" i="2"/>
  <c r="J85" i="2"/>
  <c r="J75" i="2"/>
  <c r="J48" i="2"/>
  <c r="J20" i="2"/>
  <c r="J73" i="2"/>
  <c r="J46" i="2"/>
  <c r="J72" i="2"/>
  <c r="J15" i="2"/>
  <c r="J91" i="2"/>
  <c r="J30" i="2"/>
  <c r="J29" i="2"/>
  <c r="J86" i="2"/>
  <c r="J23" i="2"/>
  <c r="J68" i="2"/>
  <c r="J36" i="2"/>
  <c r="J32" i="2"/>
  <c r="J31" i="2"/>
  <c r="J90" i="2"/>
  <c r="J54" i="2"/>
  <c r="J53" i="2"/>
  <c r="I10" i="2"/>
  <c r="D4" i="2"/>
  <c r="D5" i="2" s="1"/>
  <c r="J11" i="2"/>
  <c r="J35" i="2"/>
  <c r="J57" i="2"/>
  <c r="J87" i="2"/>
  <c r="J13" i="2"/>
  <c r="J37" i="2"/>
  <c r="J64" i="2"/>
  <c r="J89" i="2"/>
  <c r="J59" i="2"/>
  <c r="J77" i="2"/>
  <c r="J24" i="2"/>
  <c r="J42" i="2"/>
  <c r="J60" i="2"/>
  <c r="J78" i="2"/>
  <c r="J25" i="2"/>
  <c r="J43" i="2"/>
  <c r="J61" i="2"/>
  <c r="J79" i="2"/>
  <c r="J26" i="2"/>
  <c r="J44" i="2"/>
  <c r="J62" i="2"/>
  <c r="J80" i="2"/>
  <c r="J27" i="2"/>
  <c r="J45" i="2"/>
  <c r="J63" i="2"/>
  <c r="J83" i="2"/>
  <c r="J17" i="2"/>
  <c r="J33" i="2"/>
  <c r="J49" i="2"/>
  <c r="J65" i="2"/>
  <c r="J81" i="2"/>
  <c r="J18" i="2"/>
  <c r="J34" i="2"/>
  <c r="J50" i="2"/>
  <c r="J66" i="2"/>
  <c r="J82" i="2"/>
  <c r="Q9" i="1"/>
  <c r="R9" i="1" s="1"/>
  <c r="P9" i="1"/>
  <c r="G28" i="1"/>
  <c r="G12" i="1"/>
  <c r="J8" i="1"/>
  <c r="E9" i="1" s="1"/>
  <c r="F9" i="1" s="1"/>
  <c r="G22" i="1"/>
  <c r="G27" i="1"/>
  <c r="G11" i="1"/>
  <c r="G14" i="1"/>
  <c r="G26" i="1"/>
  <c r="G10" i="1"/>
  <c r="G9" i="1"/>
  <c r="G23" i="1"/>
  <c r="G21" i="1"/>
  <c r="G20" i="1"/>
  <c r="G19" i="1"/>
  <c r="G25" i="1"/>
  <c r="G15" i="1"/>
  <c r="G24" i="1"/>
  <c r="G18" i="1"/>
  <c r="G16" i="1"/>
  <c r="G13" i="1"/>
  <c r="G17" i="1"/>
  <c r="I9" i="1" l="1"/>
  <c r="J9" i="1" s="1"/>
  <c r="E10" i="1" s="1"/>
  <c r="R23" i="2"/>
  <c r="W15" i="2"/>
  <c r="R19" i="2" s="1"/>
  <c r="S24" i="2" s="1"/>
  <c r="S71" i="2"/>
  <c r="Q58" i="2"/>
  <c r="L10" i="2"/>
  <c r="M10" i="2" s="1"/>
  <c r="H11" i="2" s="1"/>
  <c r="Y19" i="1"/>
  <c r="AB19" i="1" s="1"/>
  <c r="S9" i="1"/>
  <c r="T9" i="1" s="1"/>
  <c r="F10" i="1"/>
  <c r="I10" i="1" s="1"/>
  <c r="J10" i="1" s="1"/>
  <c r="E11" i="1" s="1"/>
  <c r="S80" i="2" l="1"/>
  <c r="S69" i="2"/>
  <c r="S45" i="2"/>
  <c r="S78" i="2"/>
  <c r="S28" i="2"/>
  <c r="S29" i="2"/>
  <c r="S75" i="2"/>
  <c r="S59" i="2"/>
  <c r="S65" i="2"/>
  <c r="S58" i="2"/>
  <c r="S25" i="2"/>
  <c r="S30" i="2"/>
  <c r="S64" i="2"/>
  <c r="S77" i="2"/>
  <c r="S63" i="2"/>
  <c r="S81" i="2"/>
  <c r="S62" i="2"/>
  <c r="S73" i="2"/>
  <c r="S37" i="2"/>
  <c r="S36" i="2"/>
  <c r="S72" i="2"/>
  <c r="S46" i="2"/>
  <c r="S41" i="2"/>
  <c r="S70" i="2"/>
  <c r="S60" i="2"/>
  <c r="S68" i="2"/>
  <c r="S43" i="2"/>
  <c r="S31" i="2"/>
  <c r="S40" i="2"/>
  <c r="S74" i="2"/>
  <c r="S79" i="2"/>
  <c r="S33" i="2"/>
  <c r="S23" i="2"/>
  <c r="U23" i="2" s="1"/>
  <c r="V23" i="2" s="1"/>
  <c r="Q24" i="2" s="1"/>
  <c r="R24" i="2" s="1"/>
  <c r="U24" i="2" s="1"/>
  <c r="S26" i="2"/>
  <c r="S67" i="2"/>
  <c r="S39" i="2"/>
  <c r="S76" i="2"/>
  <c r="S66" i="2"/>
  <c r="S61" i="2"/>
  <c r="S35" i="2"/>
  <c r="S27" i="2"/>
  <c r="S44" i="2"/>
  <c r="S42" i="2"/>
  <c r="S32" i="2"/>
  <c r="S38" i="2"/>
  <c r="S34" i="2"/>
  <c r="R58" i="2"/>
  <c r="U58" i="2" s="1"/>
  <c r="V58" i="2" s="1"/>
  <c r="Q59" i="2" s="1"/>
  <c r="I11" i="2"/>
  <c r="L11" i="2" s="1"/>
  <c r="M11" i="2" s="1"/>
  <c r="H12" i="2" s="1"/>
  <c r="AC19" i="1"/>
  <c r="Y22" i="1" s="1"/>
  <c r="AB22" i="1" s="1"/>
  <c r="P10" i="1"/>
  <c r="Q10" i="1"/>
  <c r="R10" i="1" s="1"/>
  <c r="S10" i="1" s="1"/>
  <c r="F11" i="1"/>
  <c r="I11" i="1" s="1"/>
  <c r="J11" i="1" s="1"/>
  <c r="E12" i="1" s="1"/>
  <c r="X22" i="1" l="1"/>
  <c r="V24" i="2"/>
  <c r="Q25" i="2" s="1"/>
  <c r="R25" i="2" s="1"/>
  <c r="U25" i="2" s="1"/>
  <c r="V25" i="2" s="1"/>
  <c r="Q26" i="2" s="1"/>
  <c r="R26" i="2" s="1"/>
  <c r="U26" i="2" s="1"/>
  <c r="V26" i="2" s="1"/>
  <c r="Q27" i="2" s="1"/>
  <c r="R27" i="2" s="1"/>
  <c r="U27" i="2" s="1"/>
  <c r="V27" i="2" s="1"/>
  <c r="Q28" i="2" s="1"/>
  <c r="R59" i="2"/>
  <c r="U59" i="2" s="1"/>
  <c r="V59" i="2" s="1"/>
  <c r="Q60" i="2" s="1"/>
  <c r="I12" i="2"/>
  <c r="L12" i="2" s="1"/>
  <c r="M12" i="2" s="1"/>
  <c r="H13" i="2" s="1"/>
  <c r="AC22" i="1"/>
  <c r="Y25" i="1" s="1"/>
  <c r="AB25" i="1" s="1"/>
  <c r="T10" i="1"/>
  <c r="P11" i="1" s="1"/>
  <c r="F12" i="1"/>
  <c r="I12" i="1" s="1"/>
  <c r="J12" i="1" s="1"/>
  <c r="E13" i="1" s="1"/>
  <c r="X25" i="1" l="1"/>
  <c r="AC25" i="1" s="1"/>
  <c r="R60" i="2"/>
  <c r="U60" i="2" s="1"/>
  <c r="V60" i="2" s="1"/>
  <c r="Q61" i="2" s="1"/>
  <c r="R28" i="2"/>
  <c r="U28" i="2" s="1"/>
  <c r="V28" i="2" s="1"/>
  <c r="Q29" i="2" s="1"/>
  <c r="I13" i="2"/>
  <c r="L13" i="2" s="1"/>
  <c r="M13" i="2" s="1"/>
  <c r="H14" i="2" s="1"/>
  <c r="I14" i="2" s="1"/>
  <c r="L14" i="2" s="1"/>
  <c r="M14" i="2" s="1"/>
  <c r="H15" i="2" s="1"/>
  <c r="Q11" i="1"/>
  <c r="R11" i="1" s="1"/>
  <c r="S11" i="1" s="1"/>
  <c r="T11" i="1" s="1"/>
  <c r="Q12" i="1" s="1"/>
  <c r="R12" i="1" s="1"/>
  <c r="S12" i="1" s="1"/>
  <c r="F13" i="1"/>
  <c r="I13" i="1" s="1"/>
  <c r="J13" i="1" s="1"/>
  <c r="E14" i="1" s="1"/>
  <c r="R61" i="2" l="1"/>
  <c r="U61" i="2" s="1"/>
  <c r="V61" i="2" s="1"/>
  <c r="Q62" i="2" s="1"/>
  <c r="R29" i="2"/>
  <c r="U29" i="2" s="1"/>
  <c r="V29" i="2" s="1"/>
  <c r="Q30" i="2" s="1"/>
  <c r="I15" i="2"/>
  <c r="L15" i="2" s="1"/>
  <c r="M15" i="2" s="1"/>
  <c r="H16" i="2" s="1"/>
  <c r="Y28" i="1"/>
  <c r="AB28" i="1" s="1"/>
  <c r="X28" i="1"/>
  <c r="P12" i="1"/>
  <c r="T12" i="1" s="1"/>
  <c r="F14" i="1"/>
  <c r="I14" i="1" s="1"/>
  <c r="J14" i="1" s="1"/>
  <c r="E15" i="1" s="1"/>
  <c r="R62" i="2" l="1"/>
  <c r="U62" i="2" s="1"/>
  <c r="V62" i="2" s="1"/>
  <c r="Q63" i="2" s="1"/>
  <c r="R30" i="2"/>
  <c r="U30" i="2" s="1"/>
  <c r="V30" i="2" s="1"/>
  <c r="Q31" i="2" s="1"/>
  <c r="I16" i="2"/>
  <c r="L16" i="2" s="1"/>
  <c r="M16" i="2" s="1"/>
  <c r="H17" i="2" s="1"/>
  <c r="I17" i="2" s="1"/>
  <c r="L17" i="2" s="1"/>
  <c r="M17" i="2" s="1"/>
  <c r="H18" i="2" s="1"/>
  <c r="I18" i="2" s="1"/>
  <c r="L18" i="2" s="1"/>
  <c r="M18" i="2" s="1"/>
  <c r="H19" i="2" s="1"/>
  <c r="I19" i="2" s="1"/>
  <c r="AC28" i="1"/>
  <c r="X30" i="1" s="1"/>
  <c r="Y30" i="1" s="1"/>
  <c r="AB30" i="1" s="1"/>
  <c r="AC30" i="1" s="1"/>
  <c r="X32" i="1" s="1"/>
  <c r="Y32" i="1" s="1"/>
  <c r="AB32" i="1" s="1"/>
  <c r="AC32" i="1" s="1"/>
  <c r="X34" i="1" s="1"/>
  <c r="Y34" i="1" s="1"/>
  <c r="Q13" i="1"/>
  <c r="R13" i="1" s="1"/>
  <c r="S13" i="1" s="1"/>
  <c r="P13" i="1"/>
  <c r="F15" i="1"/>
  <c r="I15" i="1" s="1"/>
  <c r="J15" i="1" s="1"/>
  <c r="E16" i="1" s="1"/>
  <c r="R63" i="2" l="1"/>
  <c r="U63" i="2" s="1"/>
  <c r="V63" i="2" s="1"/>
  <c r="Q64" i="2" s="1"/>
  <c r="R31" i="2"/>
  <c r="U31" i="2" s="1"/>
  <c r="V31" i="2" s="1"/>
  <c r="Q32" i="2" s="1"/>
  <c r="L19" i="2"/>
  <c r="M19" i="2" s="1"/>
  <c r="H20" i="2" s="1"/>
  <c r="I20" i="2" s="1"/>
  <c r="AB34" i="1"/>
  <c r="AC34" i="1" s="1"/>
  <c r="X36" i="1" s="1"/>
  <c r="Y36" i="1" s="1"/>
  <c r="AB36" i="1" s="1"/>
  <c r="AC36" i="1" s="1"/>
  <c r="X38" i="1" s="1"/>
  <c r="Y38" i="1" s="1"/>
  <c r="AB38" i="1" s="1"/>
  <c r="AC38" i="1" s="1"/>
  <c r="X40" i="1" s="1"/>
  <c r="Y40" i="1" s="1"/>
  <c r="T13" i="1"/>
  <c r="Q14" i="1" s="1"/>
  <c r="R14" i="1" s="1"/>
  <c r="F16" i="1"/>
  <c r="I16" i="1" s="1"/>
  <c r="J16" i="1" s="1"/>
  <c r="E17" i="1" s="1"/>
  <c r="P14" i="1" l="1"/>
  <c r="R64" i="2"/>
  <c r="U64" i="2" s="1"/>
  <c r="V64" i="2" s="1"/>
  <c r="Q65" i="2" s="1"/>
  <c r="R32" i="2"/>
  <c r="U32" i="2" s="1"/>
  <c r="V32" i="2" s="1"/>
  <c r="Q33" i="2" s="1"/>
  <c r="L20" i="2"/>
  <c r="M20" i="2" s="1"/>
  <c r="H21" i="2" s="1"/>
  <c r="I21" i="2" s="1"/>
  <c r="AB40" i="1"/>
  <c r="AC40" i="1" s="1"/>
  <c r="X41" i="1" s="1"/>
  <c r="Y41" i="1" s="1"/>
  <c r="AB41" i="1" s="1"/>
  <c r="AC41" i="1" s="1"/>
  <c r="X42" i="1" s="1"/>
  <c r="Y42" i="1" s="1"/>
  <c r="AB42" i="1" s="1"/>
  <c r="AC42" i="1" s="1"/>
  <c r="X43" i="1" s="1"/>
  <c r="S14" i="1"/>
  <c r="T14" i="1" s="1"/>
  <c r="F17" i="1"/>
  <c r="I17" i="1" s="1"/>
  <c r="J17" i="1" s="1"/>
  <c r="E18" i="1" s="1"/>
  <c r="R65" i="2" l="1"/>
  <c r="U65" i="2" s="1"/>
  <c r="V65" i="2" s="1"/>
  <c r="Q66" i="2" s="1"/>
  <c r="R33" i="2"/>
  <c r="U33" i="2" s="1"/>
  <c r="V33" i="2" s="1"/>
  <c r="Q34" i="2" s="1"/>
  <c r="L21" i="2"/>
  <c r="M21" i="2" s="1"/>
  <c r="H22" i="2" s="1"/>
  <c r="I22" i="2" s="1"/>
  <c r="Y43" i="1"/>
  <c r="AB43" i="1" s="1"/>
  <c r="AC43" i="1" s="1"/>
  <c r="X44" i="1" s="1"/>
  <c r="Y44" i="1" s="1"/>
  <c r="Q15" i="1"/>
  <c r="S15" i="1" s="1"/>
  <c r="P15" i="1"/>
  <c r="F18" i="1"/>
  <c r="I18" i="1" s="1"/>
  <c r="J18" i="1" s="1"/>
  <c r="E19" i="1" s="1"/>
  <c r="R66" i="2" l="1"/>
  <c r="U66" i="2" s="1"/>
  <c r="V66" i="2" s="1"/>
  <c r="Q67" i="2" s="1"/>
  <c r="R34" i="2"/>
  <c r="U34" i="2" s="1"/>
  <c r="V34" i="2" s="1"/>
  <c r="Q35" i="2" s="1"/>
  <c r="L22" i="2"/>
  <c r="M22" i="2" s="1"/>
  <c r="H23" i="2" s="1"/>
  <c r="I23" i="2" s="1"/>
  <c r="AB44" i="1"/>
  <c r="AC44" i="1" s="1"/>
  <c r="X45" i="1" s="1"/>
  <c r="Y45" i="1" s="1"/>
  <c r="T15" i="1"/>
  <c r="F19" i="1"/>
  <c r="I19" i="1" s="1"/>
  <c r="J19" i="1" s="1"/>
  <c r="E20" i="1" s="1"/>
  <c r="R67" i="2" l="1"/>
  <c r="U67" i="2" s="1"/>
  <c r="V67" i="2" s="1"/>
  <c r="Q68" i="2" s="1"/>
  <c r="R35" i="2"/>
  <c r="U35" i="2" s="1"/>
  <c r="V35" i="2" s="1"/>
  <c r="Q36" i="2" s="1"/>
  <c r="L23" i="2"/>
  <c r="M23" i="2" s="1"/>
  <c r="H24" i="2" s="1"/>
  <c r="I24" i="2" s="1"/>
  <c r="AB45" i="1"/>
  <c r="AC45" i="1" s="1"/>
  <c r="X46" i="1" s="1"/>
  <c r="Y46" i="1" s="1"/>
  <c r="Q16" i="1"/>
  <c r="S16" i="1" s="1"/>
  <c r="P16" i="1"/>
  <c r="F20" i="1"/>
  <c r="I20" i="1" s="1"/>
  <c r="J20" i="1" l="1"/>
  <c r="E21" i="1" s="1"/>
  <c r="F21" i="1" s="1"/>
  <c r="I21" i="1" s="1"/>
  <c r="J21" i="1" s="1"/>
  <c r="E22" i="1" s="1"/>
  <c r="R68" i="2"/>
  <c r="U68" i="2" s="1"/>
  <c r="V68" i="2" s="1"/>
  <c r="Q69" i="2" s="1"/>
  <c r="R36" i="2"/>
  <c r="U36" i="2" s="1"/>
  <c r="V36" i="2" s="1"/>
  <c r="Q37" i="2" s="1"/>
  <c r="L24" i="2"/>
  <c r="M24" i="2" s="1"/>
  <c r="H25" i="2" s="1"/>
  <c r="I25" i="2" s="1"/>
  <c r="AB46" i="1"/>
  <c r="AC46" i="1" s="1"/>
  <c r="X47" i="1" s="1"/>
  <c r="Y47" i="1" s="1"/>
  <c r="T16" i="1"/>
  <c r="R69" i="2" l="1"/>
  <c r="U69" i="2" s="1"/>
  <c r="V69" i="2" s="1"/>
  <c r="Q70" i="2" s="1"/>
  <c r="R37" i="2"/>
  <c r="U37" i="2" s="1"/>
  <c r="V37" i="2" s="1"/>
  <c r="Q38" i="2" s="1"/>
  <c r="L25" i="2"/>
  <c r="M25" i="2" s="1"/>
  <c r="H26" i="2" s="1"/>
  <c r="I26" i="2" s="1"/>
  <c r="AB47" i="1"/>
  <c r="AC47" i="1" s="1"/>
  <c r="X48" i="1" s="1"/>
  <c r="Y48" i="1" s="1"/>
  <c r="Q17" i="1"/>
  <c r="S17" i="1" s="1"/>
  <c r="P17" i="1"/>
  <c r="F22" i="1"/>
  <c r="I22" i="1" s="1"/>
  <c r="J22" i="1" s="1"/>
  <c r="E23" i="1" s="1"/>
  <c r="R70" i="2" l="1"/>
  <c r="U70" i="2" s="1"/>
  <c r="V70" i="2" s="1"/>
  <c r="Q71" i="2" s="1"/>
  <c r="R38" i="2"/>
  <c r="U38" i="2" s="1"/>
  <c r="V38" i="2" s="1"/>
  <c r="Q39" i="2" s="1"/>
  <c r="L26" i="2"/>
  <c r="M26" i="2" s="1"/>
  <c r="H27" i="2" s="1"/>
  <c r="I27" i="2" s="1"/>
  <c r="AB48" i="1"/>
  <c r="AC48" i="1" s="1"/>
  <c r="X49" i="1" s="1"/>
  <c r="Y49" i="1" s="1"/>
  <c r="T17" i="1"/>
  <c r="F23" i="1"/>
  <c r="I23" i="1" s="1"/>
  <c r="J23" i="1" s="1"/>
  <c r="E24" i="1" s="1"/>
  <c r="R71" i="2" l="1"/>
  <c r="U71" i="2" s="1"/>
  <c r="V71" i="2" s="1"/>
  <c r="Q72" i="2" s="1"/>
  <c r="R39" i="2"/>
  <c r="U39" i="2" s="1"/>
  <c r="V39" i="2" s="1"/>
  <c r="Q40" i="2" s="1"/>
  <c r="L27" i="2"/>
  <c r="M27" i="2" s="1"/>
  <c r="H28" i="2" s="1"/>
  <c r="I28" i="2" s="1"/>
  <c r="AB49" i="1"/>
  <c r="AC49" i="1" s="1"/>
  <c r="X50" i="1" s="1"/>
  <c r="Y50" i="1" s="1"/>
  <c r="Q18" i="1"/>
  <c r="S18" i="1" s="1"/>
  <c r="P18" i="1"/>
  <c r="F24" i="1"/>
  <c r="I24" i="1" s="1"/>
  <c r="J24" i="1" s="1"/>
  <c r="E25" i="1" s="1"/>
  <c r="R72" i="2" l="1"/>
  <c r="U72" i="2" s="1"/>
  <c r="V72" i="2" s="1"/>
  <c r="Q73" i="2" s="1"/>
  <c r="R40" i="2"/>
  <c r="U40" i="2" s="1"/>
  <c r="V40" i="2" s="1"/>
  <c r="Q41" i="2" s="1"/>
  <c r="L28" i="2"/>
  <c r="M28" i="2" s="1"/>
  <c r="H29" i="2" s="1"/>
  <c r="I29" i="2" s="1"/>
  <c r="AB50" i="1"/>
  <c r="AC50" i="1" s="1"/>
  <c r="X51" i="1" s="1"/>
  <c r="T18" i="1"/>
  <c r="F25" i="1"/>
  <c r="I25" i="1" s="1"/>
  <c r="J25" i="1" s="1"/>
  <c r="E26" i="1" s="1"/>
  <c r="R73" i="2" l="1"/>
  <c r="U73" i="2" s="1"/>
  <c r="V73" i="2" s="1"/>
  <c r="Q74" i="2" s="1"/>
  <c r="R41" i="2"/>
  <c r="U41" i="2" s="1"/>
  <c r="V41" i="2" s="1"/>
  <c r="Q42" i="2" s="1"/>
  <c r="L29" i="2"/>
  <c r="M29" i="2" s="1"/>
  <c r="H30" i="2" s="1"/>
  <c r="I30" i="2" s="1"/>
  <c r="Y51" i="1"/>
  <c r="AB51" i="1" s="1"/>
  <c r="AC51" i="1" s="1"/>
  <c r="X52" i="1" s="1"/>
  <c r="Y52" i="1" s="1"/>
  <c r="Q19" i="1"/>
  <c r="S19" i="1" s="1"/>
  <c r="P19" i="1"/>
  <c r="F26" i="1"/>
  <c r="I26" i="1" s="1"/>
  <c r="J26" i="1" s="1"/>
  <c r="E27" i="1" s="1"/>
  <c r="R74" i="2" l="1"/>
  <c r="U74" i="2" s="1"/>
  <c r="V74" i="2" s="1"/>
  <c r="Q75" i="2" s="1"/>
  <c r="R42" i="2"/>
  <c r="U42" i="2" s="1"/>
  <c r="V42" i="2" s="1"/>
  <c r="Q43" i="2" s="1"/>
  <c r="L30" i="2"/>
  <c r="M30" i="2" s="1"/>
  <c r="H31" i="2" s="1"/>
  <c r="I31" i="2" s="1"/>
  <c r="AB52" i="1"/>
  <c r="AC52" i="1" s="1"/>
  <c r="T19" i="1"/>
  <c r="F27" i="1"/>
  <c r="I27" i="1" s="1"/>
  <c r="J27" i="1" s="1"/>
  <c r="E28" i="1" s="1"/>
  <c r="R75" i="2" l="1"/>
  <c r="U75" i="2" s="1"/>
  <c r="V75" i="2" s="1"/>
  <c r="Q76" i="2" s="1"/>
  <c r="R43" i="2"/>
  <c r="U43" i="2" s="1"/>
  <c r="V43" i="2" s="1"/>
  <c r="Q44" i="2" s="1"/>
  <c r="L31" i="2"/>
  <c r="M31" i="2" s="1"/>
  <c r="H32" i="2" s="1"/>
  <c r="I32" i="2" s="1"/>
  <c r="Q20" i="1"/>
  <c r="S20" i="1" s="1"/>
  <c r="P20" i="1"/>
  <c r="F28" i="1"/>
  <c r="I28" i="1" s="1"/>
  <c r="J28" i="1" s="1"/>
  <c r="R76" i="2" l="1"/>
  <c r="U76" i="2" s="1"/>
  <c r="V76" i="2" s="1"/>
  <c r="Q77" i="2" s="1"/>
  <c r="R44" i="2"/>
  <c r="U44" i="2" s="1"/>
  <c r="V44" i="2" s="1"/>
  <c r="Q45" i="2" s="1"/>
  <c r="L32" i="2"/>
  <c r="M32" i="2" s="1"/>
  <c r="H33" i="2" s="1"/>
  <c r="I33" i="2" s="1"/>
  <c r="T20" i="1"/>
  <c r="R77" i="2" l="1"/>
  <c r="U77" i="2" s="1"/>
  <c r="V77" i="2" s="1"/>
  <c r="Q78" i="2" s="1"/>
  <c r="R45" i="2"/>
  <c r="U45" i="2" s="1"/>
  <c r="V45" i="2" s="1"/>
  <c r="Q46" i="2" s="1"/>
  <c r="L33" i="2"/>
  <c r="M33" i="2" s="1"/>
  <c r="H34" i="2" s="1"/>
  <c r="I34" i="2" s="1"/>
  <c r="P21" i="1"/>
  <c r="Q21" i="1"/>
  <c r="S21" i="1" s="1"/>
  <c r="T21" i="1" s="1"/>
  <c r="R78" i="2" l="1"/>
  <c r="U78" i="2" s="1"/>
  <c r="V78" i="2" s="1"/>
  <c r="Q79" i="2" s="1"/>
  <c r="R46" i="2"/>
  <c r="U46" i="2" s="1"/>
  <c r="V46" i="2" s="1"/>
  <c r="L34" i="2"/>
  <c r="M34" i="2" s="1"/>
  <c r="H35" i="2" s="1"/>
  <c r="I35" i="2" s="1"/>
  <c r="P22" i="1"/>
  <c r="Q22" i="1"/>
  <c r="S22" i="1" s="1"/>
  <c r="R79" i="2" l="1"/>
  <c r="U79" i="2" s="1"/>
  <c r="V79" i="2" s="1"/>
  <c r="Q80" i="2" s="1"/>
  <c r="L35" i="2"/>
  <c r="M35" i="2" s="1"/>
  <c r="H36" i="2" s="1"/>
  <c r="I36" i="2" s="1"/>
  <c r="T22" i="1"/>
  <c r="Q23" i="1" s="1"/>
  <c r="S23" i="1" s="1"/>
  <c r="R80" i="2" l="1"/>
  <c r="U80" i="2" s="1"/>
  <c r="V80" i="2" s="1"/>
  <c r="Q81" i="2" s="1"/>
  <c r="L36" i="2"/>
  <c r="M36" i="2" s="1"/>
  <c r="H37" i="2" s="1"/>
  <c r="I37" i="2" s="1"/>
  <c r="P23" i="1"/>
  <c r="T23" i="1" s="1"/>
  <c r="R81" i="2" l="1"/>
  <c r="U81" i="2" s="1"/>
  <c r="V81" i="2" s="1"/>
  <c r="L37" i="2"/>
  <c r="M37" i="2" s="1"/>
  <c r="H38" i="2" s="1"/>
  <c r="I38" i="2" s="1"/>
  <c r="P24" i="1"/>
  <c r="Q24" i="1"/>
  <c r="S24" i="1" s="1"/>
  <c r="L38" i="2" l="1"/>
  <c r="M38" i="2" s="1"/>
  <c r="H39" i="2" s="1"/>
  <c r="I39" i="2" s="1"/>
  <c r="T24" i="1"/>
  <c r="P25" i="1" s="1"/>
  <c r="L39" i="2" l="1"/>
  <c r="M39" i="2" s="1"/>
  <c r="H40" i="2" s="1"/>
  <c r="I40" i="2" s="1"/>
  <c r="Q25" i="1"/>
  <c r="S25" i="1" s="1"/>
  <c r="T25" i="1" s="1"/>
  <c r="P26" i="1" s="1"/>
  <c r="Q26" i="1" l="1"/>
  <c r="S26" i="1" s="1"/>
  <c r="T26" i="1" s="1"/>
  <c r="L40" i="2"/>
  <c r="M40" i="2" s="1"/>
  <c r="H41" i="2" s="1"/>
  <c r="I41" i="2" s="1"/>
  <c r="L41" i="2" l="1"/>
  <c r="M41" i="2" s="1"/>
  <c r="H42" i="2" s="1"/>
  <c r="I42" i="2" s="1"/>
  <c r="L42" i="2" l="1"/>
  <c r="M42" i="2" s="1"/>
  <c r="H43" i="2" s="1"/>
  <c r="I43" i="2" s="1"/>
  <c r="L43" i="2" l="1"/>
  <c r="M43" i="2" s="1"/>
  <c r="H44" i="2" s="1"/>
  <c r="I44" i="2" s="1"/>
  <c r="L44" i="2" l="1"/>
  <c r="M44" i="2" s="1"/>
  <c r="H45" i="2" s="1"/>
  <c r="I45" i="2" s="1"/>
  <c r="L45" i="2" l="1"/>
  <c r="M45" i="2" s="1"/>
  <c r="H46" i="2" s="1"/>
  <c r="I46" i="2" s="1"/>
  <c r="L46" i="2" l="1"/>
  <c r="M46" i="2" s="1"/>
  <c r="H47" i="2" s="1"/>
  <c r="I47" i="2" s="1"/>
  <c r="L47" i="2" l="1"/>
  <c r="M47" i="2" s="1"/>
  <c r="H48" i="2" s="1"/>
  <c r="I48" i="2" s="1"/>
  <c r="L48" i="2" l="1"/>
  <c r="M48" i="2" s="1"/>
  <c r="H49" i="2" s="1"/>
  <c r="I49" i="2" s="1"/>
  <c r="L49" i="2" l="1"/>
  <c r="M49" i="2" s="1"/>
  <c r="H50" i="2" s="1"/>
  <c r="I50" i="2" s="1"/>
  <c r="L50" i="2" l="1"/>
  <c r="M50" i="2" s="1"/>
  <c r="H51" i="2" s="1"/>
  <c r="I51" i="2" s="1"/>
  <c r="L51" i="2" l="1"/>
  <c r="M51" i="2" s="1"/>
  <c r="H52" i="2" s="1"/>
  <c r="I52" i="2" s="1"/>
  <c r="L52" i="2" l="1"/>
  <c r="M52" i="2" s="1"/>
  <c r="H53" i="2" s="1"/>
  <c r="I53" i="2" s="1"/>
  <c r="L53" i="2" l="1"/>
  <c r="M53" i="2" s="1"/>
  <c r="H54" i="2" s="1"/>
  <c r="I54" i="2" s="1"/>
  <c r="L54" i="2" l="1"/>
  <c r="M54" i="2" s="1"/>
  <c r="H55" i="2" s="1"/>
  <c r="I55" i="2" s="1"/>
  <c r="L55" i="2" l="1"/>
  <c r="M55" i="2" s="1"/>
  <c r="H56" i="2" s="1"/>
  <c r="I56" i="2" s="1"/>
  <c r="L56" i="2" l="1"/>
  <c r="M56" i="2" s="1"/>
  <c r="H57" i="2" s="1"/>
  <c r="I57" i="2" s="1"/>
  <c r="L57" i="2" l="1"/>
  <c r="M57" i="2" s="1"/>
  <c r="H58" i="2" s="1"/>
  <c r="I58" i="2" s="1"/>
  <c r="L58" i="2" l="1"/>
  <c r="M58" i="2" s="1"/>
  <c r="H59" i="2" s="1"/>
  <c r="I59" i="2" s="1"/>
  <c r="L59" i="2" l="1"/>
  <c r="M59" i="2" s="1"/>
  <c r="H60" i="2" s="1"/>
  <c r="I60" i="2" s="1"/>
  <c r="L60" i="2" l="1"/>
  <c r="M60" i="2" s="1"/>
  <c r="H61" i="2" s="1"/>
  <c r="I61" i="2" s="1"/>
  <c r="L61" i="2" l="1"/>
  <c r="M61" i="2" s="1"/>
  <c r="H62" i="2" s="1"/>
  <c r="I62" i="2" s="1"/>
  <c r="L62" i="2" l="1"/>
  <c r="M62" i="2" s="1"/>
  <c r="H63" i="2" s="1"/>
  <c r="I63" i="2" s="1"/>
  <c r="L63" i="2" l="1"/>
  <c r="M63" i="2" s="1"/>
  <c r="H64" i="2" s="1"/>
  <c r="I64" i="2" s="1"/>
  <c r="L64" i="2" l="1"/>
  <c r="M64" i="2" s="1"/>
  <c r="H65" i="2" s="1"/>
  <c r="I65" i="2" s="1"/>
  <c r="L65" i="2" l="1"/>
  <c r="M65" i="2" s="1"/>
  <c r="H66" i="2" s="1"/>
  <c r="I66" i="2" s="1"/>
  <c r="L66" i="2" l="1"/>
  <c r="M66" i="2" s="1"/>
  <c r="H67" i="2" s="1"/>
  <c r="I67" i="2" s="1"/>
  <c r="L67" i="2" l="1"/>
  <c r="M67" i="2" s="1"/>
  <c r="H68" i="2" s="1"/>
  <c r="I68" i="2" s="1"/>
  <c r="L68" i="2" l="1"/>
  <c r="M68" i="2" s="1"/>
  <c r="H69" i="2" s="1"/>
  <c r="I69" i="2" s="1"/>
  <c r="L69" i="2" l="1"/>
  <c r="M69" i="2" s="1"/>
  <c r="H70" i="2" s="1"/>
  <c r="I70" i="2" s="1"/>
  <c r="L70" i="2" l="1"/>
  <c r="M70" i="2" s="1"/>
  <c r="H71" i="2" s="1"/>
  <c r="I71" i="2" s="1"/>
  <c r="L71" i="2" l="1"/>
  <c r="M71" i="2" s="1"/>
  <c r="H72" i="2" s="1"/>
  <c r="I72" i="2" s="1"/>
  <c r="L72" i="2" l="1"/>
  <c r="M72" i="2" s="1"/>
  <c r="H73" i="2" s="1"/>
  <c r="I73" i="2" s="1"/>
  <c r="L73" i="2" l="1"/>
  <c r="M73" i="2" s="1"/>
  <c r="H74" i="2" s="1"/>
  <c r="I74" i="2" s="1"/>
  <c r="L74" i="2" l="1"/>
  <c r="M74" i="2" s="1"/>
  <c r="H75" i="2" s="1"/>
  <c r="I75" i="2" s="1"/>
  <c r="L75" i="2" l="1"/>
  <c r="M75" i="2" s="1"/>
  <c r="H76" i="2" s="1"/>
  <c r="I76" i="2" s="1"/>
  <c r="L76" i="2" l="1"/>
  <c r="M76" i="2" s="1"/>
  <c r="H77" i="2" s="1"/>
  <c r="I77" i="2" s="1"/>
  <c r="L77" i="2" l="1"/>
  <c r="M77" i="2" s="1"/>
  <c r="H78" i="2" s="1"/>
  <c r="I78" i="2" s="1"/>
  <c r="L78" i="2" l="1"/>
  <c r="M78" i="2" s="1"/>
  <c r="H79" i="2" s="1"/>
  <c r="I79" i="2" s="1"/>
  <c r="L79" i="2" l="1"/>
  <c r="M79" i="2" s="1"/>
  <c r="H80" i="2" s="1"/>
  <c r="I80" i="2" s="1"/>
  <c r="L80" i="2" l="1"/>
  <c r="M80" i="2" s="1"/>
  <c r="H81" i="2" s="1"/>
  <c r="I81" i="2" s="1"/>
  <c r="L81" i="2" l="1"/>
  <c r="M81" i="2" s="1"/>
  <c r="H82" i="2" s="1"/>
  <c r="I82" i="2" s="1"/>
  <c r="L82" i="2" l="1"/>
  <c r="M82" i="2" s="1"/>
  <c r="H83" i="2" s="1"/>
  <c r="I83" i="2" s="1"/>
  <c r="L83" i="2" l="1"/>
  <c r="M83" i="2" s="1"/>
  <c r="H84" i="2" s="1"/>
  <c r="I84" i="2" s="1"/>
  <c r="L84" i="2" l="1"/>
  <c r="M84" i="2" s="1"/>
  <c r="H85" i="2" s="1"/>
  <c r="I85" i="2" s="1"/>
  <c r="L85" i="2" l="1"/>
  <c r="M85" i="2" s="1"/>
  <c r="H86" i="2" s="1"/>
  <c r="I86" i="2" s="1"/>
  <c r="L86" i="2" l="1"/>
  <c r="M86" i="2" s="1"/>
  <c r="H87" i="2" s="1"/>
  <c r="I87" i="2" s="1"/>
  <c r="L87" i="2" l="1"/>
  <c r="M87" i="2" s="1"/>
  <c r="H88" i="2" s="1"/>
  <c r="I88" i="2" s="1"/>
  <c r="L88" i="2" l="1"/>
  <c r="M88" i="2" s="1"/>
  <c r="H89" i="2" s="1"/>
  <c r="I89" i="2" s="1"/>
  <c r="L89" i="2" l="1"/>
  <c r="M89" i="2" s="1"/>
  <c r="H90" i="2" s="1"/>
  <c r="I90" i="2" s="1"/>
  <c r="L90" i="2" l="1"/>
  <c r="M90" i="2" s="1"/>
  <c r="H91" i="2" s="1"/>
  <c r="I91" i="2" l="1"/>
  <c r="L91" i="2" s="1"/>
  <c r="M91" i="2" s="1"/>
  <c r="L7" i="2" s="1"/>
  <c r="J92" i="2" s="1"/>
  <c r="H92" i="2" l="1"/>
  <c r="I92" i="2"/>
  <c r="J117" i="2" l="1"/>
  <c r="J93" i="2"/>
  <c r="L92" i="2"/>
  <c r="J108" i="2"/>
  <c r="J102" i="2"/>
  <c r="J128" i="2"/>
  <c r="J103" i="2"/>
  <c r="J113" i="2"/>
  <c r="J124" i="2"/>
  <c r="J107" i="2"/>
  <c r="J118" i="2"/>
  <c r="J116" i="2"/>
  <c r="J125" i="2"/>
  <c r="J120" i="2"/>
  <c r="J126" i="2"/>
  <c r="J100" i="2"/>
  <c r="J111" i="2"/>
  <c r="J127" i="2"/>
  <c r="J122" i="2"/>
  <c r="J98" i="2"/>
  <c r="J106" i="2"/>
  <c r="J123" i="2"/>
  <c r="J97" i="2"/>
  <c r="J114" i="2"/>
  <c r="J115" i="2"/>
  <c r="J104" i="2"/>
  <c r="J105" i="2"/>
  <c r="J109" i="2"/>
  <c r="J129" i="2"/>
  <c r="J99" i="2"/>
  <c r="J94" i="2"/>
  <c r="J110" i="2"/>
  <c r="J119" i="2"/>
  <c r="J95" i="2"/>
  <c r="J121" i="2"/>
  <c r="J101" i="2"/>
  <c r="J96" i="2"/>
  <c r="J112" i="2"/>
  <c r="M92" i="2" l="1"/>
  <c r="H93" i="2" s="1"/>
  <c r="I93" i="2" s="1"/>
  <c r="L93" i="2" s="1"/>
  <c r="M93" i="2" s="1"/>
  <c r="H94" i="2" s="1"/>
  <c r="I94" i="2" s="1"/>
  <c r="L94" i="2" s="1"/>
  <c r="M94" i="2" s="1"/>
  <c r="H95" i="2" s="1"/>
  <c r="I95" i="2" l="1"/>
  <c r="L95" i="2" s="1"/>
  <c r="M95" i="2" s="1"/>
  <c r="H96" i="2" s="1"/>
  <c r="I96" i="2" l="1"/>
  <c r="L96" i="2" s="1"/>
  <c r="M96" i="2" s="1"/>
  <c r="H97" i="2" s="1"/>
  <c r="I97" i="2" l="1"/>
  <c r="L97" i="2" s="1"/>
  <c r="M97" i="2" s="1"/>
  <c r="H98" i="2" s="1"/>
  <c r="I98" i="2" l="1"/>
  <c r="L98" i="2" s="1"/>
  <c r="M98" i="2" s="1"/>
  <c r="H99" i="2" s="1"/>
  <c r="I99" i="2" l="1"/>
  <c r="L99" i="2" s="1"/>
  <c r="M99" i="2" s="1"/>
  <c r="H100" i="2" s="1"/>
  <c r="I100" i="2" l="1"/>
  <c r="L100" i="2" s="1"/>
  <c r="M100" i="2" s="1"/>
  <c r="H101" i="2" s="1"/>
  <c r="I101" i="2" l="1"/>
  <c r="L101" i="2" s="1"/>
  <c r="M101" i="2" s="1"/>
  <c r="H102" i="2" s="1"/>
  <c r="I102" i="2" l="1"/>
  <c r="L102" i="2" s="1"/>
  <c r="M102" i="2" s="1"/>
  <c r="H103" i="2" s="1"/>
  <c r="I103" i="2" l="1"/>
  <c r="L103" i="2" s="1"/>
  <c r="M103" i="2" s="1"/>
  <c r="H104" i="2" s="1"/>
  <c r="I104" i="2" l="1"/>
  <c r="L104" i="2" s="1"/>
  <c r="M104" i="2" s="1"/>
  <c r="H105" i="2" s="1"/>
  <c r="I105" i="2" l="1"/>
  <c r="L105" i="2" s="1"/>
  <c r="M105" i="2" s="1"/>
  <c r="H106" i="2" s="1"/>
  <c r="I106" i="2" l="1"/>
  <c r="L106" i="2" s="1"/>
  <c r="M106" i="2" s="1"/>
  <c r="H107" i="2" s="1"/>
  <c r="I107" i="2" l="1"/>
  <c r="L107" i="2" s="1"/>
  <c r="M107" i="2" s="1"/>
  <c r="H108" i="2" s="1"/>
  <c r="I108" i="2" l="1"/>
  <c r="L108" i="2" s="1"/>
  <c r="M108" i="2" s="1"/>
  <c r="H109" i="2" s="1"/>
  <c r="I109" i="2" l="1"/>
  <c r="L109" i="2" s="1"/>
  <c r="M109" i="2" s="1"/>
  <c r="H110" i="2" s="1"/>
  <c r="I110" i="2" l="1"/>
  <c r="L110" i="2" s="1"/>
  <c r="M110" i="2" s="1"/>
  <c r="H111" i="2" s="1"/>
  <c r="I111" i="2" l="1"/>
  <c r="L111" i="2" s="1"/>
  <c r="M111" i="2" s="1"/>
  <c r="H112" i="2" s="1"/>
  <c r="I112" i="2" l="1"/>
  <c r="L112" i="2" s="1"/>
  <c r="M112" i="2" s="1"/>
  <c r="H113" i="2" s="1"/>
  <c r="I113" i="2" l="1"/>
  <c r="L113" i="2" s="1"/>
  <c r="M113" i="2" s="1"/>
  <c r="H114" i="2" s="1"/>
  <c r="I114" i="2" l="1"/>
  <c r="L114" i="2" s="1"/>
  <c r="M114" i="2" s="1"/>
  <c r="H115" i="2" s="1"/>
  <c r="I115" i="2" l="1"/>
  <c r="L115" i="2" s="1"/>
  <c r="M115" i="2" s="1"/>
  <c r="H116" i="2" s="1"/>
  <c r="I116" i="2" l="1"/>
  <c r="L116" i="2" s="1"/>
  <c r="M116" i="2" s="1"/>
  <c r="H117" i="2" s="1"/>
  <c r="I117" i="2" l="1"/>
  <c r="L117" i="2" s="1"/>
  <c r="M117" i="2" s="1"/>
  <c r="H118" i="2" s="1"/>
  <c r="I118" i="2" l="1"/>
  <c r="L118" i="2" s="1"/>
  <c r="M118" i="2" s="1"/>
  <c r="H119" i="2" s="1"/>
  <c r="I119" i="2" l="1"/>
  <c r="L119" i="2" s="1"/>
  <c r="M119" i="2" s="1"/>
  <c r="H120" i="2" s="1"/>
  <c r="I120" i="2" l="1"/>
  <c r="L120" i="2" s="1"/>
  <c r="M120" i="2" s="1"/>
  <c r="H121" i="2" s="1"/>
  <c r="I121" i="2" l="1"/>
  <c r="L121" i="2" s="1"/>
  <c r="M121" i="2" s="1"/>
  <c r="H122" i="2" s="1"/>
  <c r="I122" i="2" l="1"/>
  <c r="L122" i="2" s="1"/>
  <c r="M122" i="2" s="1"/>
  <c r="H123" i="2" s="1"/>
  <c r="I123" i="2" l="1"/>
  <c r="L123" i="2" s="1"/>
  <c r="M123" i="2" s="1"/>
  <c r="H124" i="2" s="1"/>
  <c r="I124" i="2" l="1"/>
  <c r="L124" i="2" s="1"/>
  <c r="M124" i="2" s="1"/>
  <c r="H125" i="2" s="1"/>
  <c r="I125" i="2" l="1"/>
  <c r="L125" i="2" s="1"/>
  <c r="M125" i="2" s="1"/>
  <c r="H126" i="2" s="1"/>
  <c r="I126" i="2" l="1"/>
  <c r="L126" i="2" s="1"/>
  <c r="M126" i="2" s="1"/>
  <c r="H127" i="2" s="1"/>
  <c r="I127" i="2" l="1"/>
  <c r="L127" i="2" s="1"/>
  <c r="M127" i="2" s="1"/>
  <c r="H128" i="2" s="1"/>
  <c r="I128" i="2" l="1"/>
  <c r="L128" i="2" s="1"/>
  <c r="M128" i="2" s="1"/>
  <c r="H129" i="2" s="1"/>
  <c r="I129" i="2" l="1"/>
  <c r="L129" i="2" s="1"/>
  <c r="M129" i="2" s="1"/>
  <c r="E5" i="3"/>
  <c r="H5" i="3" s="1"/>
  <c r="D6" i="3" l="1"/>
  <c r="E39" i="3"/>
  <c r="F39" i="3"/>
  <c r="E10" i="3"/>
  <c r="F10" i="3"/>
  <c r="E13" i="3"/>
  <c r="F13" i="3"/>
  <c r="E8" i="3"/>
  <c r="F8" i="3"/>
  <c r="D48" i="3"/>
  <c r="E31" i="3"/>
  <c r="F31" i="3"/>
  <c r="E32" i="3"/>
  <c r="F32" i="3"/>
  <c r="E17" i="3"/>
  <c r="F17" i="3"/>
  <c r="E9" i="3"/>
  <c r="F9" i="3"/>
  <c r="D7" i="3"/>
  <c r="E57" i="3"/>
  <c r="F57" i="3"/>
  <c r="E61" i="3"/>
  <c r="F61" i="3"/>
  <c r="E16" i="3"/>
  <c r="F16" i="3"/>
  <c r="E35" i="3"/>
  <c r="F35" i="3"/>
  <c r="E42" i="3"/>
  <c r="F42" i="3"/>
  <c r="E50" i="3"/>
  <c r="F50" i="3"/>
  <c r="E63" i="3"/>
  <c r="F63" i="3"/>
  <c r="D27" i="3"/>
  <c r="E21" i="3"/>
  <c r="F21" i="3"/>
  <c r="E29" i="3"/>
  <c r="F29" i="3"/>
  <c r="E54" i="3"/>
  <c r="F54" i="3"/>
  <c r="E25" i="3"/>
  <c r="F25" i="3"/>
  <c r="D55" i="3"/>
  <c r="E34" i="3"/>
  <c r="F34" i="3"/>
  <c r="D23" i="3"/>
  <c r="E45" i="3"/>
  <c r="F45" i="3"/>
  <c r="E15" i="3"/>
  <c r="F15" i="3"/>
  <c r="D26" i="3"/>
  <c r="E48" i="3"/>
  <c r="F48" i="3"/>
  <c r="D54" i="3"/>
  <c r="D39" i="3"/>
  <c r="E18" i="3"/>
  <c r="F18" i="3"/>
  <c r="E55" i="3"/>
  <c r="F55" i="3"/>
  <c r="D42" i="3"/>
  <c r="D25" i="3"/>
  <c r="E26" i="3"/>
  <c r="F26" i="3"/>
  <c r="D24" i="3"/>
  <c r="E52" i="3"/>
  <c r="F52" i="3"/>
  <c r="G52" i="3"/>
  <c r="D20" i="3"/>
  <c r="D37" i="3"/>
  <c r="E38" i="3"/>
  <c r="F38" i="3"/>
  <c r="D21" i="3"/>
  <c r="D11" i="3"/>
  <c r="E7" i="3"/>
  <c r="F7" i="3"/>
  <c r="G40" i="3"/>
  <c r="F41" i="3"/>
  <c r="E41" i="3"/>
  <c r="E11" i="3"/>
  <c r="F11" i="3"/>
  <c r="E30" i="3"/>
  <c r="F30" i="3"/>
  <c r="D22" i="3"/>
  <c r="E47" i="3"/>
  <c r="F47" i="3"/>
  <c r="E37" i="3"/>
  <c r="F37" i="3"/>
  <c r="D47" i="3"/>
  <c r="E58" i="3"/>
  <c r="F58" i="3"/>
  <c r="D53" i="3"/>
  <c r="E22" i="3"/>
  <c r="F22" i="3"/>
  <c r="D15" i="3"/>
  <c r="E36" i="3"/>
  <c r="F36" i="3"/>
  <c r="D12" i="3"/>
  <c r="D19" i="3"/>
  <c r="D52" i="3"/>
  <c r="D36" i="3"/>
  <c r="D62" i="3"/>
  <c r="D41" i="3"/>
  <c r="D40" i="3"/>
  <c r="E53" i="3"/>
  <c r="F53" i="3"/>
  <c r="D14" i="3"/>
  <c r="D44" i="3"/>
  <c r="E44" i="3"/>
  <c r="F44" i="3"/>
  <c r="D58" i="3"/>
  <c r="D56" i="3"/>
  <c r="D18" i="3"/>
  <c r="D51" i="3"/>
  <c r="D61" i="3"/>
  <c r="E51" i="3"/>
  <c r="F51" i="3"/>
  <c r="E20" i="3"/>
  <c r="F20" i="3"/>
  <c r="E46" i="3"/>
  <c r="F46" i="3"/>
  <c r="E23" i="3"/>
  <c r="F23" i="3"/>
  <c r="E59" i="3"/>
  <c r="F59" i="3"/>
  <c r="E62" i="3"/>
  <c r="F62" i="3"/>
  <c r="D32" i="3"/>
  <c r="D28" i="3"/>
  <c r="E28" i="3"/>
  <c r="F28" i="3"/>
  <c r="D43" i="3"/>
  <c r="D10" i="3"/>
  <c r="D57" i="3"/>
  <c r="D17" i="3"/>
  <c r="D31" i="3"/>
  <c r="D50" i="3"/>
  <c r="D34" i="3"/>
  <c r="D60" i="3"/>
  <c r="D35" i="3"/>
  <c r="E19" i="3"/>
  <c r="F19" i="3"/>
  <c r="E24" i="3"/>
  <c r="F24" i="3"/>
  <c r="E12" i="3"/>
  <c r="F12" i="3"/>
  <c r="D46" i="3"/>
  <c r="E43" i="3"/>
  <c r="F43" i="3"/>
  <c r="E27" i="3"/>
  <c r="F27" i="3"/>
  <c r="D64" i="3"/>
  <c r="H63" i="3"/>
  <c r="H64" i="3"/>
  <c r="D45" i="3"/>
  <c r="E64" i="3"/>
  <c r="F64" i="3"/>
  <c r="G64" i="3"/>
  <c r="E60" i="3"/>
  <c r="F60" i="3"/>
  <c r="D9" i="3"/>
  <c r="H59" i="3"/>
  <c r="H60" i="3"/>
  <c r="H61" i="3"/>
  <c r="H62" i="3"/>
  <c r="D63" i="3"/>
  <c r="D8" i="3"/>
  <c r="D38" i="3"/>
  <c r="D30" i="3"/>
  <c r="D49" i="3"/>
  <c r="D33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D59" i="3"/>
  <c r="D16" i="3"/>
  <c r="D13" i="3"/>
  <c r="F6" i="3"/>
  <c r="E6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D29" i="3"/>
  <c r="E33" i="3"/>
  <c r="F33" i="3"/>
  <c r="E40" i="3"/>
  <c r="F40" i="3"/>
  <c r="E14" i="3"/>
  <c r="F49" i="3"/>
  <c r="E49" i="3"/>
  <c r="F14" i="3"/>
  <c r="F56" i="3"/>
  <c r="E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<sst xmlns="http://schemas.openxmlformats.org/spreadsheetml/2006/main" count="182" uniqueCount="98">
  <si>
    <t>VP</t>
  </si>
  <si>
    <t>nper</t>
  </si>
  <si>
    <t>i (ET)</t>
  </si>
  <si>
    <t>EA</t>
  </si>
  <si>
    <t>Cuotas pactadas de 25´al final de cada año a partir del año 2</t>
  </si>
  <si>
    <t>5 años</t>
  </si>
  <si>
    <t>Periodo</t>
  </si>
  <si>
    <t>Saldo Inicial</t>
  </si>
  <si>
    <t>Interés</t>
  </si>
  <si>
    <t>Amort</t>
  </si>
  <si>
    <t>Saldo Final</t>
  </si>
  <si>
    <t>Pago</t>
  </si>
  <si>
    <t>Cuotas Extra</t>
  </si>
  <si>
    <t xml:space="preserve">Cuotas </t>
  </si>
  <si>
    <t>Cuotas VP</t>
  </si>
  <si>
    <t>1.</t>
  </si>
  <si>
    <t>2.</t>
  </si>
  <si>
    <t xml:space="preserve">VP </t>
  </si>
  <si>
    <t>PAGO</t>
  </si>
  <si>
    <t>1 DE ENERO 2020</t>
  </si>
  <si>
    <t>31 DE JULIO 2020 HASTA EL 30 DE JUNIO DEL 2021</t>
  </si>
  <si>
    <t>i (EM)</t>
  </si>
  <si>
    <t>3.</t>
  </si>
  <si>
    <t>3 años</t>
  </si>
  <si>
    <t>1er año</t>
  </si>
  <si>
    <t>Plazo</t>
  </si>
  <si>
    <t>2do año</t>
  </si>
  <si>
    <t>i (EB)</t>
  </si>
  <si>
    <t>3er año</t>
  </si>
  <si>
    <t>Cuotas Extras</t>
  </si>
  <si>
    <t>NASA</t>
  </si>
  <si>
    <t>Entidad 1</t>
  </si>
  <si>
    <t>Entidad 2</t>
  </si>
  <si>
    <t>NSTV</t>
  </si>
  <si>
    <t>Entidad 9</t>
  </si>
  <si>
    <t>EM</t>
  </si>
  <si>
    <t>NSA</t>
  </si>
  <si>
    <t>NTV</t>
  </si>
  <si>
    <t>ET</t>
  </si>
  <si>
    <t>ES</t>
  </si>
  <si>
    <t>Yo invertiría en la 2da entidad.</t>
  </si>
  <si>
    <t xml:space="preserve"> Es la que más interés ofrece.</t>
  </si>
  <si>
    <t>i (NAMA)</t>
  </si>
  <si>
    <t>i (NMA)</t>
  </si>
  <si>
    <t>10 años</t>
  </si>
  <si>
    <t>Pago a partir del mes 81</t>
  </si>
  <si>
    <t>Tasa a partir del mes 81 (EA)</t>
  </si>
  <si>
    <t>IPC + 11,6601% Anual</t>
  </si>
  <si>
    <t>Spread (EA)</t>
  </si>
  <si>
    <t>IPC (EA)</t>
  </si>
  <si>
    <t>TOTAL (EA)</t>
  </si>
  <si>
    <t>Televisor A</t>
  </si>
  <si>
    <t>Televisor B</t>
  </si>
  <si>
    <t>DTF + 10% NATA</t>
  </si>
  <si>
    <t>DTF (EA)</t>
  </si>
  <si>
    <t>Spread (NATA)</t>
  </si>
  <si>
    <t>TOTAL (EM)</t>
  </si>
  <si>
    <t>TV A</t>
  </si>
  <si>
    <t>Cuota Extra</t>
  </si>
  <si>
    <t>Cuota Inicial</t>
  </si>
  <si>
    <t>TV B</t>
  </si>
  <si>
    <t>DTF (ET)</t>
  </si>
  <si>
    <t>DTF (NTA)</t>
  </si>
  <si>
    <t>DTF (NATA)</t>
  </si>
  <si>
    <t>TOTAL (NATA)</t>
  </si>
  <si>
    <t>TOTAL (NTA)</t>
  </si>
  <si>
    <t>TOTAL (ET)</t>
  </si>
  <si>
    <t>TASA</t>
  </si>
  <si>
    <t>periodo</t>
  </si>
  <si>
    <t>intereses</t>
  </si>
  <si>
    <t>capital</t>
  </si>
  <si>
    <t>cuota</t>
  </si>
  <si>
    <t>EXTRA</t>
  </si>
  <si>
    <t>saldo</t>
  </si>
  <si>
    <t>B</t>
  </si>
  <si>
    <t>A</t>
  </si>
  <si>
    <t>c.</t>
  </si>
  <si>
    <t>Nuevo Pago</t>
  </si>
  <si>
    <t>a.</t>
  </si>
  <si>
    <t>b.</t>
  </si>
  <si>
    <t xml:space="preserve">Realizado por: </t>
  </si>
  <si>
    <t>Daniel Gómez</t>
  </si>
  <si>
    <t>Nicolás González</t>
  </si>
  <si>
    <t>Juan Camilo Escobar</t>
  </si>
  <si>
    <t>a)</t>
  </si>
  <si>
    <t>Em</t>
  </si>
  <si>
    <t>b)</t>
  </si>
  <si>
    <t>En 2020</t>
  </si>
  <si>
    <t>Ed</t>
  </si>
  <si>
    <t xml:space="preserve">Inicial </t>
  </si>
  <si>
    <t>En 2021</t>
  </si>
  <si>
    <t>Fecha</t>
  </si>
  <si>
    <t>Días</t>
  </si>
  <si>
    <t>Abonos</t>
  </si>
  <si>
    <t>Retiros</t>
  </si>
  <si>
    <t>interes</t>
  </si>
  <si>
    <t>Saldo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</si>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</sst>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.0_-;\-&quot;$&quot;\ * #,##0.0_-;_-&quot;$&quot;\ * &quot;-&quot;??_-;_-@_-"/>
    <numFmt numFmtId="165" formatCode="_-&quot;$&quot;\ * #,##0_-;\-&quot;$&quot;\ * #,##0_-;_-&quot;$&quot;\ 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2" applyNumberFormat="1" applyFont="1"/>
    <xf numFmtId="165" fontId="0" fillId="0" borderId="0" xfId="2" applyNumberFormat="1" applyFont="1"/>
    <xf numFmtId="9" fontId="0" fillId="0" borderId="0" xfId="0" applyNumberFormat="1"/>
    <xf numFmtId="10" fontId="0" fillId="0" borderId="0" xfId="3" applyNumberFormat="1" applyFont="1"/>
    <xf numFmtId="165" fontId="0" fillId="0" borderId="0" xfId="0" applyNumberFormat="1"/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0" fontId="0" fillId="0" borderId="0" xfId="0" applyNumberFormat="1"/>
    <xf numFmtId="44" fontId="0" fillId="0" borderId="0" xfId="0" applyNumberFormat="1"/>
    <xf numFmtId="166" fontId="0" fillId="0" borderId="0" xfId="1" applyNumberFormat="1" applyFont="1"/>
    <xf numFmtId="165" fontId="0" fillId="0" borderId="0" xfId="2" applyNumberFormat="1" applyFont="1" applyAlignment="1">
      <alignment horizontal="left"/>
    </xf>
    <xf numFmtId="10" fontId="0" fillId="2" borderId="0" xfId="3" applyNumberFormat="1" applyFont="1" applyFill="1"/>
    <xf numFmtId="10" fontId="0" fillId="2" borderId="0" xfId="0" applyNumberFormat="1" applyFill="1"/>
    <xf numFmtId="10" fontId="0" fillId="0" borderId="0" xfId="3" applyNumberFormat="1" applyFont="1" applyFill="1"/>
    <xf numFmtId="43" fontId="0" fillId="0" borderId="0" xfId="1" applyFont="1"/>
    <xf numFmtId="8" fontId="0" fillId="0" borderId="0" xfId="1" applyNumberFormat="1" applyFont="1"/>
    <xf numFmtId="8" fontId="2" fillId="0" borderId="0" xfId="1" applyNumberFormat="1" applyFont="1"/>
    <xf numFmtId="43" fontId="0" fillId="0" borderId="0" xfId="0" applyNumberFormat="1"/>
    <xf numFmtId="44" fontId="0" fillId="0" borderId="0" xfId="2" applyFont="1"/>
    <xf numFmtId="8" fontId="2" fillId="2" borderId="0" xfId="0" applyNumberFormat="1" applyFont="1" applyFill="1"/>
    <xf numFmtId="6" fontId="0" fillId="0" borderId="0" xfId="0" applyNumberFormat="1"/>
    <xf numFmtId="8" fontId="0" fillId="0" borderId="0" xfId="2" applyNumberFormat="1" applyFont="1"/>
    <xf numFmtId="8" fontId="2" fillId="2" borderId="0" xfId="1" applyNumberFormat="1" applyFont="1" applyFill="1"/>
    <xf numFmtId="17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0" fillId="0" borderId="0" xfId="2" applyNumberFormat="1" applyFont="1"/>
    <xf numFmtId="14" fontId="0" fillId="0" borderId="0" xfId="0" applyNumberFormat="1"/>
    <xf numFmtId="165" fontId="2" fillId="2" borderId="0" xfId="2" applyNumberFormat="1" applyFont="1" applyFill="1"/>
    <xf numFmtId="165" fontId="2" fillId="3" borderId="0" xfId="2" applyNumberFormat="1" applyFont="1" applyFill="1"/>
    <xf numFmtId="0" fontId="0" fillId="0" borderId="0" xfId="0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workbookViewId="0">
      <selection activeCell="A10" sqref="A10"/>
    </sheetView>
  </sheetViews>
  <sheetFormatPr baseColWidth="10" defaultColWidth="8.85546875" defaultRowHeight="15" x14ac:dyDescent="0.25"/>
  <cols>
    <col min="1" max="1" width="19" bestFit="1" customWidth="1"/>
    <col min="3" max="3" width="2.5703125" bestFit="1" customWidth="1"/>
    <col min="4" max="4" width="54.28515625" bestFit="1" customWidth="1"/>
    <col min="5" max="5" width="14.140625" bestFit="1" customWidth="1"/>
    <col min="6" max="7" width="13.140625" bestFit="1" customWidth="1"/>
    <col min="8" max="8" width="13.42578125" bestFit="1" customWidth="1"/>
    <col min="9" max="9" width="13.140625" bestFit="1" customWidth="1"/>
    <col min="10" max="10" width="14.140625" bestFit="1" customWidth="1"/>
    <col min="11" max="11" width="11.28515625" bestFit="1" customWidth="1"/>
    <col min="12" max="12" width="13.140625" bestFit="1" customWidth="1"/>
    <col min="14" max="14" width="2.5703125" bestFit="1" customWidth="1"/>
    <col min="15" max="15" width="8" bestFit="1" customWidth="1"/>
    <col min="16" max="16" width="12" bestFit="1" customWidth="1"/>
    <col min="17" max="17" width="44.140625" bestFit="1" customWidth="1"/>
    <col min="18" max="19" width="10.42578125" bestFit="1" customWidth="1"/>
    <col min="20" max="20" width="12" bestFit="1" customWidth="1"/>
    <col min="22" max="22" width="2.5703125" bestFit="1" customWidth="1"/>
    <col min="23" max="23" width="9.42578125" bestFit="1" customWidth="1"/>
    <col min="24" max="24" width="14.140625" bestFit="1" customWidth="1"/>
    <col min="25" max="25" width="14.7109375" bestFit="1" customWidth="1"/>
    <col min="26" max="26" width="14.28515625" bestFit="1" customWidth="1"/>
    <col min="27" max="27" width="13.42578125" bestFit="1" customWidth="1"/>
    <col min="28" max="28" width="13.140625" bestFit="1" customWidth="1"/>
    <col min="29" max="29" width="14.140625" bestFit="1" customWidth="1"/>
    <col min="30" max="30" width="13.140625" bestFit="1" customWidth="1"/>
  </cols>
  <sheetData>
    <row r="1" spans="1:30" x14ac:dyDescent="0.25">
      <c r="A1" s="7" t="s">
        <v>80</v>
      </c>
      <c r="C1" s="8" t="s">
        <v>15</v>
      </c>
      <c r="N1" s="8" t="s">
        <v>16</v>
      </c>
      <c r="V1" s="8" t="s">
        <v>22</v>
      </c>
    </row>
    <row r="2" spans="1:30" x14ac:dyDescent="0.25">
      <c r="A2" s="7"/>
      <c r="D2" t="s">
        <v>0</v>
      </c>
      <c r="E2" s="2">
        <v>500000000</v>
      </c>
      <c r="H2" s="2" t="s">
        <v>13</v>
      </c>
      <c r="I2" s="2">
        <v>25000000</v>
      </c>
      <c r="J2" s="11">
        <v>12</v>
      </c>
      <c r="K2" s="2" t="s">
        <v>14</v>
      </c>
      <c r="L2" s="2">
        <f>PV($E$4,J2,,-I2)</f>
        <v>17534497.004824329</v>
      </c>
      <c r="O2" t="s">
        <v>17</v>
      </c>
      <c r="P2" s="2">
        <v>3932727.4544417555</v>
      </c>
      <c r="Q2" t="s">
        <v>19</v>
      </c>
      <c r="W2" t="s">
        <v>0</v>
      </c>
      <c r="X2" s="2">
        <v>300000000</v>
      </c>
      <c r="Z2" s="12" t="s">
        <v>29</v>
      </c>
      <c r="AA2" s="2">
        <f>AA22</f>
        <v>26429456.607035831</v>
      </c>
      <c r="AB2" s="11">
        <f>W22</f>
        <v>6</v>
      </c>
      <c r="AC2" s="2" t="s">
        <v>14</v>
      </c>
      <c r="AD2" s="2">
        <f>PV(X6,AB2,,-AA2)</f>
        <v>22393890.284571383</v>
      </c>
    </row>
    <row r="3" spans="1:30" x14ac:dyDescent="0.25">
      <c r="A3" s="7" t="s">
        <v>81</v>
      </c>
      <c r="D3" t="s">
        <v>1</v>
      </c>
      <c r="E3">
        <v>20</v>
      </c>
      <c r="F3" t="s">
        <v>5</v>
      </c>
      <c r="H3" s="2"/>
      <c r="I3" s="2">
        <v>25000000</v>
      </c>
      <c r="J3" s="11">
        <v>16</v>
      </c>
      <c r="K3" s="2"/>
      <c r="L3" s="2">
        <f t="shared" ref="L3:L4" si="0">PV($E$4,J3,,-I3)</f>
        <v>15579173.480502859</v>
      </c>
      <c r="O3" t="s">
        <v>18</v>
      </c>
      <c r="P3" s="2">
        <v>350000</v>
      </c>
      <c r="Q3" t="s">
        <v>20</v>
      </c>
      <c r="W3" t="s">
        <v>25</v>
      </c>
      <c r="X3" t="s">
        <v>23</v>
      </c>
      <c r="Z3" s="2"/>
      <c r="AA3" s="2">
        <f>AA34</f>
        <v>26429456.607035831</v>
      </c>
      <c r="AB3" s="11">
        <v>18</v>
      </c>
      <c r="AC3" s="2"/>
      <c r="AD3" s="2">
        <f>PV(X9,AB3,,-AA3)</f>
        <v>18504831.818663269</v>
      </c>
    </row>
    <row r="4" spans="1:30" x14ac:dyDescent="0.25">
      <c r="A4" s="7" t="s">
        <v>82</v>
      </c>
      <c r="D4" t="s">
        <v>2</v>
      </c>
      <c r="E4" s="3">
        <v>0.03</v>
      </c>
      <c r="F4" t="s">
        <v>3</v>
      </c>
      <c r="G4" s="4">
        <f>EFFECT(E4*4,4)</f>
        <v>0.12550880999999992</v>
      </c>
      <c r="H4" s="2"/>
      <c r="I4" s="2">
        <v>25000000</v>
      </c>
      <c r="J4" s="11">
        <v>20</v>
      </c>
      <c r="K4" s="2"/>
      <c r="L4" s="2">
        <f t="shared" si="0"/>
        <v>13841893.854658375</v>
      </c>
      <c r="O4" t="s">
        <v>21</v>
      </c>
      <c r="P4" s="3">
        <v>0.01</v>
      </c>
      <c r="Q4">
        <v>2020</v>
      </c>
      <c r="W4" t="s">
        <v>24</v>
      </c>
      <c r="Z4" s="2"/>
      <c r="AA4" s="2">
        <f>AA43</f>
        <v>26429456.607035831</v>
      </c>
      <c r="AB4" s="11">
        <v>27</v>
      </c>
      <c r="AC4" s="2"/>
      <c r="AD4" s="2">
        <f>PV(X12,AB4,,-AA4)</f>
        <v>19152011.61613794</v>
      </c>
    </row>
    <row r="5" spans="1:30" x14ac:dyDescent="0.25">
      <c r="A5" s="7" t="s">
        <v>83</v>
      </c>
      <c r="D5" t="s">
        <v>4</v>
      </c>
      <c r="H5" s="2"/>
      <c r="I5" s="2"/>
      <c r="J5" s="2"/>
      <c r="K5" s="2"/>
      <c r="L5" s="2">
        <f>SUM(L2:L4)</f>
        <v>46955564.339985564</v>
      </c>
      <c r="P5" s="9">
        <v>1.0999999999999999E-2</v>
      </c>
      <c r="Q5">
        <v>2021</v>
      </c>
      <c r="W5" t="s">
        <v>1</v>
      </c>
      <c r="X5">
        <v>4</v>
      </c>
      <c r="Z5" s="2"/>
      <c r="AA5" s="2"/>
      <c r="AB5" s="2"/>
      <c r="AC5" s="2"/>
      <c r="AD5" s="2">
        <f>SUM(AD2:AD4)</f>
        <v>60050733.719372585</v>
      </c>
    </row>
    <row r="6" spans="1:30" x14ac:dyDescent="0.25">
      <c r="A6" s="7"/>
      <c r="H6" s="2"/>
      <c r="I6" s="2"/>
      <c r="J6" s="2"/>
      <c r="K6" s="2"/>
      <c r="L6" s="2"/>
      <c r="W6" t="s">
        <v>2</v>
      </c>
      <c r="X6" s="9">
        <v>2.8000000000000001E-2</v>
      </c>
    </row>
    <row r="7" spans="1:30" x14ac:dyDescent="0.25">
      <c r="D7" t="s">
        <v>6</v>
      </c>
      <c r="E7" t="s">
        <v>7</v>
      </c>
      <c r="F7" t="s">
        <v>8</v>
      </c>
      <c r="G7" t="s">
        <v>11</v>
      </c>
      <c r="H7" s="2" t="s">
        <v>12</v>
      </c>
      <c r="I7" s="2" t="s">
        <v>9</v>
      </c>
      <c r="J7" s="2" t="s">
        <v>10</v>
      </c>
      <c r="K7" s="2"/>
      <c r="L7" s="2"/>
      <c r="O7" t="s">
        <v>6</v>
      </c>
      <c r="P7" t="s">
        <v>7</v>
      </c>
      <c r="Q7" t="s">
        <v>8</v>
      </c>
      <c r="R7" t="s">
        <v>11</v>
      </c>
      <c r="S7" s="2" t="s">
        <v>9</v>
      </c>
      <c r="T7" s="2" t="s">
        <v>10</v>
      </c>
      <c r="U7" s="2"/>
      <c r="W7" s="2" t="s">
        <v>26</v>
      </c>
    </row>
    <row r="8" spans="1:30" x14ac:dyDescent="0.25">
      <c r="D8">
        <v>0</v>
      </c>
      <c r="E8" s="2">
        <f>E2-L5</f>
        <v>453044435.66001445</v>
      </c>
      <c r="F8" s="2"/>
      <c r="G8" s="2"/>
      <c r="H8" s="2"/>
      <c r="I8" s="2"/>
      <c r="J8" s="2">
        <f>E8</f>
        <v>453044435.66001445</v>
      </c>
      <c r="K8" s="2"/>
      <c r="L8" s="2"/>
      <c r="O8" cm="1">
        <f t="array" ref="O8:O26">_xlfn.SEQUENCE(19,,0,1)</f>
        <v>0</v>
      </c>
      <c r="P8" s="5">
        <f>P2</f>
        <v>3932727.4544417555</v>
      </c>
      <c r="T8" s="5">
        <f>P8</f>
        <v>3932727.4544417555</v>
      </c>
      <c r="W8" t="s">
        <v>1</v>
      </c>
      <c r="X8">
        <v>6</v>
      </c>
    </row>
    <row r="9" spans="1:30" x14ac:dyDescent="0.25">
      <c r="D9" cm="1">
        <f t="array" ref="D9:D28">_xlfn.SEQUENCE(20)</f>
        <v>1</v>
      </c>
      <c r="E9" s="2">
        <f>J8</f>
        <v>453044435.66001445</v>
      </c>
      <c r="F9" s="2">
        <f>E9*$E$4</f>
        <v>13591333.069800433</v>
      </c>
      <c r="G9" s="2">
        <f>PMT($E$4,20,-$E$8)</f>
        <v>30451702.315707587</v>
      </c>
      <c r="H9" s="2"/>
      <c r="I9" s="2">
        <f t="shared" ref="I9:I28" si="1">G9-F9</f>
        <v>16860369.245907154</v>
      </c>
      <c r="J9" s="2">
        <f t="shared" ref="J9:J28" si="2">E9-I9</f>
        <v>436184066.41410732</v>
      </c>
      <c r="K9" s="2"/>
      <c r="L9" s="2"/>
      <c r="O9">
        <v>1</v>
      </c>
      <c r="P9" s="5">
        <f>T8</f>
        <v>3932727.4544417555</v>
      </c>
      <c r="Q9" s="5">
        <f>T8*$P$4</f>
        <v>39327.27454441756</v>
      </c>
      <c r="R9" s="5">
        <f>Q9</f>
        <v>39327.27454441756</v>
      </c>
      <c r="S9" s="5">
        <f>R9-Q9</f>
        <v>0</v>
      </c>
      <c r="T9" s="5">
        <f>P9-S9</f>
        <v>3932727.4544417555</v>
      </c>
      <c r="W9" t="s">
        <v>27</v>
      </c>
      <c r="X9" s="3">
        <v>0.02</v>
      </c>
    </row>
    <row r="10" spans="1:30" x14ac:dyDescent="0.25">
      <c r="D10">
        <v>2</v>
      </c>
      <c r="E10" s="2">
        <f t="shared" ref="E10:E28" si="3">J9</f>
        <v>436184066.41410732</v>
      </c>
      <c r="F10" s="2">
        <f t="shared" ref="F10:F28" si="4">E10*$E$4</f>
        <v>13085521.99242322</v>
      </c>
      <c r="G10" s="2">
        <f t="shared" ref="G10:G28" si="5">PMT($E$4,20,-$E$8)</f>
        <v>30451702.315707587</v>
      </c>
      <c r="H10" s="2"/>
      <c r="I10" s="2">
        <f t="shared" si="1"/>
        <v>17366180.323284365</v>
      </c>
      <c r="J10" s="2">
        <f t="shared" si="2"/>
        <v>418817886.09082294</v>
      </c>
      <c r="K10" s="2"/>
      <c r="L10" s="2"/>
      <c r="O10">
        <v>2</v>
      </c>
      <c r="P10" s="5">
        <f t="shared" ref="P10:P26" si="6">T9</f>
        <v>3932727.4544417555</v>
      </c>
      <c r="Q10" s="5">
        <f t="shared" ref="Q10:Q20" si="7">T9*$P$4</f>
        <v>39327.27454441756</v>
      </c>
      <c r="R10" s="5">
        <f t="shared" ref="R10:R14" si="8">Q10</f>
        <v>39327.27454441756</v>
      </c>
      <c r="S10" s="5">
        <f t="shared" ref="S10:S26" si="9">R10-Q10</f>
        <v>0</v>
      </c>
      <c r="T10" s="5">
        <f t="shared" ref="T10:T26" si="10">P10-S10</f>
        <v>3932727.4544417555</v>
      </c>
      <c r="W10" t="s">
        <v>28</v>
      </c>
    </row>
    <row r="11" spans="1:30" x14ac:dyDescent="0.25">
      <c r="D11">
        <v>3</v>
      </c>
      <c r="E11" s="2">
        <f t="shared" si="3"/>
        <v>418817886.09082294</v>
      </c>
      <c r="F11" s="2">
        <f t="shared" si="4"/>
        <v>12564536.582724687</v>
      </c>
      <c r="G11" s="2">
        <f t="shared" si="5"/>
        <v>30451702.315707587</v>
      </c>
      <c r="H11" s="2"/>
      <c r="I11" s="2">
        <f t="shared" si="1"/>
        <v>17887165.7329829</v>
      </c>
      <c r="J11" s="2">
        <f t="shared" si="2"/>
        <v>400930720.35784006</v>
      </c>
      <c r="K11" s="2"/>
      <c r="L11" s="2"/>
      <c r="O11">
        <v>3</v>
      </c>
      <c r="P11" s="5">
        <f t="shared" si="6"/>
        <v>3932727.4544417555</v>
      </c>
      <c r="Q11" s="5">
        <f t="shared" si="7"/>
        <v>39327.27454441756</v>
      </c>
      <c r="R11" s="5">
        <f t="shared" si="8"/>
        <v>39327.27454441756</v>
      </c>
      <c r="S11" s="5">
        <f t="shared" si="9"/>
        <v>0</v>
      </c>
      <c r="T11" s="5">
        <f t="shared" si="10"/>
        <v>3932727.4544417555</v>
      </c>
      <c r="W11" t="s">
        <v>1</v>
      </c>
      <c r="X11">
        <v>12</v>
      </c>
    </row>
    <row r="12" spans="1:30" x14ac:dyDescent="0.25">
      <c r="D12">
        <v>4</v>
      </c>
      <c r="E12" s="2">
        <f t="shared" si="3"/>
        <v>400930720.35784006</v>
      </c>
      <c r="F12" s="2">
        <f t="shared" si="4"/>
        <v>12027921.610735202</v>
      </c>
      <c r="G12" s="2">
        <f t="shared" si="5"/>
        <v>30451702.315707587</v>
      </c>
      <c r="H12" s="2"/>
      <c r="I12" s="2">
        <f t="shared" si="1"/>
        <v>18423780.704972386</v>
      </c>
      <c r="J12" s="2">
        <f t="shared" si="2"/>
        <v>382506939.65286767</v>
      </c>
      <c r="K12" s="2"/>
      <c r="L12" s="2"/>
      <c r="O12">
        <v>4</v>
      </c>
      <c r="P12" s="5">
        <f t="shared" si="6"/>
        <v>3932727.4544417555</v>
      </c>
      <c r="Q12" s="5">
        <f t="shared" si="7"/>
        <v>39327.27454441756</v>
      </c>
      <c r="R12" s="5">
        <f t="shared" si="8"/>
        <v>39327.27454441756</v>
      </c>
      <c r="S12" s="5">
        <f t="shared" si="9"/>
        <v>0</v>
      </c>
      <c r="T12" s="5">
        <f t="shared" si="10"/>
        <v>3932727.4544417555</v>
      </c>
      <c r="W12" t="s">
        <v>21</v>
      </c>
      <c r="X12" s="9">
        <v>1.2E-2</v>
      </c>
    </row>
    <row r="13" spans="1:30" x14ac:dyDescent="0.25">
      <c r="D13">
        <v>5</v>
      </c>
      <c r="E13" s="2">
        <f t="shared" si="3"/>
        <v>382506939.65286767</v>
      </c>
      <c r="F13" s="2">
        <f t="shared" si="4"/>
        <v>11475208.18958603</v>
      </c>
      <c r="G13" s="2">
        <f t="shared" si="5"/>
        <v>30451702.315707587</v>
      </c>
      <c r="H13" s="2"/>
      <c r="I13" s="2">
        <f t="shared" si="1"/>
        <v>18976494.126121558</v>
      </c>
      <c r="J13" s="2">
        <f t="shared" si="2"/>
        <v>363530445.52674609</v>
      </c>
      <c r="K13" s="2"/>
      <c r="L13" s="2"/>
      <c r="O13">
        <v>5</v>
      </c>
      <c r="P13" s="5">
        <f t="shared" si="6"/>
        <v>3932727.4544417555</v>
      </c>
      <c r="Q13" s="5">
        <f t="shared" si="7"/>
        <v>39327.27454441756</v>
      </c>
      <c r="R13" s="5">
        <f t="shared" si="8"/>
        <v>39327.27454441756</v>
      </c>
      <c r="S13" s="5">
        <f t="shared" si="9"/>
        <v>0</v>
      </c>
      <c r="T13" s="5">
        <f t="shared" si="10"/>
        <v>3932727.4544417555</v>
      </c>
      <c r="W13" t="s">
        <v>11</v>
      </c>
      <c r="X13" s="2">
        <v>13214728.303517915</v>
      </c>
    </row>
    <row r="14" spans="1:30" x14ac:dyDescent="0.25">
      <c r="D14">
        <v>6</v>
      </c>
      <c r="E14" s="2">
        <f t="shared" si="3"/>
        <v>363530445.52674609</v>
      </c>
      <c r="F14" s="2">
        <f t="shared" si="4"/>
        <v>10905913.365802383</v>
      </c>
      <c r="G14" s="2">
        <f t="shared" si="5"/>
        <v>30451702.315707587</v>
      </c>
      <c r="H14" s="2"/>
      <c r="I14" s="2">
        <f t="shared" si="1"/>
        <v>19545788.949905202</v>
      </c>
      <c r="J14" s="2">
        <f t="shared" si="2"/>
        <v>343984656.57684088</v>
      </c>
      <c r="K14" s="2"/>
      <c r="L14" s="2"/>
      <c r="O14">
        <v>6</v>
      </c>
      <c r="P14" s="5">
        <f t="shared" si="6"/>
        <v>3932727.4544417555</v>
      </c>
      <c r="Q14" s="5">
        <f t="shared" si="7"/>
        <v>39327.27454441756</v>
      </c>
      <c r="R14" s="5">
        <f t="shared" si="8"/>
        <v>39327.27454441756</v>
      </c>
      <c r="S14" s="5">
        <f t="shared" si="9"/>
        <v>0</v>
      </c>
      <c r="T14" s="5">
        <f t="shared" si="10"/>
        <v>3932727.4544417555</v>
      </c>
    </row>
    <row r="15" spans="1:30" x14ac:dyDescent="0.25">
      <c r="D15">
        <v>7</v>
      </c>
      <c r="E15" s="2">
        <f t="shared" si="3"/>
        <v>343984656.57684088</v>
      </c>
      <c r="F15" s="2">
        <f t="shared" si="4"/>
        <v>10319539.697305227</v>
      </c>
      <c r="G15" s="2">
        <f t="shared" si="5"/>
        <v>30451702.315707587</v>
      </c>
      <c r="H15" s="2"/>
      <c r="I15" s="2">
        <f t="shared" si="1"/>
        <v>20132162.618402362</v>
      </c>
      <c r="J15" s="2">
        <f t="shared" si="2"/>
        <v>323852493.95843852</v>
      </c>
      <c r="K15" s="2"/>
      <c r="L15" s="2"/>
      <c r="O15">
        <v>7</v>
      </c>
      <c r="P15" s="5">
        <f t="shared" si="6"/>
        <v>3932727.4544417555</v>
      </c>
      <c r="Q15" s="5">
        <f t="shared" si="7"/>
        <v>39327.27454441756</v>
      </c>
      <c r="R15" s="5">
        <f>$P$3</f>
        <v>350000</v>
      </c>
      <c r="S15" s="5">
        <f t="shared" si="9"/>
        <v>310672.72545558243</v>
      </c>
      <c r="T15" s="5">
        <f t="shared" si="10"/>
        <v>3622054.7289861729</v>
      </c>
      <c r="W15" t="s">
        <v>6</v>
      </c>
      <c r="X15" t="s">
        <v>7</v>
      </c>
      <c r="Y15" t="s">
        <v>8</v>
      </c>
      <c r="Z15" t="s">
        <v>11</v>
      </c>
      <c r="AA15" s="2" t="s">
        <v>12</v>
      </c>
      <c r="AB15" s="2" t="s">
        <v>9</v>
      </c>
      <c r="AC15" s="2" t="s">
        <v>10</v>
      </c>
    </row>
    <row r="16" spans="1:30" x14ac:dyDescent="0.25">
      <c r="D16">
        <v>8</v>
      </c>
      <c r="E16" s="2">
        <f t="shared" si="3"/>
        <v>323852493.95843852</v>
      </c>
      <c r="F16" s="2">
        <f t="shared" si="4"/>
        <v>9715574.8187531549</v>
      </c>
      <c r="G16" s="2">
        <f t="shared" si="5"/>
        <v>30451702.315707587</v>
      </c>
      <c r="H16" s="2"/>
      <c r="I16" s="2">
        <f t="shared" si="1"/>
        <v>20736127.496954434</v>
      </c>
      <c r="J16" s="2">
        <f t="shared" si="2"/>
        <v>303116366.46148407</v>
      </c>
      <c r="K16" s="2"/>
      <c r="L16" s="2"/>
      <c r="O16">
        <v>8</v>
      </c>
      <c r="P16" s="5">
        <f t="shared" si="6"/>
        <v>3622054.7289861729</v>
      </c>
      <c r="Q16" s="5">
        <f t="shared" si="7"/>
        <v>36220.54728986173</v>
      </c>
      <c r="R16" s="5">
        <f t="shared" ref="R16:R26" si="11">$P$3</f>
        <v>350000</v>
      </c>
      <c r="S16" s="5">
        <f t="shared" si="9"/>
        <v>313779.45271013828</v>
      </c>
      <c r="T16" s="5">
        <f t="shared" si="10"/>
        <v>3308275.2762760348</v>
      </c>
      <c r="W16" cm="1">
        <f t="array" ref="W16:W52">_xlfn.SEQUENCE(37,,0,1)</f>
        <v>0</v>
      </c>
      <c r="X16" s="2">
        <f>X2</f>
        <v>300000000</v>
      </c>
      <c r="Y16" s="2"/>
      <c r="Z16" s="2"/>
      <c r="AA16" s="2"/>
      <c r="AB16" s="2"/>
      <c r="AC16" s="2">
        <f>X16</f>
        <v>300000000</v>
      </c>
    </row>
    <row r="17" spans="4:29" x14ac:dyDescent="0.25">
      <c r="D17">
        <v>9</v>
      </c>
      <c r="E17" s="2">
        <f t="shared" si="3"/>
        <v>303116366.46148407</v>
      </c>
      <c r="F17" s="2">
        <f t="shared" si="4"/>
        <v>9093490.9938445222</v>
      </c>
      <c r="G17" s="2">
        <f t="shared" si="5"/>
        <v>30451702.315707587</v>
      </c>
      <c r="H17" s="2"/>
      <c r="I17" s="2">
        <f t="shared" si="1"/>
        <v>21358211.321863063</v>
      </c>
      <c r="J17" s="2">
        <f t="shared" si="2"/>
        <v>281758155.13962102</v>
      </c>
      <c r="K17" s="2"/>
      <c r="L17" s="2"/>
      <c r="O17">
        <v>9</v>
      </c>
      <c r="P17" s="5">
        <f t="shared" si="6"/>
        <v>3308275.2762760348</v>
      </c>
      <c r="Q17" s="5">
        <f t="shared" si="7"/>
        <v>33082.752762760349</v>
      </c>
      <c r="R17" s="5">
        <f t="shared" si="11"/>
        <v>350000</v>
      </c>
      <c r="S17" s="5">
        <f t="shared" si="9"/>
        <v>316917.24723723967</v>
      </c>
      <c r="T17" s="5">
        <f t="shared" si="10"/>
        <v>2991358.0290387953</v>
      </c>
      <c r="W17">
        <v>1</v>
      </c>
    </row>
    <row r="18" spans="4:29" x14ac:dyDescent="0.25">
      <c r="D18">
        <v>10</v>
      </c>
      <c r="E18" s="2">
        <f t="shared" si="3"/>
        <v>281758155.13962102</v>
      </c>
      <c r="F18" s="2">
        <f t="shared" si="4"/>
        <v>8452744.6541886311</v>
      </c>
      <c r="G18" s="2">
        <f t="shared" si="5"/>
        <v>30451702.315707587</v>
      </c>
      <c r="H18" s="2"/>
      <c r="I18" s="2">
        <f t="shared" si="1"/>
        <v>21998957.661518954</v>
      </c>
      <c r="J18" s="2">
        <f t="shared" si="2"/>
        <v>259759197.47810206</v>
      </c>
      <c r="K18" s="2"/>
      <c r="L18" s="2"/>
      <c r="O18">
        <v>10</v>
      </c>
      <c r="P18" s="5">
        <f t="shared" si="6"/>
        <v>2991358.0290387953</v>
      </c>
      <c r="Q18" s="5">
        <f t="shared" si="7"/>
        <v>29913.580290387952</v>
      </c>
      <c r="R18" s="5">
        <f t="shared" si="11"/>
        <v>350000</v>
      </c>
      <c r="S18" s="5">
        <f t="shared" si="9"/>
        <v>320086.41970961203</v>
      </c>
      <c r="T18" s="5">
        <f t="shared" si="10"/>
        <v>2671271.6093291831</v>
      </c>
      <c r="W18">
        <v>2</v>
      </c>
      <c r="X18" s="2"/>
      <c r="Y18" s="2"/>
      <c r="Z18" s="2"/>
      <c r="AA18" s="2"/>
      <c r="AB18" s="2"/>
      <c r="AC18" s="2"/>
    </row>
    <row r="19" spans="4:29" x14ac:dyDescent="0.25">
      <c r="D19">
        <v>11</v>
      </c>
      <c r="E19" s="2">
        <f t="shared" si="3"/>
        <v>259759197.47810206</v>
      </c>
      <c r="F19" s="2">
        <f t="shared" si="4"/>
        <v>7792775.9243430616</v>
      </c>
      <c r="G19" s="2">
        <f t="shared" si="5"/>
        <v>30451702.315707587</v>
      </c>
      <c r="H19" s="2"/>
      <c r="I19" s="2">
        <f t="shared" si="1"/>
        <v>22658926.391364526</v>
      </c>
      <c r="J19" s="2">
        <f t="shared" si="2"/>
        <v>237100271.08673754</v>
      </c>
      <c r="K19" s="2"/>
      <c r="L19" s="2"/>
      <c r="O19">
        <v>11</v>
      </c>
      <c r="P19" s="5">
        <f t="shared" si="6"/>
        <v>2671271.6093291831</v>
      </c>
      <c r="Q19" s="5">
        <f t="shared" si="7"/>
        <v>26712.71609329183</v>
      </c>
      <c r="R19" s="5">
        <f t="shared" si="11"/>
        <v>350000</v>
      </c>
      <c r="S19" s="5">
        <f t="shared" si="9"/>
        <v>323287.28390670818</v>
      </c>
      <c r="T19" s="5">
        <f t="shared" si="10"/>
        <v>2347984.3254224751</v>
      </c>
      <c r="W19">
        <v>3</v>
      </c>
      <c r="X19" s="2">
        <f>AC16</f>
        <v>300000000</v>
      </c>
      <c r="Y19" s="2">
        <f>AC16*$X$6</f>
        <v>8400000</v>
      </c>
      <c r="Z19" s="2">
        <f>$X$13</f>
        <v>13214728.303517915</v>
      </c>
      <c r="AA19" s="2"/>
      <c r="AB19" s="2">
        <f>Z19-Y19</f>
        <v>4814728.3035179153</v>
      </c>
      <c r="AC19" s="2">
        <f>X19-AB19</f>
        <v>295185271.69648206</v>
      </c>
    </row>
    <row r="20" spans="4:29" x14ac:dyDescent="0.25">
      <c r="D20">
        <v>12</v>
      </c>
      <c r="E20" s="2">
        <f t="shared" si="3"/>
        <v>237100271.08673754</v>
      </c>
      <c r="F20" s="2">
        <f t="shared" si="4"/>
        <v>7113008.1326021263</v>
      </c>
      <c r="G20" s="2">
        <f t="shared" si="5"/>
        <v>30451702.315707587</v>
      </c>
      <c r="H20" s="2">
        <v>25000000</v>
      </c>
      <c r="I20" s="2">
        <f t="shared" si="1"/>
        <v>23338694.183105461</v>
      </c>
      <c r="J20" s="2">
        <f t="shared" si="2"/>
        <v>213761576.90363207</v>
      </c>
      <c r="K20" s="2"/>
      <c r="L20" s="2"/>
      <c r="O20">
        <v>12</v>
      </c>
      <c r="P20" s="5">
        <f t="shared" si="6"/>
        <v>2347984.3254224751</v>
      </c>
      <c r="Q20" s="5">
        <f t="shared" si="7"/>
        <v>23479.84325422475</v>
      </c>
      <c r="R20" s="5">
        <f t="shared" si="11"/>
        <v>350000</v>
      </c>
      <c r="S20" s="5">
        <f t="shared" si="9"/>
        <v>326520.15674577525</v>
      </c>
      <c r="T20" s="5">
        <f t="shared" si="10"/>
        <v>2021464.1686767</v>
      </c>
      <c r="W20">
        <v>4</v>
      </c>
      <c r="X20" s="2"/>
      <c r="Y20" s="2"/>
      <c r="Z20" s="2"/>
      <c r="AA20" s="2"/>
      <c r="AB20" s="2"/>
      <c r="AC20" s="2"/>
    </row>
    <row r="21" spans="4:29" x14ac:dyDescent="0.25">
      <c r="D21">
        <v>13</v>
      </c>
      <c r="E21" s="2">
        <f t="shared" si="3"/>
        <v>213761576.90363207</v>
      </c>
      <c r="F21" s="2">
        <f t="shared" si="4"/>
        <v>6412847.307108962</v>
      </c>
      <c r="G21" s="2">
        <f t="shared" si="5"/>
        <v>30451702.315707587</v>
      </c>
      <c r="H21" s="2"/>
      <c r="I21" s="2">
        <f t="shared" si="1"/>
        <v>24038855.008598626</v>
      </c>
      <c r="J21" s="2">
        <f t="shared" si="2"/>
        <v>189722721.89503345</v>
      </c>
      <c r="K21" s="2"/>
      <c r="L21" s="2"/>
      <c r="O21">
        <v>13</v>
      </c>
      <c r="P21" s="5">
        <f t="shared" si="6"/>
        <v>2021464.1686767</v>
      </c>
      <c r="Q21" s="10">
        <f>T20*$P$5</f>
        <v>22236.105855443697</v>
      </c>
      <c r="R21" s="5">
        <f t="shared" si="11"/>
        <v>350000</v>
      </c>
      <c r="S21" s="5">
        <f t="shared" si="9"/>
        <v>327763.89414455631</v>
      </c>
      <c r="T21" s="5">
        <f t="shared" si="10"/>
        <v>1693700.2745321437</v>
      </c>
      <c r="W21">
        <v>5</v>
      </c>
      <c r="X21" s="2"/>
      <c r="Y21" s="2"/>
      <c r="Z21" s="2"/>
      <c r="AA21" s="2"/>
      <c r="AB21" s="2"/>
      <c r="AC21" s="2"/>
    </row>
    <row r="22" spans="4:29" x14ac:dyDescent="0.25">
      <c r="D22">
        <v>14</v>
      </c>
      <c r="E22" s="2">
        <f t="shared" si="3"/>
        <v>189722721.89503345</v>
      </c>
      <c r="F22" s="2">
        <f t="shared" si="4"/>
        <v>5691681.6568510029</v>
      </c>
      <c r="G22" s="2">
        <f t="shared" si="5"/>
        <v>30451702.315707587</v>
      </c>
      <c r="H22" s="2"/>
      <c r="I22" s="2">
        <f t="shared" si="1"/>
        <v>24760020.658856586</v>
      </c>
      <c r="J22" s="2">
        <f t="shared" si="2"/>
        <v>164962701.23617685</v>
      </c>
      <c r="K22" s="2"/>
      <c r="L22" s="2"/>
      <c r="O22">
        <v>14</v>
      </c>
      <c r="P22" s="5">
        <f t="shared" si="6"/>
        <v>1693700.2745321437</v>
      </c>
      <c r="Q22" s="10">
        <f t="shared" ref="Q22:Q26" si="12">T21*$P$5</f>
        <v>18630.703019853579</v>
      </c>
      <c r="R22" s="5">
        <f t="shared" si="11"/>
        <v>350000</v>
      </c>
      <c r="S22" s="5">
        <f t="shared" si="9"/>
        <v>331369.29698014644</v>
      </c>
      <c r="T22" s="5">
        <f t="shared" si="10"/>
        <v>1362330.9775519972</v>
      </c>
      <c r="W22">
        <v>6</v>
      </c>
      <c r="X22" s="2">
        <f>AC19</f>
        <v>295185271.69648206</v>
      </c>
      <c r="Y22" s="2">
        <f>AC19*$X$6</f>
        <v>8265187.6075014975</v>
      </c>
      <c r="Z22" s="2">
        <f>$X$13</f>
        <v>13214728.303517915</v>
      </c>
      <c r="AA22" s="2">
        <f>Z22*2</f>
        <v>26429456.607035831</v>
      </c>
      <c r="AB22" s="2">
        <f>Z22-Y22+AA22</f>
        <v>31378997.303052247</v>
      </c>
      <c r="AC22" s="5">
        <f>X22-AB22</f>
        <v>263806274.39342982</v>
      </c>
    </row>
    <row r="23" spans="4:29" x14ac:dyDescent="0.25">
      <c r="D23">
        <v>15</v>
      </c>
      <c r="E23" s="2">
        <f t="shared" si="3"/>
        <v>164962701.23617685</v>
      </c>
      <c r="F23" s="2">
        <f t="shared" si="4"/>
        <v>4948881.037085305</v>
      </c>
      <c r="G23" s="2">
        <f t="shared" si="5"/>
        <v>30451702.315707587</v>
      </c>
      <c r="H23" s="2"/>
      <c r="I23" s="2">
        <f t="shared" si="1"/>
        <v>25502821.278622281</v>
      </c>
      <c r="J23" s="2">
        <f t="shared" si="2"/>
        <v>139459879.95755458</v>
      </c>
      <c r="K23" s="2"/>
      <c r="L23" s="2"/>
      <c r="O23">
        <v>15</v>
      </c>
      <c r="P23" s="5">
        <f t="shared" si="6"/>
        <v>1362330.9775519972</v>
      </c>
      <c r="Q23" s="10">
        <f t="shared" si="12"/>
        <v>14985.640753071968</v>
      </c>
      <c r="R23" s="5">
        <f t="shared" si="11"/>
        <v>350000</v>
      </c>
      <c r="S23" s="5">
        <f t="shared" si="9"/>
        <v>335014.35924692801</v>
      </c>
      <c r="T23" s="5">
        <f t="shared" si="10"/>
        <v>1027316.6183050692</v>
      </c>
      <c r="W23">
        <v>7</v>
      </c>
      <c r="X23" s="2"/>
      <c r="Y23" s="2"/>
      <c r="Z23" s="2"/>
      <c r="AA23" s="2"/>
      <c r="AB23" s="2"/>
      <c r="AC23" s="2"/>
    </row>
    <row r="24" spans="4:29" x14ac:dyDescent="0.25">
      <c r="D24">
        <v>16</v>
      </c>
      <c r="E24" s="2">
        <f t="shared" si="3"/>
        <v>139459879.95755458</v>
      </c>
      <c r="F24" s="2">
        <f t="shared" si="4"/>
        <v>4183796.398726637</v>
      </c>
      <c r="G24" s="2">
        <f t="shared" si="5"/>
        <v>30451702.315707587</v>
      </c>
      <c r="H24" s="2">
        <v>25000000</v>
      </c>
      <c r="I24" s="2">
        <f t="shared" si="1"/>
        <v>26267905.916980948</v>
      </c>
      <c r="J24" s="2">
        <f t="shared" si="2"/>
        <v>113191974.04057363</v>
      </c>
      <c r="K24" s="2"/>
      <c r="L24" s="2"/>
      <c r="O24">
        <v>16</v>
      </c>
      <c r="P24" s="5">
        <f t="shared" si="6"/>
        <v>1027316.6183050692</v>
      </c>
      <c r="Q24" s="10">
        <f t="shared" si="12"/>
        <v>11300.48280135576</v>
      </c>
      <c r="R24" s="5">
        <f t="shared" si="11"/>
        <v>350000</v>
      </c>
      <c r="S24" s="5">
        <f t="shared" si="9"/>
        <v>338699.51719864423</v>
      </c>
      <c r="T24" s="5">
        <f t="shared" si="10"/>
        <v>688617.10110642493</v>
      </c>
      <c r="W24">
        <v>8</v>
      </c>
      <c r="X24" s="2"/>
      <c r="Y24" s="2"/>
      <c r="Z24" s="2"/>
      <c r="AA24" s="2"/>
      <c r="AB24" s="2"/>
      <c r="AC24" s="2"/>
    </row>
    <row r="25" spans="4:29" x14ac:dyDescent="0.25">
      <c r="D25">
        <v>17</v>
      </c>
      <c r="E25" s="2">
        <f t="shared" si="3"/>
        <v>113191974.04057363</v>
      </c>
      <c r="F25" s="2">
        <f t="shared" si="4"/>
        <v>3395759.2212172085</v>
      </c>
      <c r="G25" s="2">
        <f t="shared" si="5"/>
        <v>30451702.315707587</v>
      </c>
      <c r="H25" s="2"/>
      <c r="I25" s="2">
        <f t="shared" si="1"/>
        <v>27055943.094490379</v>
      </c>
      <c r="J25" s="2">
        <f t="shared" si="2"/>
        <v>86136030.946083248</v>
      </c>
      <c r="K25" s="2"/>
      <c r="L25" s="2"/>
      <c r="O25">
        <v>17</v>
      </c>
      <c r="P25" s="5">
        <f t="shared" si="6"/>
        <v>688617.10110642493</v>
      </c>
      <c r="Q25" s="10">
        <f t="shared" si="12"/>
        <v>7574.7881121706741</v>
      </c>
      <c r="R25" s="5">
        <f t="shared" si="11"/>
        <v>350000</v>
      </c>
      <c r="S25" s="5">
        <f t="shared" si="9"/>
        <v>342425.21188782935</v>
      </c>
      <c r="T25" s="5">
        <f t="shared" si="10"/>
        <v>346191.88921859558</v>
      </c>
      <c r="W25">
        <v>9</v>
      </c>
      <c r="X25" s="2">
        <f>AC22</f>
        <v>263806274.39342982</v>
      </c>
      <c r="Y25" s="2">
        <f>AC22*$X$6</f>
        <v>7386575.6830160348</v>
      </c>
      <c r="Z25" s="2">
        <f>$X$13</f>
        <v>13214728.303517915</v>
      </c>
      <c r="AA25" s="2"/>
      <c r="AB25" s="2">
        <f>Z25-Y25</f>
        <v>5828152.6205018805</v>
      </c>
      <c r="AC25" s="5">
        <f>X25-AB25</f>
        <v>257978121.77292794</v>
      </c>
    </row>
    <row r="26" spans="4:29" x14ac:dyDescent="0.25">
      <c r="D26">
        <v>18</v>
      </c>
      <c r="E26" s="2">
        <f t="shared" si="3"/>
        <v>86136030.946083248</v>
      </c>
      <c r="F26" s="2">
        <f t="shared" si="4"/>
        <v>2584080.9283824973</v>
      </c>
      <c r="G26" s="2">
        <f t="shared" si="5"/>
        <v>30451702.315707587</v>
      </c>
      <c r="H26" s="2"/>
      <c r="I26" s="2">
        <f t="shared" si="1"/>
        <v>27867621.387325089</v>
      </c>
      <c r="J26" s="2">
        <f t="shared" si="2"/>
        <v>58268409.558758155</v>
      </c>
      <c r="K26" s="2"/>
      <c r="L26" s="2"/>
      <c r="O26">
        <v>18</v>
      </c>
      <c r="P26" s="5">
        <f t="shared" si="6"/>
        <v>346191.88921859558</v>
      </c>
      <c r="Q26" s="10">
        <f t="shared" si="12"/>
        <v>3808.1107814045513</v>
      </c>
      <c r="R26" s="5">
        <f t="shared" si="11"/>
        <v>350000</v>
      </c>
      <c r="S26" s="5">
        <f t="shared" si="9"/>
        <v>346191.88921859546</v>
      </c>
      <c r="T26" s="5">
        <f t="shared" si="10"/>
        <v>0</v>
      </c>
      <c r="W26">
        <v>10</v>
      </c>
      <c r="X26" s="2"/>
      <c r="Y26" s="2"/>
      <c r="Z26" s="2"/>
      <c r="AA26" s="2"/>
      <c r="AB26" s="2"/>
      <c r="AC26" s="2"/>
    </row>
    <row r="27" spans="4:29" x14ac:dyDescent="0.25">
      <c r="D27">
        <v>19</v>
      </c>
      <c r="E27" s="2">
        <f t="shared" si="3"/>
        <v>58268409.558758155</v>
      </c>
      <c r="F27" s="2">
        <f t="shared" si="4"/>
        <v>1748052.2867627447</v>
      </c>
      <c r="G27" s="2">
        <f t="shared" si="5"/>
        <v>30451702.315707587</v>
      </c>
      <c r="H27" s="2"/>
      <c r="I27" s="2">
        <f t="shared" si="1"/>
        <v>28703650.028944843</v>
      </c>
      <c r="J27" s="2">
        <f t="shared" si="2"/>
        <v>29564759.529813312</v>
      </c>
      <c r="K27" s="2"/>
      <c r="L27" s="2"/>
      <c r="W27">
        <v>11</v>
      </c>
      <c r="X27" s="2"/>
      <c r="Y27" s="2"/>
      <c r="Z27" s="2"/>
      <c r="AA27" s="2"/>
      <c r="AB27" s="2"/>
      <c r="AC27" s="2"/>
    </row>
    <row r="28" spans="4:29" x14ac:dyDescent="0.25">
      <c r="D28">
        <v>20</v>
      </c>
      <c r="E28" s="2">
        <f t="shared" si="3"/>
        <v>29564759.529813312</v>
      </c>
      <c r="F28" s="2">
        <f t="shared" si="4"/>
        <v>886942.78589439928</v>
      </c>
      <c r="G28" s="2">
        <f t="shared" si="5"/>
        <v>30451702.315707587</v>
      </c>
      <c r="H28" s="2">
        <v>25000000</v>
      </c>
      <c r="I28" s="2">
        <f t="shared" si="1"/>
        <v>29564759.529813189</v>
      </c>
      <c r="J28" s="2">
        <f t="shared" si="2"/>
        <v>1.2293457984924316E-7</v>
      </c>
      <c r="K28" s="2"/>
      <c r="L28" s="2"/>
      <c r="W28">
        <v>12</v>
      </c>
      <c r="X28" s="2">
        <f>AC25</f>
        <v>257978121.77292794</v>
      </c>
      <c r="Y28" s="2">
        <f>AC25*$X$6</f>
        <v>7223387.4096419821</v>
      </c>
      <c r="Z28" s="2">
        <f>$X$13</f>
        <v>13214728.303517915</v>
      </c>
      <c r="AA28" s="2"/>
      <c r="AB28" s="2">
        <f>Z28-Y28</f>
        <v>5991340.8938759333</v>
      </c>
      <c r="AC28" s="5">
        <f>X28-AB28</f>
        <v>251986780.87905201</v>
      </c>
    </row>
    <row r="29" spans="4:29" x14ac:dyDescent="0.25">
      <c r="W29">
        <v>13</v>
      </c>
      <c r="X29" s="2"/>
      <c r="Y29" s="2"/>
      <c r="Z29" s="2"/>
      <c r="AA29" s="2"/>
      <c r="AB29" s="2"/>
      <c r="AC29" s="2"/>
    </row>
    <row r="30" spans="4:29" x14ac:dyDescent="0.25">
      <c r="W30">
        <v>14</v>
      </c>
      <c r="X30" s="2">
        <f>AC28</f>
        <v>251986780.87905201</v>
      </c>
      <c r="Y30" s="2">
        <f>X30*$X$9</f>
        <v>5039735.6175810406</v>
      </c>
      <c r="Z30" s="2">
        <f>$X$13</f>
        <v>13214728.303517915</v>
      </c>
      <c r="AA30" s="2"/>
      <c r="AB30" s="2">
        <f>Z30-Y30</f>
        <v>8174992.6859368747</v>
      </c>
      <c r="AC30" s="2">
        <f>X30-AB30</f>
        <v>243811788.19311514</v>
      </c>
    </row>
    <row r="31" spans="4:29" x14ac:dyDescent="0.25">
      <c r="W31">
        <v>15</v>
      </c>
      <c r="X31" s="2"/>
      <c r="Y31" s="2"/>
      <c r="Z31" s="2"/>
      <c r="AA31" s="2"/>
      <c r="AB31" s="2"/>
      <c r="AC31" s="2"/>
    </row>
    <row r="32" spans="4:29" x14ac:dyDescent="0.25">
      <c r="W32">
        <v>16</v>
      </c>
      <c r="X32" s="2">
        <f>AC30</f>
        <v>243811788.19311514</v>
      </c>
      <c r="Y32" s="2">
        <f>X32*$X$9</f>
        <v>4876235.7638623035</v>
      </c>
      <c r="Z32" s="2">
        <f>$X$13</f>
        <v>13214728.303517915</v>
      </c>
      <c r="AA32" s="2"/>
      <c r="AB32" s="2">
        <f>Z32-Y32</f>
        <v>8338492.5396556119</v>
      </c>
      <c r="AC32" s="2">
        <f>X32-AB32</f>
        <v>235473295.65345952</v>
      </c>
    </row>
    <row r="33" spans="23:29" x14ac:dyDescent="0.25">
      <c r="W33">
        <v>17</v>
      </c>
      <c r="X33" s="2"/>
      <c r="Y33" s="2"/>
      <c r="Z33" s="2"/>
      <c r="AA33" s="2"/>
      <c r="AB33" s="2"/>
      <c r="AC33" s="2"/>
    </row>
    <row r="34" spans="23:29" x14ac:dyDescent="0.25">
      <c r="W34">
        <v>18</v>
      </c>
      <c r="X34" s="2">
        <f>AC32</f>
        <v>235473295.65345952</v>
      </c>
      <c r="Y34" s="2">
        <f>X34*$X$9</f>
        <v>4709465.9130691905</v>
      </c>
      <c r="Z34" s="2">
        <f>$X$13</f>
        <v>13214728.303517915</v>
      </c>
      <c r="AA34" s="2">
        <f>Z34*2</f>
        <v>26429456.607035831</v>
      </c>
      <c r="AB34" s="2">
        <f>Z34-Y34+AA34</f>
        <v>34934718.997484557</v>
      </c>
      <c r="AC34" s="2">
        <f>X34-AB34</f>
        <v>200538576.65597495</v>
      </c>
    </row>
    <row r="35" spans="23:29" x14ac:dyDescent="0.25">
      <c r="W35">
        <v>19</v>
      </c>
      <c r="X35" s="2"/>
      <c r="Y35" s="2"/>
      <c r="Z35" s="2"/>
      <c r="AA35" s="2"/>
      <c r="AB35" s="2"/>
      <c r="AC35" s="2"/>
    </row>
    <row r="36" spans="23:29" x14ac:dyDescent="0.25">
      <c r="W36">
        <v>20</v>
      </c>
      <c r="X36" s="2">
        <f>AC34</f>
        <v>200538576.65597495</v>
      </c>
      <c r="Y36" s="2">
        <f>X36*$X$9</f>
        <v>4010771.5331194992</v>
      </c>
      <c r="Z36" s="2">
        <f>$X$13</f>
        <v>13214728.303517915</v>
      </c>
      <c r="AA36" s="2"/>
      <c r="AB36" s="2">
        <f>Z36-Y36</f>
        <v>9203956.7703984156</v>
      </c>
      <c r="AC36" s="2">
        <f>X36-AB36</f>
        <v>191334619.88557655</v>
      </c>
    </row>
    <row r="37" spans="23:29" x14ac:dyDescent="0.25">
      <c r="W37">
        <v>21</v>
      </c>
      <c r="X37" s="2"/>
      <c r="Y37" s="2"/>
      <c r="Z37" s="2"/>
      <c r="AA37" s="2"/>
      <c r="AB37" s="2"/>
      <c r="AC37" s="2"/>
    </row>
    <row r="38" spans="23:29" x14ac:dyDescent="0.25">
      <c r="W38">
        <v>22</v>
      </c>
      <c r="X38" s="2">
        <f>AC36</f>
        <v>191334619.88557655</v>
      </c>
      <c r="Y38" s="2">
        <f>X38*$X$9</f>
        <v>3826692.3977115308</v>
      </c>
      <c r="Z38" s="2">
        <f>$X$13</f>
        <v>13214728.303517915</v>
      </c>
      <c r="AA38" s="2"/>
      <c r="AB38" s="2">
        <f>Z38-Y38</f>
        <v>9388035.905806385</v>
      </c>
      <c r="AC38" s="2">
        <f>X38-AB38</f>
        <v>181946583.97977015</v>
      </c>
    </row>
    <row r="39" spans="23:29" x14ac:dyDescent="0.25">
      <c r="W39">
        <v>23</v>
      </c>
    </row>
    <row r="40" spans="23:29" x14ac:dyDescent="0.25">
      <c r="W40">
        <v>24</v>
      </c>
      <c r="X40" s="2">
        <f>AC38</f>
        <v>181946583.97977015</v>
      </c>
      <c r="Y40" s="2">
        <f>X40*$X$9</f>
        <v>3638931.6795954034</v>
      </c>
      <c r="Z40" s="2">
        <f>$X$13</f>
        <v>13214728.303517915</v>
      </c>
      <c r="AA40" s="2"/>
      <c r="AB40" s="2">
        <f>Z40-Y40+AA40</f>
        <v>9575796.6239225119</v>
      </c>
      <c r="AC40" s="2">
        <f>X40-AB40</f>
        <v>172370787.35584766</v>
      </c>
    </row>
    <row r="41" spans="23:29" x14ac:dyDescent="0.25">
      <c r="W41">
        <v>25</v>
      </c>
      <c r="X41" s="5">
        <f>AC40</f>
        <v>172370787.35584766</v>
      </c>
      <c r="Y41" s="10">
        <f>X41*$X$12</f>
        <v>2068449.4482701719</v>
      </c>
      <c r="Z41" s="2">
        <f>$X$13</f>
        <v>13214728.303517915</v>
      </c>
      <c r="AA41" s="2"/>
      <c r="AB41" s="2">
        <f t="shared" ref="AB41:AB52" si="13">Z41-Y41+AA41</f>
        <v>11146278.855247743</v>
      </c>
      <c r="AC41" s="2">
        <f>X41-AB41</f>
        <v>161224508.50059992</v>
      </c>
    </row>
    <row r="42" spans="23:29" x14ac:dyDescent="0.25">
      <c r="W42">
        <v>26</v>
      </c>
      <c r="X42" s="5">
        <f t="shared" ref="X42:X52" si="14">AC41</f>
        <v>161224508.50059992</v>
      </c>
      <c r="Y42" s="10">
        <f t="shared" ref="Y42:Y52" si="15">X42*$X$12</f>
        <v>1934694.1020071991</v>
      </c>
      <c r="Z42" s="2">
        <f t="shared" ref="Z42:Z52" si="16">$X$13</f>
        <v>13214728.303517915</v>
      </c>
      <c r="AA42" s="2"/>
      <c r="AB42" s="2">
        <f t="shared" si="13"/>
        <v>11280034.201510716</v>
      </c>
      <c r="AC42" s="2">
        <f t="shared" ref="AC42:AC52" si="17">X42-AB42</f>
        <v>149944474.29908919</v>
      </c>
    </row>
    <row r="43" spans="23:29" x14ac:dyDescent="0.25">
      <c r="W43">
        <v>27</v>
      </c>
      <c r="X43" s="5">
        <f t="shared" si="14"/>
        <v>149944474.29908919</v>
      </c>
      <c r="Y43" s="10">
        <f t="shared" si="15"/>
        <v>1799333.6915890703</v>
      </c>
      <c r="Z43" s="2">
        <f t="shared" si="16"/>
        <v>13214728.303517915</v>
      </c>
      <c r="AA43" s="2">
        <f>Z43*2</f>
        <v>26429456.607035831</v>
      </c>
      <c r="AB43" s="2">
        <f t="shared" si="13"/>
        <v>37844851.218964674</v>
      </c>
      <c r="AC43" s="2">
        <f t="shared" si="17"/>
        <v>112099623.08012453</v>
      </c>
    </row>
    <row r="44" spans="23:29" x14ac:dyDescent="0.25">
      <c r="W44">
        <v>28</v>
      </c>
      <c r="X44" s="5">
        <f t="shared" si="14"/>
        <v>112099623.08012453</v>
      </c>
      <c r="Y44" s="10">
        <f t="shared" si="15"/>
        <v>1345195.4769614944</v>
      </c>
      <c r="Z44" s="2">
        <f t="shared" si="16"/>
        <v>13214728.303517915</v>
      </c>
      <c r="AA44" s="2"/>
      <c r="AB44" s="2">
        <f t="shared" si="13"/>
        <v>11869532.826556422</v>
      </c>
      <c r="AC44" s="2">
        <f t="shared" si="17"/>
        <v>100230090.25356811</v>
      </c>
    </row>
    <row r="45" spans="23:29" x14ac:dyDescent="0.25">
      <c r="W45">
        <v>29</v>
      </c>
      <c r="X45" s="5">
        <f t="shared" si="14"/>
        <v>100230090.25356811</v>
      </c>
      <c r="Y45" s="10">
        <f t="shared" si="15"/>
        <v>1202761.0830428174</v>
      </c>
      <c r="Z45" s="2">
        <f t="shared" si="16"/>
        <v>13214728.303517915</v>
      </c>
      <c r="AA45" s="2"/>
      <c r="AB45" s="2">
        <f t="shared" si="13"/>
        <v>12011967.220475098</v>
      </c>
      <c r="AC45" s="2">
        <f t="shared" si="17"/>
        <v>88218123.03309302</v>
      </c>
    </row>
    <row r="46" spans="23:29" x14ac:dyDescent="0.25">
      <c r="W46">
        <v>30</v>
      </c>
      <c r="X46" s="5">
        <f t="shared" si="14"/>
        <v>88218123.03309302</v>
      </c>
      <c r="Y46" s="10">
        <f t="shared" si="15"/>
        <v>1058617.4763971162</v>
      </c>
      <c r="Z46" s="2">
        <f t="shared" si="16"/>
        <v>13214728.303517915</v>
      </c>
      <c r="AA46" s="2"/>
      <c r="AB46" s="2">
        <f t="shared" si="13"/>
        <v>12156110.8271208</v>
      </c>
      <c r="AC46" s="2">
        <f t="shared" si="17"/>
        <v>76062012.205972224</v>
      </c>
    </row>
    <row r="47" spans="23:29" x14ac:dyDescent="0.25">
      <c r="W47">
        <v>31</v>
      </c>
      <c r="X47" s="5">
        <f t="shared" si="14"/>
        <v>76062012.205972224</v>
      </c>
      <c r="Y47" s="10">
        <f t="shared" si="15"/>
        <v>912744.14647166675</v>
      </c>
      <c r="Z47" s="2">
        <f t="shared" si="16"/>
        <v>13214728.303517915</v>
      </c>
      <c r="AA47" s="2"/>
      <c r="AB47" s="2">
        <f t="shared" si="13"/>
        <v>12301984.157046249</v>
      </c>
      <c r="AC47" s="2">
        <f t="shared" si="17"/>
        <v>63760028.048925973</v>
      </c>
    </row>
    <row r="48" spans="23:29" x14ac:dyDescent="0.25">
      <c r="W48">
        <v>32</v>
      </c>
      <c r="X48" s="5">
        <f t="shared" si="14"/>
        <v>63760028.048925973</v>
      </c>
      <c r="Y48" s="10">
        <f t="shared" si="15"/>
        <v>765120.3365871117</v>
      </c>
      <c r="Z48" s="2">
        <f t="shared" si="16"/>
        <v>13214728.303517915</v>
      </c>
      <c r="AA48" s="2"/>
      <c r="AB48" s="2">
        <f t="shared" si="13"/>
        <v>12449607.966930803</v>
      </c>
      <c r="AC48" s="2">
        <f t="shared" si="17"/>
        <v>51310420.081995174</v>
      </c>
    </row>
    <row r="49" spans="23:29" x14ac:dyDescent="0.25">
      <c r="W49">
        <v>33</v>
      </c>
      <c r="X49" s="5">
        <f t="shared" si="14"/>
        <v>51310420.081995174</v>
      </c>
      <c r="Y49" s="10">
        <f t="shared" si="15"/>
        <v>615725.0409839421</v>
      </c>
      <c r="Z49" s="2">
        <f t="shared" si="16"/>
        <v>13214728.303517915</v>
      </c>
      <c r="AA49" s="2"/>
      <c r="AB49" s="2">
        <f t="shared" si="13"/>
        <v>12599003.262533974</v>
      </c>
      <c r="AC49" s="2">
        <f t="shared" si="17"/>
        <v>38711416.819461197</v>
      </c>
    </row>
    <row r="50" spans="23:29" x14ac:dyDescent="0.25">
      <c r="W50">
        <v>34</v>
      </c>
      <c r="X50" s="5">
        <f t="shared" si="14"/>
        <v>38711416.819461197</v>
      </c>
      <c r="Y50" s="10">
        <f t="shared" si="15"/>
        <v>464537.00183353439</v>
      </c>
      <c r="Z50" s="2">
        <f t="shared" si="16"/>
        <v>13214728.303517915</v>
      </c>
      <c r="AA50" s="2"/>
      <c r="AB50" s="2">
        <f t="shared" si="13"/>
        <v>12750191.301684381</v>
      </c>
      <c r="AC50" s="2">
        <f t="shared" si="17"/>
        <v>25961225.517776817</v>
      </c>
    </row>
    <row r="51" spans="23:29" x14ac:dyDescent="0.25">
      <c r="W51">
        <v>35</v>
      </c>
      <c r="X51" s="5">
        <f t="shared" si="14"/>
        <v>25961225.517776817</v>
      </c>
      <c r="Y51" s="10">
        <f t="shared" si="15"/>
        <v>311534.70621332183</v>
      </c>
      <c r="Z51" s="2">
        <f t="shared" si="16"/>
        <v>13214728.303517915</v>
      </c>
      <c r="AA51" s="2"/>
      <c r="AB51" s="2">
        <f t="shared" si="13"/>
        <v>12903193.597304594</v>
      </c>
      <c r="AC51" s="2">
        <f t="shared" si="17"/>
        <v>13058031.920472223</v>
      </c>
    </row>
    <row r="52" spans="23:29" x14ac:dyDescent="0.25">
      <c r="W52">
        <v>36</v>
      </c>
      <c r="X52" s="5">
        <f t="shared" si="14"/>
        <v>13058031.920472223</v>
      </c>
      <c r="Y52" s="10">
        <f t="shared" si="15"/>
        <v>156696.38304566668</v>
      </c>
      <c r="Z52" s="2">
        <f t="shared" si="16"/>
        <v>13214728.303517915</v>
      </c>
      <c r="AA52" s="2"/>
      <c r="AB52" s="2">
        <f t="shared" si="13"/>
        <v>13058031.920472249</v>
      </c>
      <c r="AC52" s="2">
        <f t="shared" si="17"/>
        <v>-2.6077032089233398E-8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8F6C-EB8F-41FB-8F7F-399B3A7E7ADE}">
  <dimension ref="A1:AX64"/>
  <sheetViews>
    <sheetView workbookViewId="0"/>
  </sheetViews>
  <sheetFormatPr baseColWidth="10" defaultColWidth="11.42578125" defaultRowHeight="15" x14ac:dyDescent="0.25"/>
  <cols>
    <col min="1" max="1" width="2" bestFit="1" customWidth="1"/>
    <col min="2" max="2" width="6.140625" bestFit="1" customWidth="1"/>
    <col min="3" max="3" width="8" bestFit="1" customWidth="1"/>
    <col min="4" max="6" width="13.28515625" bestFit="1" customWidth="1"/>
    <col min="7" max="7" width="14.28515625" bestFit="1" customWidth="1"/>
    <col min="8" max="8" width="15.28515625" bestFit="1" customWidth="1"/>
    <col min="11" max="11" width="2" bestFit="1" customWidth="1"/>
    <col min="12" max="12" width="10.7109375" bestFit="1" customWidth="1"/>
    <col min="13" max="13" width="6.7109375" bestFit="1" customWidth="1"/>
    <col min="14" max="14" width="12" bestFit="1" customWidth="1"/>
    <col min="15" max="15" width="10.42578125" bestFit="1" customWidth="1"/>
    <col min="16" max="16" width="9.42578125" bestFit="1" customWidth="1"/>
    <col min="17" max="17" width="12" bestFit="1" customWidth="1"/>
    <col min="19" max="19" width="2.85546875" bestFit="1" customWidth="1"/>
    <col min="20" max="20" width="10.7109375" bestFit="1" customWidth="1"/>
    <col min="21" max="21" width="6.140625" bestFit="1" customWidth="1"/>
    <col min="22" max="23" width="10.42578125" bestFit="1" customWidth="1"/>
    <col min="24" max="24" width="9.42578125" bestFit="1" customWidth="1"/>
    <col min="25" max="25" width="12" bestFit="1" customWidth="1"/>
    <col min="28" max="28" width="2" bestFit="1" customWidth="1"/>
    <col min="29" max="29" width="3" bestFit="1" customWidth="1"/>
    <col min="30" max="30" width="13.28515625" bestFit="1" customWidth="1"/>
    <col min="31" max="32" width="14.28515625" bestFit="1" customWidth="1"/>
    <col min="35" max="35" width="2.7109375" bestFit="1" customWidth="1"/>
    <col min="36" max="36" width="3" bestFit="1" customWidth="1"/>
    <col min="37" max="37" width="13.28515625" bestFit="1" customWidth="1"/>
    <col min="38" max="38" width="11.5703125" bestFit="1" customWidth="1"/>
    <col min="39" max="39" width="14.28515625" bestFit="1" customWidth="1"/>
    <col min="42" max="42" width="2.42578125" bestFit="1" customWidth="1"/>
    <col min="43" max="43" width="6.140625" bestFit="1" customWidth="1"/>
    <col min="44" max="44" width="13.140625" bestFit="1" customWidth="1"/>
    <col min="45" max="46" width="11.5703125" bestFit="1" customWidth="1"/>
    <col min="47" max="47" width="13.140625" bestFit="1" customWidth="1"/>
    <col min="48" max="48" width="14.7109375" bestFit="1" customWidth="1"/>
    <col min="49" max="49" width="14.28515625" bestFit="1" customWidth="1"/>
    <col min="50" max="50" width="11.5703125" bestFit="1" customWidth="1"/>
  </cols>
  <sheetData>
    <row r="1" spans="1:50" s="7" customFormat="1" x14ac:dyDescent="0.25">
      <c r="A1" s="7">
        <v>1</v>
      </c>
      <c r="K1" s="7">
        <v>2</v>
      </c>
      <c r="AB1" s="7">
        <v>3</v>
      </c>
      <c r="AC1" s="8" t="s">
        <v>78</v>
      </c>
      <c r="AD1"/>
      <c r="AE1" s="16"/>
      <c r="AF1"/>
      <c r="AG1"/>
      <c r="AH1"/>
      <c r="AI1" s="8" t="s">
        <v>79</v>
      </c>
      <c r="AJ1"/>
      <c r="AK1"/>
      <c r="AL1"/>
      <c r="AM1"/>
      <c r="AN1"/>
      <c r="AO1"/>
      <c r="AP1" s="8" t="s">
        <v>76</v>
      </c>
      <c r="AQ1" t="s">
        <v>11</v>
      </c>
      <c r="AR1" s="20">
        <v>500000</v>
      </c>
      <c r="AS1" t="s">
        <v>77</v>
      </c>
      <c r="AT1" s="21">
        <f>PMT(AQ4,18,-(AW22-AX28))</f>
        <v>448955.37458783225</v>
      </c>
      <c r="AU1"/>
      <c r="AV1"/>
      <c r="AW1"/>
      <c r="AX1"/>
    </row>
    <row r="2" spans="1:50" x14ac:dyDescent="0.25">
      <c r="AE2" s="16"/>
    </row>
    <row r="3" spans="1:50" x14ac:dyDescent="0.25"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L3" s="7" t="s">
        <v>84</v>
      </c>
      <c r="M3" t="s">
        <v>85</v>
      </c>
      <c r="N3" s="9">
        <v>1.4999999999999999E-2</v>
      </c>
      <c r="O3" s="4">
        <f>(1+N3)^(12)-1</f>
        <v>0.19561817146153326</v>
      </c>
      <c r="P3" t="s">
        <v>3</v>
      </c>
      <c r="S3" s="7" t="s">
        <v>86</v>
      </c>
      <c r="T3" t="s">
        <v>87</v>
      </c>
      <c r="U3" s="3">
        <v>0.02</v>
      </c>
      <c r="V3" s="4">
        <f t="shared" ref="V3:V4" si="0">(1+U3)^(12)-1</f>
        <v>0.26824179456254527</v>
      </c>
      <c r="W3" t="s">
        <v>3</v>
      </c>
      <c r="X3" s="4">
        <f>(1+V3)^(1/365)-1</f>
        <v>6.5125725694881176E-4</v>
      </c>
      <c r="Y3" t="s">
        <v>88</v>
      </c>
      <c r="AC3">
        <v>1</v>
      </c>
      <c r="AD3" s="16">
        <v>500000</v>
      </c>
      <c r="AE3" s="17">
        <f>+PV(1.5%,AC3,,-AD3)</f>
        <v>492610.83743842371</v>
      </c>
      <c r="AJ3">
        <v>1</v>
      </c>
      <c r="AK3" s="16">
        <v>500000</v>
      </c>
      <c r="AQ3" t="s">
        <v>67</v>
      </c>
      <c r="AR3" t="s">
        <v>68</v>
      </c>
      <c r="AS3" t="s">
        <v>69</v>
      </c>
      <c r="AT3" t="s">
        <v>70</v>
      </c>
      <c r="AU3" t="s">
        <v>71</v>
      </c>
      <c r="AV3" t="s">
        <v>72</v>
      </c>
      <c r="AW3" t="s">
        <v>73</v>
      </c>
    </row>
    <row r="4" spans="1:50" x14ac:dyDescent="0.25">
      <c r="E4" s="16"/>
      <c r="H4" s="11">
        <v>250000000</v>
      </c>
      <c r="M4" t="s">
        <v>89</v>
      </c>
      <c r="N4" s="2">
        <v>1300000</v>
      </c>
      <c r="O4" s="4">
        <f>(1+O3)^(1/365)-1</f>
        <v>4.8960844904022416E-4</v>
      </c>
      <c r="P4" t="s">
        <v>88</v>
      </c>
      <c r="T4" t="s">
        <v>90</v>
      </c>
      <c r="U4" s="9">
        <v>2.5000000000000001E-2</v>
      </c>
      <c r="V4" s="4">
        <f t="shared" si="0"/>
        <v>0.34488882424629752</v>
      </c>
      <c r="W4" t="s">
        <v>3</v>
      </c>
      <c r="X4" s="4">
        <f>(1+V4)^(1/365)-1</f>
        <v>8.1214152926412098E-4</v>
      </c>
      <c r="Y4" t="s">
        <v>88</v>
      </c>
      <c r="AC4">
        <v>2</v>
      </c>
      <c r="AD4" s="16">
        <v>500000</v>
      </c>
      <c r="AE4" s="17">
        <f t="shared" ref="AE4:AE38" si="1">+PV(1.5%,AC4,,-AD4)</f>
        <v>485330.87432357023</v>
      </c>
      <c r="AJ4">
        <v>2</v>
      </c>
      <c r="AK4" s="16">
        <v>500000</v>
      </c>
      <c r="AQ4" s="9">
        <v>1.4999999999999999E-2</v>
      </c>
      <c r="AR4" cm="1">
        <f t="array" ref="AR4:AR40">_xlfn.SEQUENCE(37,,0)</f>
        <v>0</v>
      </c>
      <c r="AW4" s="6">
        <f>AE40</f>
        <v>15366273.496825553</v>
      </c>
    </row>
    <row r="5" spans="1:50" x14ac:dyDescent="0.25">
      <c r="B5" s="3">
        <v>0.01</v>
      </c>
      <c r="C5">
        <v>0</v>
      </c>
      <c r="D5" s="6">
        <f>+H4*B5</f>
        <v>2500000</v>
      </c>
      <c r="E5" s="17">
        <f t="shared" ref="E5:E64" si="2">+F5-D5</f>
        <v>2566316.6588206599</v>
      </c>
      <c r="F5" s="24">
        <v>5066316.6588206599</v>
      </c>
      <c r="G5" s="18"/>
      <c r="H5" s="19">
        <f t="shared" ref="H5:H39" si="3">+H4-E5</f>
        <v>247433683.34117934</v>
      </c>
      <c r="AC5">
        <v>3</v>
      </c>
      <c r="AD5" s="16">
        <v>500000</v>
      </c>
      <c r="AE5" s="17">
        <f t="shared" si="1"/>
        <v>478158.49687051261</v>
      </c>
      <c r="AJ5">
        <v>3</v>
      </c>
      <c r="AK5" s="16">
        <v>500000</v>
      </c>
      <c r="AQ5" s="9">
        <v>1.4999999999999999E-2</v>
      </c>
      <c r="AR5">
        <v>1</v>
      </c>
      <c r="AS5" s="22">
        <f>AW4*AQ5</f>
        <v>230494.10245238329</v>
      </c>
      <c r="AT5" s="22">
        <f>AU5-AS5</f>
        <v>269505.89754761674</v>
      </c>
      <c r="AU5" s="20">
        <f>+$AR$1</f>
        <v>500000</v>
      </c>
      <c r="AW5" s="6">
        <f>AW4-AT5-AV5</f>
        <v>15096767.599277936</v>
      </c>
    </row>
    <row r="6" spans="1:50" x14ac:dyDescent="0.25">
      <c r="B6" s="3">
        <v>0.01</v>
      </c>
      <c r="C6">
        <v>1</v>
      </c>
      <c r="D6" s="6">
        <f t="shared" ref="D6:D64" si="4">+H5*B6</f>
        <v>2474336.8334117937</v>
      </c>
      <c r="E6" s="17">
        <f t="shared" ca="1" si="2"/>
        <v>2616979.8254088634</v>
      </c>
      <c r="F6" s="17">
        <f t="shared" ref="F6:F64" ca="1" si="5">+$F$14</f>
        <v>5066316.6588206571</v>
      </c>
      <c r="G6" s="17"/>
      <c r="H6" s="19">
        <f t="shared" ca="1" si="3"/>
        <v>242316703.51577047</v>
      </c>
      <c r="AC6">
        <v>4</v>
      </c>
      <c r="AD6" s="16">
        <v>500000</v>
      </c>
      <c r="AE6" s="17">
        <f t="shared" si="1"/>
        <v>471092.11514336226</v>
      </c>
      <c r="AJ6">
        <v>4</v>
      </c>
      <c r="AK6" s="16">
        <v>500000</v>
      </c>
      <c r="AQ6" s="9">
        <v>1.4999999999999999E-2</v>
      </c>
      <c r="AR6">
        <v>2</v>
      </c>
      <c r="AS6" s="22">
        <f>AW5*AQ6</f>
        <v>226451.51398916903</v>
      </c>
      <c r="AT6" s="22">
        <f t="shared" ref="AT6:AT40" si="6">AU6-AS6</f>
        <v>273548.48601083097</v>
      </c>
      <c r="AU6" s="20">
        <f t="shared" ref="AU6:AU22" si="7">+$AR$1</f>
        <v>500000</v>
      </c>
      <c r="AW6" s="6">
        <f t="shared" ref="AW6:AW40" si="8">AW5-AT6-AV6</f>
        <v>14823219.113267105</v>
      </c>
    </row>
    <row r="7" spans="1:50" x14ac:dyDescent="0.25">
      <c r="B7" s="3">
        <v>0.01</v>
      </c>
      <c r="C7">
        <v>2</v>
      </c>
      <c r="D7" s="6">
        <f t="shared" ca="1" si="4"/>
        <v>2423167.0351577047</v>
      </c>
      <c r="E7" s="17">
        <f t="shared" ca="1" si="2"/>
        <v>2643149.6236629523</v>
      </c>
      <c r="F7" s="17">
        <f t="shared" ca="1" si="5"/>
        <v>5066316.6588206571</v>
      </c>
      <c r="G7" s="17"/>
      <c r="H7" s="19">
        <f t="shared" ca="1" si="3"/>
        <v>239673553.89210752</v>
      </c>
      <c r="L7" s="25" t="s">
        <v>91</v>
      </c>
      <c r="M7" s="8" t="s">
        <v>92</v>
      </c>
      <c r="N7" s="8" t="s">
        <v>93</v>
      </c>
      <c r="O7" s="8" t="s">
        <v>94</v>
      </c>
      <c r="P7" s="8" t="s">
        <v>95</v>
      </c>
      <c r="Q7" s="26" t="s">
        <v>96</v>
      </c>
      <c r="T7" s="25" t="s">
        <v>91</v>
      </c>
      <c r="U7" s="8" t="s">
        <v>97</v>
      </c>
      <c r="V7" s="8" t="s">
        <v>93</v>
      </c>
      <c r="W7" s="8" t="s">
        <v>94</v>
      </c>
      <c r="X7" s="8" t="s">
        <v>95</v>
      </c>
      <c r="Y7" s="26" t="s">
        <v>96</v>
      </c>
      <c r="AC7">
        <v>5</v>
      </c>
      <c r="AD7" s="16">
        <v>500000</v>
      </c>
      <c r="AE7" s="17">
        <f t="shared" si="1"/>
        <v>464130.16270281997</v>
      </c>
      <c r="AJ7">
        <v>5</v>
      </c>
      <c r="AK7" s="16">
        <v>500000</v>
      </c>
      <c r="AQ7" s="9">
        <v>1.4999999999999999E-2</v>
      </c>
      <c r="AR7">
        <v>3</v>
      </c>
      <c r="AS7" s="22">
        <f t="shared" ref="AS7:AS40" si="9">AW6*AQ7</f>
        <v>222348.28669900657</v>
      </c>
      <c r="AT7" s="22">
        <f t="shared" si="6"/>
        <v>277651.71330099343</v>
      </c>
      <c r="AU7" s="20">
        <f t="shared" si="7"/>
        <v>500000</v>
      </c>
      <c r="AW7" s="6">
        <f t="shared" si="8"/>
        <v>14545567.399966111</v>
      </c>
    </row>
    <row r="8" spans="1:50" x14ac:dyDescent="0.25">
      <c r="B8" s="3">
        <v>0.01</v>
      </c>
      <c r="C8">
        <v>3</v>
      </c>
      <c r="D8" s="6">
        <f t="shared" ca="1" si="4"/>
        <v>2396735.5389210754</v>
      </c>
      <c r="E8" s="17">
        <f t="shared" ca="1" si="2"/>
        <v>2669581.1198995817</v>
      </c>
      <c r="F8" s="17">
        <f t="shared" ca="1" si="5"/>
        <v>5066316.6588206571</v>
      </c>
      <c r="G8" s="17"/>
      <c r="H8" s="19">
        <f t="shared" ca="1" si="3"/>
        <v>237003972.77220795</v>
      </c>
      <c r="L8" s="27">
        <v>43861</v>
      </c>
      <c r="M8" s="11"/>
      <c r="N8" s="2"/>
      <c r="O8" s="2"/>
      <c r="P8" s="2"/>
      <c r="Q8" s="2">
        <v>1300000</v>
      </c>
      <c r="T8" s="27">
        <v>43861</v>
      </c>
      <c r="U8" s="11"/>
      <c r="V8" s="2"/>
      <c r="W8" s="2"/>
      <c r="X8" s="2"/>
      <c r="Y8" s="2">
        <v>1300000</v>
      </c>
      <c r="AC8">
        <v>6</v>
      </c>
      <c r="AD8" s="16">
        <v>500000</v>
      </c>
      <c r="AE8" s="17">
        <f t="shared" si="1"/>
        <v>457271.09625893604</v>
      </c>
      <c r="AJ8">
        <v>6</v>
      </c>
      <c r="AK8" s="16">
        <v>500000</v>
      </c>
      <c r="AQ8" s="9">
        <v>1.4999999999999999E-2</v>
      </c>
      <c r="AR8">
        <v>4</v>
      </c>
      <c r="AS8" s="22">
        <f t="shared" si="9"/>
        <v>218183.51099949167</v>
      </c>
      <c r="AT8" s="22">
        <f t="shared" si="6"/>
        <v>281816.48900050833</v>
      </c>
      <c r="AU8" s="20">
        <f t="shared" si="7"/>
        <v>500000</v>
      </c>
      <c r="AW8" s="6">
        <f t="shared" si="8"/>
        <v>14263750.910965603</v>
      </c>
    </row>
    <row r="9" spans="1:50" x14ac:dyDescent="0.25">
      <c r="B9" s="3">
        <v>0.01</v>
      </c>
      <c r="C9">
        <v>4</v>
      </c>
      <c r="D9" s="6">
        <f t="shared" ca="1" si="4"/>
        <v>2370039.7277220795</v>
      </c>
      <c r="E9" s="17">
        <f t="shared" ca="1" si="2"/>
        <v>2696276.9310985776</v>
      </c>
      <c r="F9" s="17">
        <f t="shared" ca="1" si="5"/>
        <v>5066316.6588206571</v>
      </c>
      <c r="G9" s="17"/>
      <c r="H9" s="19">
        <f t="shared" ca="1" si="3"/>
        <v>234307695.84110937</v>
      </c>
      <c r="L9" s="27">
        <v>43890</v>
      </c>
      <c r="M9" s="11">
        <f>L9-L8</f>
        <v>29</v>
      </c>
      <c r="N9" s="2">
        <v>0</v>
      </c>
      <c r="O9" s="2">
        <v>0</v>
      </c>
      <c r="P9" s="2">
        <f>FV($O$4,M9,,-Q8)-Q8</f>
        <v>18585.320158607326</v>
      </c>
      <c r="Q9" s="2">
        <f>Q8+P9+N9-O9</f>
        <v>1318585.3201586073</v>
      </c>
      <c r="R9" s="5"/>
      <c r="T9" s="27">
        <v>43890</v>
      </c>
      <c r="U9" s="11">
        <f>T9-T8</f>
        <v>29</v>
      </c>
      <c r="V9" s="2">
        <v>0</v>
      </c>
      <c r="W9" s="2">
        <v>0</v>
      </c>
      <c r="X9" s="2">
        <f>FV($X$3,U9,,-Y8)-Y8</f>
        <v>24777.57525617606</v>
      </c>
      <c r="Y9" s="2">
        <f>Y8+X9+V9-W9</f>
        <v>1324777.5752561761</v>
      </c>
      <c r="AC9">
        <v>7</v>
      </c>
      <c r="AD9" s="16">
        <v>500000</v>
      </c>
      <c r="AE9" s="17">
        <f t="shared" si="1"/>
        <v>450513.39532900107</v>
      </c>
      <c r="AJ9">
        <v>7</v>
      </c>
      <c r="AK9" s="16">
        <v>500000</v>
      </c>
      <c r="AQ9" s="9">
        <v>1.4999999999999999E-2</v>
      </c>
      <c r="AR9">
        <v>5</v>
      </c>
      <c r="AS9" s="22">
        <f t="shared" si="9"/>
        <v>213956.26366448402</v>
      </c>
      <c r="AT9" s="22">
        <f t="shared" si="6"/>
        <v>286043.73633551598</v>
      </c>
      <c r="AU9" s="20">
        <f t="shared" si="7"/>
        <v>500000</v>
      </c>
      <c r="AW9" s="6">
        <f t="shared" si="8"/>
        <v>13977707.174630087</v>
      </c>
    </row>
    <row r="10" spans="1:50" x14ac:dyDescent="0.25">
      <c r="B10" s="3">
        <v>0.01</v>
      </c>
      <c r="C10">
        <v>5</v>
      </c>
      <c r="D10" s="6">
        <f t="shared" ca="1" si="4"/>
        <v>2343076.9584110938</v>
      </c>
      <c r="E10" s="17">
        <f t="shared" ca="1" si="2"/>
        <v>2723239.7004095633</v>
      </c>
      <c r="F10" s="17">
        <f t="shared" ca="1" si="5"/>
        <v>5066316.6588206571</v>
      </c>
      <c r="G10" s="17"/>
      <c r="H10" s="19">
        <f t="shared" ca="1" si="3"/>
        <v>231584456.1406998</v>
      </c>
      <c r="L10" s="27">
        <v>43921</v>
      </c>
      <c r="M10" s="11">
        <f t="shared" ref="M10:M32" si="10">L10-L9</f>
        <v>31</v>
      </c>
      <c r="N10" s="2">
        <v>0</v>
      </c>
      <c r="O10" s="2">
        <v>0</v>
      </c>
      <c r="P10" s="2">
        <f t="shared" ref="P10:P32" si="11">FV($O$4,M10,,-Q9)-Q9</f>
        <v>20160.984205113491</v>
      </c>
      <c r="Q10" s="2">
        <f t="shared" ref="Q10:Q32" si="12">Q9+P10+N10-O10</f>
        <v>1338746.3043637208</v>
      </c>
      <c r="T10" s="27">
        <v>43921</v>
      </c>
      <c r="U10" s="11">
        <f t="shared" ref="U10:U32" si="13">T10-T9</f>
        <v>31</v>
      </c>
      <c r="V10" s="2">
        <v>0</v>
      </c>
      <c r="W10" s="2">
        <v>0</v>
      </c>
      <c r="X10" s="2">
        <f t="shared" ref="X10:X21" si="14">FV($X$3,U10,,-Y9)-Y9</f>
        <v>27008.830626891693</v>
      </c>
      <c r="Y10" s="2">
        <f t="shared" ref="Y10:Y32" si="15">Y9+X10+V10-W10</f>
        <v>1351786.4058830678</v>
      </c>
      <c r="AC10">
        <v>8</v>
      </c>
      <c r="AD10" s="16">
        <v>500000</v>
      </c>
      <c r="AE10" s="17">
        <f t="shared" si="1"/>
        <v>443855.56190049375</v>
      </c>
      <c r="AJ10">
        <v>8</v>
      </c>
      <c r="AK10" s="16">
        <v>500000</v>
      </c>
      <c r="AQ10" s="9">
        <v>1.4999999999999999E-2</v>
      </c>
      <c r="AR10">
        <v>6</v>
      </c>
      <c r="AS10" s="22">
        <f t="shared" si="9"/>
        <v>209665.6076194513</v>
      </c>
      <c r="AT10" s="22">
        <f t="shared" si="6"/>
        <v>290334.3923805487</v>
      </c>
      <c r="AU10" s="20">
        <f t="shared" si="7"/>
        <v>500000</v>
      </c>
      <c r="AW10" s="6">
        <f t="shared" si="8"/>
        <v>13687372.782249538</v>
      </c>
    </row>
    <row r="11" spans="1:50" x14ac:dyDescent="0.25">
      <c r="B11" s="3">
        <v>0.01</v>
      </c>
      <c r="C11">
        <v>6</v>
      </c>
      <c r="D11" s="6">
        <f t="shared" ca="1" si="4"/>
        <v>2315844.561406998</v>
      </c>
      <c r="E11" s="17">
        <f t="shared" ca="1" si="2"/>
        <v>2750472.0974136591</v>
      </c>
      <c r="F11" s="17">
        <f t="shared" ca="1" si="5"/>
        <v>5066316.6588206571</v>
      </c>
      <c r="G11" s="17"/>
      <c r="H11" s="19">
        <f t="shared" ca="1" si="3"/>
        <v>228833984.04328614</v>
      </c>
      <c r="L11" s="27">
        <v>43951</v>
      </c>
      <c r="M11" s="11">
        <f t="shared" si="10"/>
        <v>30</v>
      </c>
      <c r="N11" s="2">
        <v>0</v>
      </c>
      <c r="O11" s="2">
        <v>0</v>
      </c>
      <c r="P11" s="2">
        <f t="shared" si="11"/>
        <v>19804.085070671281</v>
      </c>
      <c r="Q11" s="2">
        <f t="shared" si="12"/>
        <v>1358550.3894343921</v>
      </c>
      <c r="T11" s="27">
        <v>43951</v>
      </c>
      <c r="U11" s="11">
        <f t="shared" si="13"/>
        <v>30</v>
      </c>
      <c r="V11" s="2">
        <v>0</v>
      </c>
      <c r="W11" s="2">
        <v>0</v>
      </c>
      <c r="X11" s="2">
        <f t="shared" si="14"/>
        <v>26661.74732645019</v>
      </c>
      <c r="Y11" s="2">
        <f t="shared" si="15"/>
        <v>1378448.1532095179</v>
      </c>
      <c r="AC11">
        <v>9</v>
      </c>
      <c r="AD11" s="16">
        <v>500000</v>
      </c>
      <c r="AE11" s="17">
        <f t="shared" si="1"/>
        <v>437296.12009900867</v>
      </c>
      <c r="AJ11">
        <v>9</v>
      </c>
      <c r="AK11" s="16">
        <v>500000</v>
      </c>
      <c r="AQ11" s="9">
        <v>1.4999999999999999E-2</v>
      </c>
      <c r="AR11">
        <v>7</v>
      </c>
      <c r="AS11" s="22">
        <f t="shared" si="9"/>
        <v>205310.59173374306</v>
      </c>
      <c r="AT11" s="22">
        <f t="shared" si="6"/>
        <v>294689.40826625691</v>
      </c>
      <c r="AU11" s="20">
        <f t="shared" si="7"/>
        <v>500000</v>
      </c>
      <c r="AW11" s="6">
        <f t="shared" si="8"/>
        <v>13392683.373983281</v>
      </c>
    </row>
    <row r="12" spans="1:50" x14ac:dyDescent="0.25">
      <c r="B12" s="3">
        <v>0.01</v>
      </c>
      <c r="C12">
        <v>7</v>
      </c>
      <c r="D12" s="6">
        <f t="shared" ca="1" si="4"/>
        <v>2288339.8404328614</v>
      </c>
      <c r="E12" s="17">
        <f t="shared" ca="1" si="2"/>
        <v>2777976.8183877957</v>
      </c>
      <c r="F12" s="17">
        <f t="shared" ca="1" si="5"/>
        <v>5066316.6588206571</v>
      </c>
      <c r="G12" s="17"/>
      <c r="H12" s="19">
        <f t="shared" ca="1" si="3"/>
        <v>226056007.22489834</v>
      </c>
      <c r="L12" s="27">
        <v>43952</v>
      </c>
      <c r="M12" s="11">
        <f t="shared" si="10"/>
        <v>1</v>
      </c>
      <c r="N12" s="2">
        <v>500000</v>
      </c>
      <c r="O12" s="2">
        <v>0</v>
      </c>
      <c r="P12" s="2">
        <f t="shared" si="11"/>
        <v>665.15774911385961</v>
      </c>
      <c r="Q12" s="2">
        <f t="shared" si="12"/>
        <v>1859215.547183506</v>
      </c>
      <c r="T12" s="27">
        <v>43952</v>
      </c>
      <c r="U12" s="11">
        <f t="shared" si="13"/>
        <v>1</v>
      </c>
      <c r="V12" s="2">
        <v>500000</v>
      </c>
      <c r="W12" s="2">
        <v>0</v>
      </c>
      <c r="X12" s="2">
        <f t="shared" si="14"/>
        <v>897.72436310537159</v>
      </c>
      <c r="Y12" s="2">
        <f t="shared" si="15"/>
        <v>1879345.8775726233</v>
      </c>
      <c r="AC12">
        <v>10</v>
      </c>
      <c r="AD12" s="16">
        <v>500000</v>
      </c>
      <c r="AE12" s="17">
        <f t="shared" si="1"/>
        <v>430833.61586109229</v>
      </c>
      <c r="AJ12">
        <v>10</v>
      </c>
      <c r="AK12" s="16">
        <v>500000</v>
      </c>
      <c r="AQ12" s="9">
        <v>1.4999999999999999E-2</v>
      </c>
      <c r="AR12">
        <v>8</v>
      </c>
      <c r="AS12" s="22">
        <f t="shared" si="9"/>
        <v>200890.2506097492</v>
      </c>
      <c r="AT12" s="22">
        <f t="shared" si="6"/>
        <v>299109.74939025077</v>
      </c>
      <c r="AU12" s="20">
        <f t="shared" si="7"/>
        <v>500000</v>
      </c>
      <c r="AW12" s="6">
        <f t="shared" si="8"/>
        <v>13093573.624593031</v>
      </c>
    </row>
    <row r="13" spans="1:50" x14ac:dyDescent="0.25">
      <c r="B13" s="3">
        <v>0.01</v>
      </c>
      <c r="C13">
        <v>8</v>
      </c>
      <c r="D13" s="6">
        <f t="shared" ca="1" si="4"/>
        <v>2260560.0722489837</v>
      </c>
      <c r="E13" s="17">
        <f t="shared" ca="1" si="2"/>
        <v>2805756.5865716734</v>
      </c>
      <c r="F13" s="17">
        <f t="shared" ca="1" si="5"/>
        <v>5066316.6588206571</v>
      </c>
      <c r="G13" s="17"/>
      <c r="H13" s="19">
        <f t="shared" ca="1" si="3"/>
        <v>223250250.63832667</v>
      </c>
      <c r="L13" s="27">
        <v>43982</v>
      </c>
      <c r="M13" s="11">
        <f t="shared" si="10"/>
        <v>30</v>
      </c>
      <c r="N13" s="2">
        <v>0</v>
      </c>
      <c r="O13" s="2">
        <v>0</v>
      </c>
      <c r="P13" s="2">
        <f t="shared" si="11"/>
        <v>27503.39085241151</v>
      </c>
      <c r="Q13" s="2">
        <f t="shared" si="12"/>
        <v>1886718.9380359175</v>
      </c>
      <c r="T13" s="27">
        <v>43982</v>
      </c>
      <c r="U13" s="11">
        <f t="shared" si="13"/>
        <v>30</v>
      </c>
      <c r="V13" s="2">
        <v>0</v>
      </c>
      <c r="W13" s="2">
        <v>0</v>
      </c>
      <c r="X13" s="2">
        <f t="shared" si="14"/>
        <v>37066.983887971612</v>
      </c>
      <c r="Y13" s="2">
        <f t="shared" si="15"/>
        <v>1916412.8614605949</v>
      </c>
      <c r="AC13">
        <v>11</v>
      </c>
      <c r="AD13" s="16">
        <v>500000</v>
      </c>
      <c r="AE13" s="17">
        <f t="shared" si="1"/>
        <v>424466.61661191366</v>
      </c>
      <c r="AJ13">
        <v>11</v>
      </c>
      <c r="AK13" s="16">
        <v>500000</v>
      </c>
      <c r="AQ13" s="9">
        <v>1.4999999999999999E-2</v>
      </c>
      <c r="AR13">
        <v>9</v>
      </c>
      <c r="AS13" s="22">
        <f t="shared" si="9"/>
        <v>196403.60436889547</v>
      </c>
      <c r="AT13" s="22">
        <f t="shared" si="6"/>
        <v>303596.39563110453</v>
      </c>
      <c r="AU13" s="20">
        <f t="shared" si="7"/>
        <v>500000</v>
      </c>
      <c r="AW13" s="6">
        <f t="shared" si="8"/>
        <v>12789977.228961926</v>
      </c>
    </row>
    <row r="14" spans="1:50" x14ac:dyDescent="0.25">
      <c r="B14" s="3">
        <v>0.01</v>
      </c>
      <c r="C14">
        <v>9</v>
      </c>
      <c r="D14" s="6">
        <f t="shared" ca="1" si="4"/>
        <v>2232502.5063832668</v>
      </c>
      <c r="E14" s="17">
        <f t="shared" ca="1" si="2"/>
        <v>2833814.1524373903</v>
      </c>
      <c r="F14" s="17">
        <f t="shared" ca="1" si="5"/>
        <v>5066316.6588206571</v>
      </c>
      <c r="G14" s="17"/>
      <c r="H14" s="19">
        <f t="shared" ca="1" si="3"/>
        <v>220416436.48588929</v>
      </c>
      <c r="L14" s="27">
        <v>44012</v>
      </c>
      <c r="M14" s="11">
        <f t="shared" si="10"/>
        <v>30</v>
      </c>
      <c r="N14" s="2">
        <v>0</v>
      </c>
      <c r="O14" s="2">
        <v>0</v>
      </c>
      <c r="P14" s="2">
        <f t="shared" si="11"/>
        <v>27910.248739075847</v>
      </c>
      <c r="Q14" s="2">
        <f t="shared" si="12"/>
        <v>1914629.1867749933</v>
      </c>
      <c r="T14" s="27">
        <v>44012</v>
      </c>
      <c r="U14" s="11">
        <f t="shared" si="13"/>
        <v>30</v>
      </c>
      <c r="V14" s="2">
        <v>0</v>
      </c>
      <c r="W14" s="2">
        <v>0</v>
      </c>
      <c r="X14" s="2">
        <f t="shared" si="14"/>
        <v>37798.068735602777</v>
      </c>
      <c r="Y14" s="2">
        <f t="shared" si="15"/>
        <v>1954210.9301961977</v>
      </c>
      <c r="AC14">
        <v>12</v>
      </c>
      <c r="AD14" s="16">
        <v>1500000</v>
      </c>
      <c r="AE14" s="17">
        <f t="shared" si="1"/>
        <v>1254581.1328430949</v>
      </c>
      <c r="AJ14">
        <v>12</v>
      </c>
      <c r="AK14" s="16">
        <v>1500000</v>
      </c>
      <c r="AQ14" s="9">
        <v>1.4999999999999999E-2</v>
      </c>
      <c r="AR14">
        <v>10</v>
      </c>
      <c r="AS14" s="22">
        <f t="shared" si="9"/>
        <v>191849.65843442889</v>
      </c>
      <c r="AT14" s="22">
        <f t="shared" si="6"/>
        <v>308150.34156557114</v>
      </c>
      <c r="AU14" s="20">
        <f t="shared" si="7"/>
        <v>500000</v>
      </c>
      <c r="AW14" s="6">
        <f t="shared" si="8"/>
        <v>12481826.887396354</v>
      </c>
    </row>
    <row r="15" spans="1:50" x14ac:dyDescent="0.25">
      <c r="B15" s="3">
        <v>0.01</v>
      </c>
      <c r="C15">
        <v>10</v>
      </c>
      <c r="D15" s="6">
        <f t="shared" ca="1" si="4"/>
        <v>2204164.3648588927</v>
      </c>
      <c r="E15" s="17">
        <f t="shared" ca="1" si="2"/>
        <v>2862152.2939617643</v>
      </c>
      <c r="F15" s="17">
        <f t="shared" ca="1" si="5"/>
        <v>5066316.6588206571</v>
      </c>
      <c r="G15" s="17"/>
      <c r="H15" s="19">
        <f t="shared" ca="1" si="3"/>
        <v>217554284.19192752</v>
      </c>
      <c r="L15" s="27">
        <v>44043</v>
      </c>
      <c r="M15" s="11">
        <f t="shared" si="10"/>
        <v>31</v>
      </c>
      <c r="N15" s="2">
        <v>0</v>
      </c>
      <c r="O15" s="2">
        <v>0</v>
      </c>
      <c r="P15" s="2">
        <f t="shared" si="11"/>
        <v>29274.411145861028</v>
      </c>
      <c r="Q15" s="2">
        <f t="shared" si="12"/>
        <v>1943903.5979208543</v>
      </c>
      <c r="T15" s="27">
        <v>44043</v>
      </c>
      <c r="U15" s="11">
        <f t="shared" si="13"/>
        <v>31</v>
      </c>
      <c r="V15" s="2">
        <v>0</v>
      </c>
      <c r="W15" s="2">
        <v>0</v>
      </c>
      <c r="X15" s="2">
        <f t="shared" si="14"/>
        <v>39841.368852188811</v>
      </c>
      <c r="Y15" s="2">
        <f t="shared" si="15"/>
        <v>1994052.2990483865</v>
      </c>
      <c r="AC15">
        <v>13</v>
      </c>
      <c r="AD15" s="16">
        <v>500000</v>
      </c>
      <c r="AE15" s="17">
        <f t="shared" si="1"/>
        <v>412013.50832285546</v>
      </c>
      <c r="AJ15">
        <v>13</v>
      </c>
      <c r="AK15" s="16">
        <v>500000</v>
      </c>
      <c r="AQ15" s="9">
        <v>1.4999999999999999E-2</v>
      </c>
      <c r="AR15">
        <v>11</v>
      </c>
      <c r="AS15" s="22">
        <f t="shared" si="9"/>
        <v>187227.40331094532</v>
      </c>
      <c r="AT15" s="22">
        <f t="shared" si="6"/>
        <v>312772.59668905468</v>
      </c>
      <c r="AU15" s="20">
        <f t="shared" si="7"/>
        <v>500000</v>
      </c>
      <c r="AW15" s="6">
        <f t="shared" si="8"/>
        <v>12169054.290707299</v>
      </c>
    </row>
    <row r="16" spans="1:50" x14ac:dyDescent="0.25">
      <c r="B16" s="3">
        <v>0.01</v>
      </c>
      <c r="C16">
        <v>11</v>
      </c>
      <c r="D16" s="6">
        <f t="shared" ca="1" si="4"/>
        <v>2175542.8419192755</v>
      </c>
      <c r="E16" s="17">
        <f t="shared" ca="1" si="2"/>
        <v>2890773.8169013816</v>
      </c>
      <c r="F16" s="17">
        <f t="shared" ca="1" si="5"/>
        <v>5066316.6588206571</v>
      </c>
      <c r="G16" s="17"/>
      <c r="H16" s="19">
        <f t="shared" ca="1" si="3"/>
        <v>214663510.37502614</v>
      </c>
      <c r="L16" s="27">
        <v>44074</v>
      </c>
      <c r="M16" s="11">
        <f t="shared" si="10"/>
        <v>31</v>
      </c>
      <c r="N16" s="2">
        <v>0</v>
      </c>
      <c r="O16" s="2">
        <v>0</v>
      </c>
      <c r="P16" s="2">
        <f t="shared" si="11"/>
        <v>29722.012777475175</v>
      </c>
      <c r="Q16" s="2">
        <f t="shared" si="12"/>
        <v>1973625.6106983295</v>
      </c>
      <c r="T16" s="27">
        <v>44074</v>
      </c>
      <c r="U16" s="11">
        <f t="shared" si="13"/>
        <v>31</v>
      </c>
      <c r="V16" s="2">
        <v>0</v>
      </c>
      <c r="W16" s="2">
        <v>0</v>
      </c>
      <c r="X16" s="2">
        <f t="shared" si="14"/>
        <v>40653.632588661043</v>
      </c>
      <c r="Y16" s="2">
        <f t="shared" si="15"/>
        <v>2034705.9316370476</v>
      </c>
      <c r="AC16">
        <v>14</v>
      </c>
      <c r="AD16" s="16">
        <v>500000</v>
      </c>
      <c r="AE16" s="17">
        <f t="shared" si="1"/>
        <v>405924.63874172961</v>
      </c>
      <c r="AJ16">
        <v>14</v>
      </c>
      <c r="AK16" s="16">
        <v>500000</v>
      </c>
      <c r="AQ16" s="9">
        <v>1.4999999999999999E-2</v>
      </c>
      <c r="AR16">
        <v>12</v>
      </c>
      <c r="AS16" s="22">
        <f t="shared" si="9"/>
        <v>182535.81436060948</v>
      </c>
      <c r="AT16" s="22">
        <f t="shared" si="6"/>
        <v>317464.18563939049</v>
      </c>
      <c r="AU16" s="20">
        <f t="shared" si="7"/>
        <v>500000</v>
      </c>
      <c r="AV16" s="20">
        <v>1000000</v>
      </c>
      <c r="AW16" s="6">
        <f t="shared" si="8"/>
        <v>10851590.105067909</v>
      </c>
    </row>
    <row r="17" spans="2:50" x14ac:dyDescent="0.25">
      <c r="B17" s="3">
        <v>0.01</v>
      </c>
      <c r="C17">
        <v>12</v>
      </c>
      <c r="D17" s="6">
        <f t="shared" ca="1" si="4"/>
        <v>2146635.1037502615</v>
      </c>
      <c r="E17" s="17">
        <f t="shared" ca="1" si="2"/>
        <v>2919681.5550703956</v>
      </c>
      <c r="F17" s="17">
        <f t="shared" ca="1" si="5"/>
        <v>5066316.6588206571</v>
      </c>
      <c r="G17" s="17"/>
      <c r="H17" s="19">
        <f t="shared" ca="1" si="3"/>
        <v>211743828.81995574</v>
      </c>
      <c r="L17" s="27">
        <v>44104</v>
      </c>
      <c r="M17" s="11">
        <f t="shared" si="10"/>
        <v>30</v>
      </c>
      <c r="N17" s="2">
        <v>0</v>
      </c>
      <c r="O17" s="2">
        <v>0</v>
      </c>
      <c r="P17" s="2">
        <f t="shared" si="11"/>
        <v>29195.859861216974</v>
      </c>
      <c r="Q17" s="2">
        <f t="shared" si="12"/>
        <v>2002821.4705595465</v>
      </c>
      <c r="T17" s="27">
        <v>44104</v>
      </c>
      <c r="U17" s="11">
        <f t="shared" si="13"/>
        <v>30</v>
      </c>
      <c r="V17" s="2">
        <v>0</v>
      </c>
      <c r="W17" s="2">
        <v>0</v>
      </c>
      <c r="X17" s="2">
        <f t="shared" si="14"/>
        <v>40131.203566511394</v>
      </c>
      <c r="Y17" s="2">
        <f t="shared" si="15"/>
        <v>2074837.135203559</v>
      </c>
      <c r="AC17">
        <v>15</v>
      </c>
      <c r="AD17" s="16">
        <v>500000</v>
      </c>
      <c r="AE17" s="17">
        <f t="shared" si="1"/>
        <v>399925.75245490612</v>
      </c>
      <c r="AJ17">
        <v>15</v>
      </c>
      <c r="AK17" s="16">
        <v>500000</v>
      </c>
      <c r="AQ17" s="9">
        <v>1.4999999999999999E-2</v>
      </c>
      <c r="AR17">
        <v>13</v>
      </c>
      <c r="AS17" s="22">
        <f t="shared" si="9"/>
        <v>162773.85157601861</v>
      </c>
      <c r="AT17" s="22">
        <f t="shared" si="6"/>
        <v>337226.14842398139</v>
      </c>
      <c r="AU17" s="20">
        <f t="shared" si="7"/>
        <v>500000</v>
      </c>
      <c r="AW17" s="6">
        <f t="shared" si="8"/>
        <v>10514363.956643928</v>
      </c>
    </row>
    <row r="18" spans="2:50" x14ac:dyDescent="0.25">
      <c r="B18" s="3">
        <v>0.01</v>
      </c>
      <c r="C18">
        <v>13</v>
      </c>
      <c r="D18" s="6">
        <f t="shared" ca="1" si="4"/>
        <v>2117438.2881995575</v>
      </c>
      <c r="E18" s="17">
        <f t="shared" ca="1" si="2"/>
        <v>2948878.3706210996</v>
      </c>
      <c r="F18" s="17">
        <f t="shared" ca="1" si="5"/>
        <v>5066316.6588206571</v>
      </c>
      <c r="G18" s="17"/>
      <c r="H18" s="19">
        <f t="shared" ca="1" si="3"/>
        <v>208794950.44933465</v>
      </c>
      <c r="L18" s="27">
        <v>44135</v>
      </c>
      <c r="M18" s="11">
        <f t="shared" si="10"/>
        <v>31</v>
      </c>
      <c r="N18" s="2">
        <v>0</v>
      </c>
      <c r="O18" s="2">
        <v>0</v>
      </c>
      <c r="P18" s="2">
        <f t="shared" si="11"/>
        <v>30622.858768635429</v>
      </c>
      <c r="Q18" s="2">
        <f t="shared" si="12"/>
        <v>2033444.3293281819</v>
      </c>
      <c r="T18" s="27">
        <v>44135</v>
      </c>
      <c r="U18" s="11">
        <f t="shared" si="13"/>
        <v>31</v>
      </c>
      <c r="V18" s="2">
        <v>0</v>
      </c>
      <c r="W18" s="2">
        <v>0</v>
      </c>
      <c r="X18" s="2">
        <f t="shared" si="14"/>
        <v>42300.629033716395</v>
      </c>
      <c r="Y18" s="2">
        <f t="shared" si="15"/>
        <v>2117137.7642372753</v>
      </c>
      <c r="AC18">
        <v>16</v>
      </c>
      <c r="AD18" s="16">
        <v>500000</v>
      </c>
      <c r="AE18" s="17">
        <f t="shared" si="1"/>
        <v>394015.51966000604</v>
      </c>
      <c r="AJ18">
        <v>16</v>
      </c>
      <c r="AK18" s="16">
        <v>500000</v>
      </c>
      <c r="AQ18" s="9">
        <v>1.4999999999999999E-2</v>
      </c>
      <c r="AR18">
        <v>14</v>
      </c>
      <c r="AS18" s="22">
        <f t="shared" si="9"/>
        <v>157715.45934965892</v>
      </c>
      <c r="AT18" s="22">
        <f t="shared" si="6"/>
        <v>342284.54065034108</v>
      </c>
      <c r="AU18" s="20">
        <f t="shared" si="7"/>
        <v>500000</v>
      </c>
      <c r="AW18" s="6">
        <f t="shared" si="8"/>
        <v>10172079.415993586</v>
      </c>
    </row>
    <row r="19" spans="2:50" x14ac:dyDescent="0.25">
      <c r="B19" s="3">
        <v>0.01</v>
      </c>
      <c r="C19">
        <v>14</v>
      </c>
      <c r="D19" s="6">
        <f t="shared" ca="1" si="4"/>
        <v>2087949.5044933467</v>
      </c>
      <c r="E19" s="17">
        <f t="shared" ca="1" si="2"/>
        <v>2978367.1543273106</v>
      </c>
      <c r="F19" s="17">
        <f t="shared" ca="1" si="5"/>
        <v>5066316.6588206571</v>
      </c>
      <c r="G19" s="17"/>
      <c r="H19" s="19">
        <f t="shared" ca="1" si="3"/>
        <v>205816583.29500735</v>
      </c>
      <c r="L19" s="27">
        <v>44136</v>
      </c>
      <c r="M19" s="11">
        <f t="shared" si="10"/>
        <v>1</v>
      </c>
      <c r="N19" s="2">
        <v>500000</v>
      </c>
      <c r="O19" s="2">
        <v>0</v>
      </c>
      <c r="P19" s="2">
        <f t="shared" si="11"/>
        <v>995.5915242920164</v>
      </c>
      <c r="Q19" s="2">
        <f t="shared" si="12"/>
        <v>2534439.9208524739</v>
      </c>
      <c r="T19" s="27">
        <v>44136</v>
      </c>
      <c r="U19" s="11">
        <f t="shared" si="13"/>
        <v>1</v>
      </c>
      <c r="V19" s="2">
        <v>500000</v>
      </c>
      <c r="W19" s="2">
        <v>0</v>
      </c>
      <c r="X19" s="2">
        <f t="shared" si="14"/>
        <v>1378.8013329198584</v>
      </c>
      <c r="Y19" s="2">
        <f t="shared" si="15"/>
        <v>2618516.5655701952</v>
      </c>
      <c r="AC19">
        <v>17</v>
      </c>
      <c r="AD19" s="16">
        <v>500000</v>
      </c>
      <c r="AE19" s="17">
        <f t="shared" si="1"/>
        <v>388192.63020690257</v>
      </c>
      <c r="AJ19">
        <v>17</v>
      </c>
      <c r="AK19" s="16">
        <v>500000</v>
      </c>
      <c r="AQ19" s="9">
        <v>1.4999999999999999E-2</v>
      </c>
      <c r="AR19">
        <v>15</v>
      </c>
      <c r="AS19" s="22">
        <f t="shared" si="9"/>
        <v>152581.1912399038</v>
      </c>
      <c r="AT19" s="22">
        <f t="shared" si="6"/>
        <v>347418.8087600962</v>
      </c>
      <c r="AU19" s="20">
        <f t="shared" si="7"/>
        <v>500000</v>
      </c>
      <c r="AW19" s="6">
        <f t="shared" si="8"/>
        <v>9824660.6072334908</v>
      </c>
    </row>
    <row r="20" spans="2:50" x14ac:dyDescent="0.25">
      <c r="B20" s="3">
        <v>0.01</v>
      </c>
      <c r="C20">
        <v>15</v>
      </c>
      <c r="D20" s="6">
        <f t="shared" ca="1" si="4"/>
        <v>2058165.8329500735</v>
      </c>
      <c r="E20" s="17">
        <f t="shared" ca="1" si="2"/>
        <v>3008150.8258705838</v>
      </c>
      <c r="F20" s="17">
        <f t="shared" ca="1" si="5"/>
        <v>5066316.6588206571</v>
      </c>
      <c r="G20" s="17"/>
      <c r="H20" s="19">
        <f t="shared" ca="1" si="3"/>
        <v>202808432.46913677</v>
      </c>
      <c r="L20" s="27">
        <v>44165</v>
      </c>
      <c r="M20" s="11">
        <f t="shared" si="10"/>
        <v>29</v>
      </c>
      <c r="N20" s="2">
        <v>0</v>
      </c>
      <c r="O20" s="2">
        <v>0</v>
      </c>
      <c r="P20" s="2">
        <f t="shared" si="11"/>
        <v>36233.367193691432</v>
      </c>
      <c r="Q20" s="2">
        <f t="shared" si="12"/>
        <v>2570673.2880461654</v>
      </c>
      <c r="T20" s="27">
        <v>44165</v>
      </c>
      <c r="U20" s="11">
        <f t="shared" si="13"/>
        <v>29</v>
      </c>
      <c r="V20" s="2">
        <v>0</v>
      </c>
      <c r="W20" s="2">
        <v>0</v>
      </c>
      <c r="X20" s="2">
        <f t="shared" si="14"/>
        <v>49908.070202276576</v>
      </c>
      <c r="Y20" s="2">
        <f t="shared" si="15"/>
        <v>2668424.6357724718</v>
      </c>
      <c r="AC20">
        <v>18</v>
      </c>
      <c r="AD20" s="16">
        <v>500000</v>
      </c>
      <c r="AE20" s="17">
        <f t="shared" si="1"/>
        <v>382455.79330729321</v>
      </c>
      <c r="AJ20">
        <v>18</v>
      </c>
      <c r="AK20" s="16">
        <v>500000</v>
      </c>
      <c r="AL20" s="16">
        <v>800000</v>
      </c>
      <c r="AM20" s="6">
        <f>+PV(1.5%,AJ20,,-AL20)</f>
        <v>611929.26929166913</v>
      </c>
      <c r="AQ20" s="9">
        <v>1.4999999999999999E-2</v>
      </c>
      <c r="AR20">
        <v>16</v>
      </c>
      <c r="AS20" s="22">
        <f t="shared" si="9"/>
        <v>147369.90910850235</v>
      </c>
      <c r="AT20" s="22">
        <f t="shared" si="6"/>
        <v>352630.09089149768</v>
      </c>
      <c r="AU20" s="20">
        <f t="shared" si="7"/>
        <v>500000</v>
      </c>
      <c r="AW20" s="6">
        <f t="shared" si="8"/>
        <v>9472030.5163419936</v>
      </c>
    </row>
    <row r="21" spans="2:50" x14ac:dyDescent="0.25">
      <c r="B21" s="3">
        <v>0.01</v>
      </c>
      <c r="C21">
        <v>16</v>
      </c>
      <c r="D21" s="6">
        <f t="shared" ca="1" si="4"/>
        <v>2028084.3246913678</v>
      </c>
      <c r="E21" s="17">
        <f t="shared" ca="1" si="2"/>
        <v>3038232.3341292893</v>
      </c>
      <c r="F21" s="17">
        <f t="shared" ca="1" si="5"/>
        <v>5066316.6588206571</v>
      </c>
      <c r="G21" s="17"/>
      <c r="H21" s="19">
        <f t="shared" ca="1" si="3"/>
        <v>199770200.13500747</v>
      </c>
      <c r="L21" s="28">
        <v>44196</v>
      </c>
      <c r="M21" s="11">
        <f t="shared" si="10"/>
        <v>31</v>
      </c>
      <c r="N21" s="2">
        <v>0</v>
      </c>
      <c r="O21" s="2">
        <v>0</v>
      </c>
      <c r="P21" s="2">
        <f t="shared" si="11"/>
        <v>39305.233240858186</v>
      </c>
      <c r="Q21" s="2">
        <f t="shared" si="12"/>
        <v>2609978.5212870236</v>
      </c>
      <c r="T21" s="28">
        <v>44196</v>
      </c>
      <c r="U21" s="11">
        <f t="shared" si="13"/>
        <v>31</v>
      </c>
      <c r="V21" s="2">
        <v>0</v>
      </c>
      <c r="W21" s="2">
        <v>0</v>
      </c>
      <c r="X21" s="2">
        <f t="shared" si="14"/>
        <v>54402.361856304109</v>
      </c>
      <c r="Y21" s="2">
        <f t="shared" si="15"/>
        <v>2722826.9976287759</v>
      </c>
      <c r="AC21">
        <v>19</v>
      </c>
      <c r="AD21" s="16">
        <v>500000</v>
      </c>
      <c r="AE21" s="17">
        <f t="shared" si="1"/>
        <v>376803.73724856478</v>
      </c>
      <c r="AJ21">
        <v>19</v>
      </c>
      <c r="AK21" s="16">
        <v>500000</v>
      </c>
      <c r="AQ21" s="9">
        <v>1.4999999999999999E-2</v>
      </c>
      <c r="AR21">
        <v>17</v>
      </c>
      <c r="AS21" s="22">
        <f t="shared" si="9"/>
        <v>142080.45774512991</v>
      </c>
      <c r="AT21" s="22">
        <f t="shared" si="6"/>
        <v>357919.54225487006</v>
      </c>
      <c r="AU21" s="20">
        <f t="shared" si="7"/>
        <v>500000</v>
      </c>
      <c r="AW21" s="6">
        <f t="shared" si="8"/>
        <v>9114110.9740871228</v>
      </c>
    </row>
    <row r="22" spans="2:50" x14ac:dyDescent="0.25">
      <c r="B22" s="3">
        <v>0.01</v>
      </c>
      <c r="C22">
        <v>17</v>
      </c>
      <c r="D22" s="6">
        <f t="shared" ca="1" si="4"/>
        <v>1997702.0013500748</v>
      </c>
      <c r="E22" s="17">
        <f t="shared" ca="1" si="2"/>
        <v>3068614.6574705821</v>
      </c>
      <c r="F22" s="17">
        <f t="shared" ca="1" si="5"/>
        <v>5066316.6588206571</v>
      </c>
      <c r="G22" s="17"/>
      <c r="H22" s="19">
        <f t="shared" ca="1" si="3"/>
        <v>196701585.47753689</v>
      </c>
      <c r="L22" s="27">
        <v>44227</v>
      </c>
      <c r="M22" s="11">
        <f t="shared" si="10"/>
        <v>31</v>
      </c>
      <c r="N22" s="2">
        <v>0</v>
      </c>
      <c r="O22" s="2">
        <v>0</v>
      </c>
      <c r="P22" s="2">
        <f t="shared" si="11"/>
        <v>39906.204732374288</v>
      </c>
      <c r="Q22" s="2">
        <f t="shared" si="12"/>
        <v>2649884.7260193978</v>
      </c>
      <c r="T22" s="27">
        <v>44227</v>
      </c>
      <c r="U22" s="11">
        <f t="shared" si="13"/>
        <v>31</v>
      </c>
      <c r="V22" s="2">
        <v>0</v>
      </c>
      <c r="W22" s="2">
        <v>0</v>
      </c>
      <c r="X22" s="2">
        <f>FV($X$4,U22,,-Y21)-Y21</f>
        <v>69392.636928319931</v>
      </c>
      <c r="Y22" s="2">
        <f t="shared" si="15"/>
        <v>2792219.6345570958</v>
      </c>
      <c r="AC22">
        <v>20</v>
      </c>
      <c r="AD22" s="16">
        <v>500000</v>
      </c>
      <c r="AE22" s="17">
        <f t="shared" si="1"/>
        <v>371235.20911188656</v>
      </c>
      <c r="AJ22">
        <v>20</v>
      </c>
      <c r="AK22" s="16">
        <v>500000</v>
      </c>
      <c r="AQ22" s="9">
        <v>1.4999999999999999E-2</v>
      </c>
      <c r="AR22">
        <v>18</v>
      </c>
      <c r="AS22" s="22">
        <f t="shared" si="9"/>
        <v>136711.66461130683</v>
      </c>
      <c r="AT22" s="22">
        <f t="shared" si="6"/>
        <v>363288.33538869314</v>
      </c>
      <c r="AU22" s="20">
        <f t="shared" si="7"/>
        <v>500000</v>
      </c>
      <c r="AV22" s="20">
        <v>800000</v>
      </c>
      <c r="AW22" s="6">
        <f t="shared" si="8"/>
        <v>7950822.6386984289</v>
      </c>
    </row>
    <row r="23" spans="2:50" x14ac:dyDescent="0.25">
      <c r="B23" s="3">
        <v>0.01</v>
      </c>
      <c r="C23">
        <v>18</v>
      </c>
      <c r="D23" s="6">
        <f t="shared" ca="1" si="4"/>
        <v>1967015.8547753689</v>
      </c>
      <c r="E23" s="17">
        <f t="shared" ca="1" si="2"/>
        <v>3099300.8040452879</v>
      </c>
      <c r="F23" s="17">
        <f t="shared" ca="1" si="5"/>
        <v>5066316.6588206571</v>
      </c>
      <c r="G23" s="17"/>
      <c r="H23" s="19">
        <f t="shared" ca="1" si="3"/>
        <v>193602284.6734916</v>
      </c>
      <c r="L23" s="28">
        <v>44255</v>
      </c>
      <c r="M23" s="11">
        <f t="shared" si="10"/>
        <v>28</v>
      </c>
      <c r="N23" s="2">
        <v>0</v>
      </c>
      <c r="O23" s="2">
        <v>0</v>
      </c>
      <c r="P23" s="2">
        <f t="shared" si="11"/>
        <v>36568.502121915575</v>
      </c>
      <c r="Q23" s="2">
        <f t="shared" si="12"/>
        <v>2686453.2281413134</v>
      </c>
      <c r="T23" s="28">
        <v>44255</v>
      </c>
      <c r="U23" s="11">
        <f t="shared" si="13"/>
        <v>28</v>
      </c>
      <c r="V23" s="2">
        <v>0</v>
      </c>
      <c r="W23" s="2">
        <v>0</v>
      </c>
      <c r="X23" s="2">
        <f t="shared" ref="X23:X32" si="16">FV($X$4,U23,,-Y22)-Y22</f>
        <v>64196.048742856365</v>
      </c>
      <c r="Y23" s="2">
        <f t="shared" si="15"/>
        <v>2856415.6832999522</v>
      </c>
      <c r="AC23">
        <v>21</v>
      </c>
      <c r="AD23" s="16">
        <v>500000</v>
      </c>
      <c r="AE23" s="17">
        <f t="shared" si="1"/>
        <v>365748.97449446958</v>
      </c>
      <c r="AJ23">
        <v>21</v>
      </c>
      <c r="AK23" s="16">
        <v>500000</v>
      </c>
      <c r="AQ23" s="9">
        <v>1.4999999999999999E-2</v>
      </c>
      <c r="AR23">
        <v>19</v>
      </c>
      <c r="AS23" s="22">
        <f t="shared" si="9"/>
        <v>119262.33958047643</v>
      </c>
      <c r="AT23" s="22">
        <f t="shared" si="6"/>
        <v>329693.03500735585</v>
      </c>
      <c r="AU23" s="23">
        <f>+$AT$1</f>
        <v>448955.37458783225</v>
      </c>
      <c r="AW23" s="6">
        <f t="shared" si="8"/>
        <v>7621129.6036910731</v>
      </c>
    </row>
    <row r="24" spans="2:50" x14ac:dyDescent="0.25">
      <c r="B24" s="3">
        <v>0.01</v>
      </c>
      <c r="C24">
        <v>19</v>
      </c>
      <c r="D24" s="6">
        <f t="shared" ca="1" si="4"/>
        <v>1936022.8467349161</v>
      </c>
      <c r="E24" s="17">
        <f t="shared" ca="1" si="2"/>
        <v>3130293.8120857412</v>
      </c>
      <c r="F24" s="17">
        <f t="shared" ca="1" si="5"/>
        <v>5066316.6588206571</v>
      </c>
      <c r="G24" s="17"/>
      <c r="H24" s="19">
        <f t="shared" ca="1" si="3"/>
        <v>190471990.86140585</v>
      </c>
      <c r="L24" s="27">
        <v>44286</v>
      </c>
      <c r="M24" s="11">
        <f t="shared" si="10"/>
        <v>31</v>
      </c>
      <c r="N24" s="2">
        <v>0</v>
      </c>
      <c r="O24" s="2">
        <v>0</v>
      </c>
      <c r="P24" s="2">
        <f t="shared" si="11"/>
        <v>41075.492250905838</v>
      </c>
      <c r="Q24" s="2">
        <f t="shared" si="12"/>
        <v>2727528.7203922193</v>
      </c>
      <c r="T24" s="27">
        <v>44286</v>
      </c>
      <c r="U24" s="11">
        <f t="shared" si="13"/>
        <v>31</v>
      </c>
      <c r="V24" s="2">
        <v>0</v>
      </c>
      <c r="W24" s="2">
        <v>0</v>
      </c>
      <c r="X24" s="2">
        <f t="shared" si="16"/>
        <v>72797.212823367212</v>
      </c>
      <c r="Y24" s="2">
        <f t="shared" si="15"/>
        <v>2929212.8961233194</v>
      </c>
      <c r="AC24">
        <v>22</v>
      </c>
      <c r="AD24" s="16">
        <v>500000</v>
      </c>
      <c r="AE24" s="17">
        <f t="shared" si="1"/>
        <v>360343.81723593071</v>
      </c>
      <c r="AJ24">
        <v>22</v>
      </c>
      <c r="AK24" s="16">
        <v>500000</v>
      </c>
      <c r="AQ24" s="9">
        <v>1.4999999999999999E-2</v>
      </c>
      <c r="AR24">
        <v>20</v>
      </c>
      <c r="AS24" s="22">
        <f t="shared" si="9"/>
        <v>114316.9440553661</v>
      </c>
      <c r="AT24" s="22">
        <f t="shared" si="6"/>
        <v>334638.43053246615</v>
      </c>
      <c r="AU24" s="23">
        <f t="shared" ref="AU24:AU40" si="17">+$AT$1</f>
        <v>448955.37458783225</v>
      </c>
      <c r="AW24" s="6">
        <f t="shared" si="8"/>
        <v>7286491.1731586065</v>
      </c>
    </row>
    <row r="25" spans="2:50" x14ac:dyDescent="0.25">
      <c r="B25" s="3">
        <v>0.01</v>
      </c>
      <c r="C25">
        <v>20</v>
      </c>
      <c r="D25" s="6">
        <f t="shared" ca="1" si="4"/>
        <v>1904719.9086140585</v>
      </c>
      <c r="E25" s="17">
        <f t="shared" ca="1" si="2"/>
        <v>3161596.7502065985</v>
      </c>
      <c r="F25" s="17">
        <f t="shared" ca="1" si="5"/>
        <v>5066316.6588206571</v>
      </c>
      <c r="G25" s="17"/>
      <c r="H25" s="19">
        <f t="shared" ca="1" si="3"/>
        <v>187310394.11119926</v>
      </c>
      <c r="L25" s="28">
        <v>44316</v>
      </c>
      <c r="M25" s="11">
        <f t="shared" si="10"/>
        <v>30</v>
      </c>
      <c r="N25" s="2">
        <v>0</v>
      </c>
      <c r="O25" s="2">
        <v>300000</v>
      </c>
      <c r="P25" s="2">
        <f t="shared" si="11"/>
        <v>40348.354751962703</v>
      </c>
      <c r="Q25" s="2">
        <f t="shared" si="12"/>
        <v>2467877.075144182</v>
      </c>
      <c r="T25" s="28">
        <v>44316</v>
      </c>
      <c r="U25" s="11">
        <f t="shared" si="13"/>
        <v>30</v>
      </c>
      <c r="V25" s="2">
        <v>0</v>
      </c>
      <c r="W25" s="2">
        <v>300000</v>
      </c>
      <c r="X25" s="2">
        <f t="shared" si="16"/>
        <v>72214.902816352434</v>
      </c>
      <c r="Y25" s="2">
        <f t="shared" si="15"/>
        <v>2701427.7989396718</v>
      </c>
      <c r="AC25">
        <v>23</v>
      </c>
      <c r="AD25" s="16">
        <v>500000</v>
      </c>
      <c r="AE25" s="17">
        <f t="shared" si="1"/>
        <v>355018.53914870019</v>
      </c>
      <c r="AJ25">
        <v>23</v>
      </c>
      <c r="AK25" s="16">
        <v>500000</v>
      </c>
      <c r="AQ25" s="9">
        <v>1.4999999999999999E-2</v>
      </c>
      <c r="AR25">
        <v>21</v>
      </c>
      <c r="AS25" s="22">
        <f t="shared" si="9"/>
        <v>109297.3675973791</v>
      </c>
      <c r="AT25" s="22">
        <f t="shared" si="6"/>
        <v>339658.00699045317</v>
      </c>
      <c r="AU25" s="23">
        <f t="shared" si="17"/>
        <v>448955.37458783225</v>
      </c>
      <c r="AW25" s="6">
        <f t="shared" si="8"/>
        <v>6946833.1661681533</v>
      </c>
    </row>
    <row r="26" spans="2:50" x14ac:dyDescent="0.25">
      <c r="B26" s="3">
        <v>0.01</v>
      </c>
      <c r="C26">
        <v>21</v>
      </c>
      <c r="D26" s="6">
        <f t="shared" ca="1" si="4"/>
        <v>1873103.9411119926</v>
      </c>
      <c r="E26" s="17">
        <f t="shared" ca="1" si="2"/>
        <v>3193212.7177086645</v>
      </c>
      <c r="F26" s="17">
        <f t="shared" ca="1" si="5"/>
        <v>5066316.6588206571</v>
      </c>
      <c r="G26" s="17"/>
      <c r="H26" s="19">
        <f t="shared" ca="1" si="3"/>
        <v>184117181.39349058</v>
      </c>
      <c r="L26" s="27">
        <v>44347</v>
      </c>
      <c r="M26" s="11">
        <f t="shared" si="10"/>
        <v>31</v>
      </c>
      <c r="N26" s="2">
        <v>0</v>
      </c>
      <c r="O26" s="2">
        <v>0</v>
      </c>
      <c r="P26" s="2">
        <f t="shared" si="11"/>
        <v>37733.493594603613</v>
      </c>
      <c r="Q26" s="2">
        <f t="shared" si="12"/>
        <v>2505610.5687387856</v>
      </c>
      <c r="T26" s="27">
        <v>44347</v>
      </c>
      <c r="U26" s="11">
        <f t="shared" si="13"/>
        <v>31</v>
      </c>
      <c r="V26" s="2">
        <v>0</v>
      </c>
      <c r="W26" s="2">
        <v>0</v>
      </c>
      <c r="X26" s="2">
        <f t="shared" si="16"/>
        <v>68847.267418438103</v>
      </c>
      <c r="Y26" s="2">
        <f t="shared" si="15"/>
        <v>2770275.0663581099</v>
      </c>
      <c r="AC26">
        <v>24</v>
      </c>
      <c r="AD26" s="16">
        <v>1500000</v>
      </c>
      <c r="AE26" s="17">
        <f>+PV(1.5%,AC26,,-AD26)</f>
        <v>1049315.8792572422</v>
      </c>
      <c r="AJ26">
        <v>24</v>
      </c>
      <c r="AK26" s="16">
        <v>1500000</v>
      </c>
      <c r="AQ26" s="9">
        <v>1.4999999999999999E-2</v>
      </c>
      <c r="AR26">
        <v>22</v>
      </c>
      <c r="AS26" s="22">
        <f t="shared" si="9"/>
        <v>104202.49749252229</v>
      </c>
      <c r="AT26" s="22">
        <f t="shared" si="6"/>
        <v>344752.87709530996</v>
      </c>
      <c r="AU26" s="23">
        <f t="shared" si="17"/>
        <v>448955.37458783225</v>
      </c>
      <c r="AW26" s="6">
        <f t="shared" si="8"/>
        <v>6602080.2890728433</v>
      </c>
    </row>
    <row r="27" spans="2:50" x14ac:dyDescent="0.25">
      <c r="B27" s="3">
        <v>0.01</v>
      </c>
      <c r="C27">
        <v>22</v>
      </c>
      <c r="D27" s="6">
        <f t="shared" ca="1" si="4"/>
        <v>1841171.8139349059</v>
      </c>
      <c r="E27" s="17">
        <f t="shared" ca="1" si="2"/>
        <v>3225144.8448857511</v>
      </c>
      <c r="F27" s="17">
        <f t="shared" ca="1" si="5"/>
        <v>5066316.6588206571</v>
      </c>
      <c r="G27" s="17"/>
      <c r="H27" s="19">
        <f t="shared" ca="1" si="3"/>
        <v>180892036.54860485</v>
      </c>
      <c r="L27" s="28">
        <v>44377</v>
      </c>
      <c r="M27" s="11">
        <f t="shared" si="10"/>
        <v>30</v>
      </c>
      <c r="N27" s="2">
        <v>0</v>
      </c>
      <c r="O27" s="2">
        <v>600000</v>
      </c>
      <c r="P27" s="2">
        <f t="shared" si="11"/>
        <v>37065.5177127528</v>
      </c>
      <c r="Q27" s="2">
        <f t="shared" si="12"/>
        <v>1942676.0864515384</v>
      </c>
      <c r="T27" s="28">
        <v>44377</v>
      </c>
      <c r="U27" s="11">
        <f t="shared" si="13"/>
        <v>30</v>
      </c>
      <c r="V27" s="2">
        <v>0</v>
      </c>
      <c r="W27" s="2">
        <v>600000</v>
      </c>
      <c r="X27" s="2">
        <f t="shared" si="16"/>
        <v>68296.553301529959</v>
      </c>
      <c r="Y27" s="2">
        <f t="shared" si="15"/>
        <v>2238571.6196596399</v>
      </c>
      <c r="AC27">
        <v>25</v>
      </c>
      <c r="AD27" s="16">
        <v>500000</v>
      </c>
      <c r="AE27" s="17">
        <f t="shared" si="1"/>
        <v>344602.91601223062</v>
      </c>
      <c r="AJ27">
        <v>25</v>
      </c>
      <c r="AK27" s="16">
        <v>500000</v>
      </c>
      <c r="AQ27" s="9">
        <v>1.4999999999999999E-2</v>
      </c>
      <c r="AR27">
        <v>23</v>
      </c>
      <c r="AS27" s="22">
        <f t="shared" si="9"/>
        <v>99031.204336092647</v>
      </c>
      <c r="AT27" s="22">
        <f t="shared" si="6"/>
        <v>349924.17025173962</v>
      </c>
      <c r="AU27" s="23">
        <f t="shared" si="17"/>
        <v>448955.37458783225</v>
      </c>
      <c r="AW27" s="6">
        <f t="shared" si="8"/>
        <v>6252156.1188211041</v>
      </c>
    </row>
    <row r="28" spans="2:50" x14ac:dyDescent="0.25">
      <c r="B28" s="3">
        <v>0.01</v>
      </c>
      <c r="C28">
        <v>23</v>
      </c>
      <c r="D28" s="6">
        <f t="shared" ca="1" si="4"/>
        <v>1808920.3654860484</v>
      </c>
      <c r="E28" s="17">
        <f t="shared" ca="1" si="2"/>
        <v>3257396.2933346089</v>
      </c>
      <c r="F28" s="17">
        <f t="shared" ca="1" si="5"/>
        <v>5066316.6588206571</v>
      </c>
      <c r="G28" s="17"/>
      <c r="H28" s="19">
        <f t="shared" ca="1" si="3"/>
        <v>177634640.25527024</v>
      </c>
      <c r="L28" s="27">
        <v>44408</v>
      </c>
      <c r="M28" s="11">
        <f t="shared" si="10"/>
        <v>31</v>
      </c>
      <c r="N28" s="2">
        <v>0</v>
      </c>
      <c r="O28" s="2">
        <v>0</v>
      </c>
      <c r="P28" s="2">
        <f t="shared" si="11"/>
        <v>29703.244299648097</v>
      </c>
      <c r="Q28" s="2">
        <f t="shared" si="12"/>
        <v>1972379.3307511865</v>
      </c>
      <c r="T28" s="27">
        <v>44408</v>
      </c>
      <c r="U28" s="11">
        <f t="shared" si="13"/>
        <v>31</v>
      </c>
      <c r="V28" s="2">
        <v>0</v>
      </c>
      <c r="W28" s="2">
        <v>0</v>
      </c>
      <c r="X28" s="2">
        <f t="shared" si="16"/>
        <v>57051.14125001803</v>
      </c>
      <c r="Y28" s="2">
        <f t="shared" si="15"/>
        <v>2295622.7609096579</v>
      </c>
      <c r="AC28">
        <v>26</v>
      </c>
      <c r="AD28" s="16">
        <v>500000</v>
      </c>
      <c r="AE28" s="17">
        <f t="shared" si="1"/>
        <v>339510.26208101545</v>
      </c>
      <c r="AJ28">
        <v>26</v>
      </c>
      <c r="AK28" s="16">
        <v>500000</v>
      </c>
      <c r="AQ28" s="9">
        <v>1.4999999999999999E-2</v>
      </c>
      <c r="AR28">
        <v>24</v>
      </c>
      <c r="AS28" s="22">
        <f t="shared" si="9"/>
        <v>93782.341782316551</v>
      </c>
      <c r="AT28" s="22">
        <f t="shared" si="6"/>
        <v>355173.03280551569</v>
      </c>
      <c r="AU28" s="23">
        <f t="shared" si="17"/>
        <v>448955.37458783225</v>
      </c>
      <c r="AV28" s="20">
        <v>1000000</v>
      </c>
      <c r="AW28" s="6">
        <f t="shared" si="8"/>
        <v>4896983.0860155886</v>
      </c>
      <c r="AX28" s="6">
        <f>PV(AQ28,6,,-AV28)</f>
        <v>914542.19251787208</v>
      </c>
    </row>
    <row r="29" spans="2:50" x14ac:dyDescent="0.25">
      <c r="B29" s="9">
        <v>1.0999999999999999E-2</v>
      </c>
      <c r="C29">
        <v>24</v>
      </c>
      <c r="D29" s="6">
        <f t="shared" ca="1" si="4"/>
        <v>1953981.0428079725</v>
      </c>
      <c r="E29" s="17">
        <f t="shared" ca="1" si="2"/>
        <v>3112335.6160126845</v>
      </c>
      <c r="F29" s="17">
        <f t="shared" ca="1" si="5"/>
        <v>5066316.6588206571</v>
      </c>
      <c r="G29" s="17"/>
      <c r="H29" s="19">
        <f t="shared" ca="1" si="3"/>
        <v>174522304.63925755</v>
      </c>
      <c r="L29" s="28">
        <v>44439</v>
      </c>
      <c r="M29" s="11">
        <f t="shared" si="10"/>
        <v>31</v>
      </c>
      <c r="N29" s="2">
        <v>0</v>
      </c>
      <c r="O29" s="2">
        <v>0</v>
      </c>
      <c r="P29" s="2">
        <f t="shared" si="11"/>
        <v>30157.402729907306</v>
      </c>
      <c r="Q29" s="2">
        <f t="shared" si="12"/>
        <v>2002536.7334810938</v>
      </c>
      <c r="T29" s="28">
        <v>44439</v>
      </c>
      <c r="U29" s="11">
        <f t="shared" si="13"/>
        <v>31</v>
      </c>
      <c r="V29" s="2">
        <v>0</v>
      </c>
      <c r="W29" s="2">
        <v>0</v>
      </c>
      <c r="X29" s="2">
        <f t="shared" si="16"/>
        <v>58505.11872804258</v>
      </c>
      <c r="Y29" s="2">
        <f t="shared" si="15"/>
        <v>2354127.8796377005</v>
      </c>
      <c r="AC29">
        <v>27</v>
      </c>
      <c r="AD29" s="16">
        <v>500000</v>
      </c>
      <c r="AE29" s="17">
        <f t="shared" si="1"/>
        <v>334492.86904533545</v>
      </c>
      <c r="AJ29">
        <v>27</v>
      </c>
      <c r="AK29" s="16">
        <v>500000</v>
      </c>
      <c r="AQ29" s="9">
        <v>1.4999999999999999E-2</v>
      </c>
      <c r="AR29">
        <v>25</v>
      </c>
      <c r="AS29" s="22">
        <f t="shared" si="9"/>
        <v>73454.74629023383</v>
      </c>
      <c r="AT29" s="22">
        <f t="shared" si="6"/>
        <v>375500.62829759845</v>
      </c>
      <c r="AU29" s="23">
        <f t="shared" si="17"/>
        <v>448955.37458783225</v>
      </c>
      <c r="AW29" s="6">
        <f t="shared" si="8"/>
        <v>4521482.4577179905</v>
      </c>
    </row>
    <row r="30" spans="2:50" x14ac:dyDescent="0.25">
      <c r="B30" s="9">
        <v>1.0999999999999999E-2</v>
      </c>
      <c r="C30">
        <v>25</v>
      </c>
      <c r="D30" s="6">
        <f t="shared" ca="1" si="4"/>
        <v>1919745.3510318329</v>
      </c>
      <c r="E30" s="17">
        <f t="shared" ca="1" si="2"/>
        <v>3146571.3077888242</v>
      </c>
      <c r="F30" s="17">
        <f t="shared" ca="1" si="5"/>
        <v>5066316.6588206571</v>
      </c>
      <c r="G30" s="17"/>
      <c r="H30" s="19">
        <f t="shared" ca="1" si="3"/>
        <v>171375733.33146873</v>
      </c>
      <c r="L30" s="27">
        <v>44469</v>
      </c>
      <c r="M30" s="11">
        <f t="shared" si="10"/>
        <v>30</v>
      </c>
      <c r="N30" s="2">
        <v>0</v>
      </c>
      <c r="O30" s="2">
        <v>0</v>
      </c>
      <c r="P30" s="2">
        <f t="shared" si="11"/>
        <v>29623.542337883497</v>
      </c>
      <c r="Q30" s="2">
        <f t="shared" si="12"/>
        <v>2032160.2758189773</v>
      </c>
      <c r="T30" s="27">
        <v>44469</v>
      </c>
      <c r="U30" s="11">
        <f t="shared" si="13"/>
        <v>30</v>
      </c>
      <c r="V30" s="2">
        <v>0</v>
      </c>
      <c r="W30" s="2">
        <v>0</v>
      </c>
      <c r="X30" s="2">
        <f t="shared" si="16"/>
        <v>58037.132183288224</v>
      </c>
      <c r="Y30" s="2">
        <f t="shared" si="15"/>
        <v>2412165.0118209887</v>
      </c>
      <c r="AC30">
        <v>28</v>
      </c>
      <c r="AD30" s="16">
        <v>500000</v>
      </c>
      <c r="AE30" s="17">
        <f t="shared" si="1"/>
        <v>329549.62467520742</v>
      </c>
      <c r="AJ30">
        <v>28</v>
      </c>
      <c r="AK30" s="16">
        <v>500000</v>
      </c>
      <c r="AQ30" s="9">
        <v>1.4999999999999999E-2</v>
      </c>
      <c r="AR30">
        <v>26</v>
      </c>
      <c r="AS30" s="22">
        <f t="shared" si="9"/>
        <v>67822.236865769853</v>
      </c>
      <c r="AT30" s="22">
        <f t="shared" si="6"/>
        <v>381133.13772206241</v>
      </c>
      <c r="AU30" s="23">
        <f t="shared" si="17"/>
        <v>448955.37458783225</v>
      </c>
      <c r="AW30" s="6">
        <f t="shared" si="8"/>
        <v>4140349.3199959281</v>
      </c>
    </row>
    <row r="31" spans="2:50" x14ac:dyDescent="0.25">
      <c r="B31" s="9">
        <v>1.0999999999999999E-2</v>
      </c>
      <c r="C31">
        <v>26</v>
      </c>
      <c r="D31" s="6">
        <f t="shared" ca="1" si="4"/>
        <v>1885133.0666461559</v>
      </c>
      <c r="E31" s="17">
        <f t="shared" ca="1" si="2"/>
        <v>3181183.5921745012</v>
      </c>
      <c r="F31" s="17">
        <f t="shared" ca="1" si="5"/>
        <v>5066316.6588206571</v>
      </c>
      <c r="G31" s="17"/>
      <c r="H31" s="19">
        <f t="shared" ca="1" si="3"/>
        <v>168194549.73929423</v>
      </c>
      <c r="L31" s="28">
        <v>44500</v>
      </c>
      <c r="M31" s="11">
        <f t="shared" si="10"/>
        <v>31</v>
      </c>
      <c r="N31" s="2">
        <v>0</v>
      </c>
      <c r="O31" s="2">
        <v>0</v>
      </c>
      <c r="P31" s="2">
        <f t="shared" si="11"/>
        <v>31071.444977195002</v>
      </c>
      <c r="Q31" s="29">
        <f t="shared" si="12"/>
        <v>2063231.7207961723</v>
      </c>
      <c r="T31" s="28">
        <v>44500</v>
      </c>
      <c r="U31" s="11">
        <f t="shared" si="13"/>
        <v>31</v>
      </c>
      <c r="V31" s="2">
        <v>0</v>
      </c>
      <c r="W31" s="2">
        <v>0</v>
      </c>
      <c r="X31" s="2">
        <f t="shared" si="16"/>
        <v>61475.257525454741</v>
      </c>
      <c r="Y31" s="29">
        <f t="shared" si="15"/>
        <v>2473640.2693464435</v>
      </c>
      <c r="AC31">
        <v>29</v>
      </c>
      <c r="AD31" s="16">
        <v>500000</v>
      </c>
      <c r="AE31" s="17">
        <f t="shared" si="1"/>
        <v>324679.43317754427</v>
      </c>
      <c r="AJ31">
        <v>29</v>
      </c>
      <c r="AK31" s="16">
        <v>500000</v>
      </c>
      <c r="AQ31" s="9">
        <v>1.4999999999999999E-2</v>
      </c>
      <c r="AR31">
        <v>27</v>
      </c>
      <c r="AS31" s="22">
        <f t="shared" si="9"/>
        <v>62105.239799938921</v>
      </c>
      <c r="AT31" s="22">
        <f t="shared" si="6"/>
        <v>386850.13478789333</v>
      </c>
      <c r="AU31" s="23">
        <f t="shared" si="17"/>
        <v>448955.37458783225</v>
      </c>
      <c r="AW31" s="6">
        <f t="shared" si="8"/>
        <v>3753499.1852080347</v>
      </c>
    </row>
    <row r="32" spans="2:50" x14ac:dyDescent="0.25">
      <c r="B32" s="9">
        <v>1.0999999999999999E-2</v>
      </c>
      <c r="C32">
        <v>27</v>
      </c>
      <c r="D32" s="6">
        <f t="shared" ca="1" si="4"/>
        <v>1850140.0471322364</v>
      </c>
      <c r="E32" s="17">
        <f t="shared" ca="1" si="2"/>
        <v>3216176.6116884206</v>
      </c>
      <c r="F32" s="17">
        <f t="shared" ca="1" si="5"/>
        <v>5066316.6588206571</v>
      </c>
      <c r="G32" s="17"/>
      <c r="H32" s="19">
        <f t="shared" ca="1" si="3"/>
        <v>164978373.1276058</v>
      </c>
      <c r="L32" s="27">
        <v>44501</v>
      </c>
      <c r="M32" s="11">
        <f t="shared" si="10"/>
        <v>1</v>
      </c>
      <c r="N32" s="2">
        <v>0</v>
      </c>
      <c r="O32" s="2">
        <f>Q31*0.4</f>
        <v>825292.68831846898</v>
      </c>
      <c r="P32" s="2">
        <f t="shared" si="11"/>
        <v>1010.175682829693</v>
      </c>
      <c r="Q32" s="30">
        <f t="shared" si="12"/>
        <v>1238949.2081605331</v>
      </c>
      <c r="T32" s="27">
        <v>44501</v>
      </c>
      <c r="U32" s="11">
        <f t="shared" si="13"/>
        <v>1</v>
      </c>
      <c r="V32" s="2">
        <v>0</v>
      </c>
      <c r="W32" s="2">
        <f>Y31*0.4</f>
        <v>989456.10773857741</v>
      </c>
      <c r="X32" s="2">
        <f t="shared" si="16"/>
        <v>2008.945991196204</v>
      </c>
      <c r="Y32" s="30">
        <f t="shared" si="15"/>
        <v>1486193.1075990624</v>
      </c>
      <c r="AC32">
        <v>30</v>
      </c>
      <c r="AD32" s="16">
        <v>500000</v>
      </c>
      <c r="AE32" s="17">
        <f t="shared" si="1"/>
        <v>319881.21495324565</v>
      </c>
      <c r="AJ32">
        <v>30</v>
      </c>
      <c r="AK32" s="16">
        <v>500000</v>
      </c>
      <c r="AQ32" s="9">
        <v>1.4999999999999999E-2</v>
      </c>
      <c r="AR32">
        <v>28</v>
      </c>
      <c r="AS32" s="22">
        <f t="shared" si="9"/>
        <v>56302.487778120521</v>
      </c>
      <c r="AT32" s="22">
        <f t="shared" si="6"/>
        <v>392652.88680971175</v>
      </c>
      <c r="AU32" s="23">
        <f t="shared" si="17"/>
        <v>448955.37458783225</v>
      </c>
      <c r="AW32" s="6">
        <f t="shared" si="8"/>
        <v>3360846.2983983229</v>
      </c>
    </row>
    <row r="33" spans="2:49" x14ac:dyDescent="0.25">
      <c r="B33" s="9">
        <v>1.0999999999999999E-2</v>
      </c>
      <c r="C33">
        <v>28</v>
      </c>
      <c r="D33" s="6">
        <f t="shared" ca="1" si="4"/>
        <v>1814762.1044036637</v>
      </c>
      <c r="E33" s="17">
        <f t="shared" ca="1" si="2"/>
        <v>3251554.5544169936</v>
      </c>
      <c r="F33" s="17">
        <f t="shared" ca="1" si="5"/>
        <v>5066316.6588206571</v>
      </c>
      <c r="G33" s="17"/>
      <c r="H33" s="19">
        <f t="shared" ca="1" si="3"/>
        <v>161726818.57318881</v>
      </c>
      <c r="AC33">
        <v>31</v>
      </c>
      <c r="AD33" s="16">
        <v>500000</v>
      </c>
      <c r="AE33" s="17">
        <f t="shared" si="1"/>
        <v>315153.90635787754</v>
      </c>
      <c r="AJ33">
        <v>31</v>
      </c>
      <c r="AK33" s="16">
        <v>500000</v>
      </c>
      <c r="AQ33" s="9">
        <v>1.4999999999999999E-2</v>
      </c>
      <c r="AR33">
        <v>29</v>
      </c>
      <c r="AS33" s="22">
        <f t="shared" si="9"/>
        <v>50412.694475974844</v>
      </c>
      <c r="AT33" s="22">
        <f t="shared" si="6"/>
        <v>398542.68011185742</v>
      </c>
      <c r="AU33" s="23">
        <f t="shared" si="17"/>
        <v>448955.37458783225</v>
      </c>
      <c r="AW33" s="6">
        <f t="shared" si="8"/>
        <v>2962303.6182864653</v>
      </c>
    </row>
    <row r="34" spans="2:49" x14ac:dyDescent="0.25">
      <c r="B34" s="9">
        <v>1.0999999999999999E-2</v>
      </c>
      <c r="C34">
        <v>29</v>
      </c>
      <c r="D34" s="6">
        <f t="shared" ca="1" si="4"/>
        <v>1778995.0043050768</v>
      </c>
      <c r="E34" s="17">
        <f t="shared" ca="1" si="2"/>
        <v>3287321.6545155803</v>
      </c>
      <c r="F34" s="17">
        <f t="shared" ca="1" si="5"/>
        <v>5066316.6588206571</v>
      </c>
      <c r="G34" s="17"/>
      <c r="H34" s="19">
        <f t="shared" ca="1" si="3"/>
        <v>158439496.91867322</v>
      </c>
      <c r="AC34">
        <v>32</v>
      </c>
      <c r="AD34" s="16">
        <v>500000</v>
      </c>
      <c r="AE34" s="17">
        <f t="shared" si="1"/>
        <v>310496.4594658892</v>
      </c>
      <c r="AJ34">
        <v>32</v>
      </c>
      <c r="AK34" s="16">
        <v>500000</v>
      </c>
      <c r="AQ34" s="9">
        <v>1.4999999999999999E-2</v>
      </c>
      <c r="AR34">
        <v>30</v>
      </c>
      <c r="AS34" s="22">
        <f t="shared" si="9"/>
        <v>44434.554274296977</v>
      </c>
      <c r="AT34" s="22">
        <f t="shared" si="6"/>
        <v>404520.82031353528</v>
      </c>
      <c r="AU34" s="23">
        <f t="shared" si="17"/>
        <v>448955.37458783225</v>
      </c>
      <c r="AW34" s="6">
        <f t="shared" si="8"/>
        <v>2557782.7979729301</v>
      </c>
    </row>
    <row r="35" spans="2:49" x14ac:dyDescent="0.25">
      <c r="B35" s="9">
        <v>1.0999999999999999E-2</v>
      </c>
      <c r="C35">
        <v>30</v>
      </c>
      <c r="D35" s="6">
        <f t="shared" ca="1" si="4"/>
        <v>1742834.4661054052</v>
      </c>
      <c r="E35" s="17">
        <f t="shared" ca="1" si="2"/>
        <v>3323482.1927152518</v>
      </c>
      <c r="F35" s="17">
        <f t="shared" ca="1" si="5"/>
        <v>5066316.6588206571</v>
      </c>
      <c r="G35" s="17"/>
      <c r="H35" s="19">
        <f t="shared" ca="1" si="3"/>
        <v>155116014.72595796</v>
      </c>
      <c r="AC35">
        <v>33</v>
      </c>
      <c r="AD35" s="16">
        <v>500000</v>
      </c>
      <c r="AE35" s="17">
        <f t="shared" si="1"/>
        <v>305907.84183831455</v>
      </c>
      <c r="AJ35">
        <v>33</v>
      </c>
      <c r="AK35" s="16">
        <v>500000</v>
      </c>
      <c r="AQ35" s="9">
        <v>1.4999999999999999E-2</v>
      </c>
      <c r="AR35">
        <v>31</v>
      </c>
      <c r="AS35" s="22">
        <f t="shared" si="9"/>
        <v>38366.741969593953</v>
      </c>
      <c r="AT35" s="22">
        <f t="shared" si="6"/>
        <v>410588.63261823828</v>
      </c>
      <c r="AU35" s="23">
        <f t="shared" si="17"/>
        <v>448955.37458783225</v>
      </c>
      <c r="AW35" s="6">
        <f t="shared" si="8"/>
        <v>2147194.1653546919</v>
      </c>
    </row>
    <row r="36" spans="2:49" x14ac:dyDescent="0.25">
      <c r="B36" s="9">
        <v>1.0999999999999999E-2</v>
      </c>
      <c r="C36">
        <v>31</v>
      </c>
      <c r="D36" s="6">
        <f t="shared" ca="1" si="4"/>
        <v>1706276.1619855375</v>
      </c>
      <c r="E36" s="17">
        <f t="shared" ca="1" si="2"/>
        <v>3360040.4968351196</v>
      </c>
      <c r="F36" s="17">
        <f t="shared" ca="1" si="5"/>
        <v>5066316.6588206571</v>
      </c>
      <c r="G36" s="17"/>
      <c r="H36" s="19">
        <f t="shared" ca="1" si="3"/>
        <v>151755974.22912285</v>
      </c>
      <c r="AC36">
        <v>34</v>
      </c>
      <c r="AD36" s="16">
        <v>500000</v>
      </c>
      <c r="AE36" s="17">
        <f t="shared" si="1"/>
        <v>301387.03629390604</v>
      </c>
      <c r="AJ36">
        <v>34</v>
      </c>
      <c r="AK36" s="16">
        <v>500000</v>
      </c>
      <c r="AQ36" s="9">
        <v>1.4999999999999999E-2</v>
      </c>
      <c r="AR36">
        <v>32</v>
      </c>
      <c r="AS36" s="22">
        <f t="shared" si="9"/>
        <v>32207.912480320378</v>
      </c>
      <c r="AT36" s="22">
        <f t="shared" si="6"/>
        <v>416747.46210751188</v>
      </c>
      <c r="AU36" s="23">
        <f t="shared" si="17"/>
        <v>448955.37458783225</v>
      </c>
      <c r="AW36" s="6">
        <f t="shared" si="8"/>
        <v>1730446.70324718</v>
      </c>
    </row>
    <row r="37" spans="2:49" x14ac:dyDescent="0.25">
      <c r="B37" s="9">
        <v>1.0999999999999999E-2</v>
      </c>
      <c r="C37">
        <v>32</v>
      </c>
      <c r="D37" s="6">
        <f t="shared" ca="1" si="4"/>
        <v>1669315.7165203511</v>
      </c>
      <c r="E37" s="17">
        <f t="shared" ca="1" si="2"/>
        <v>3397000.9423003057</v>
      </c>
      <c r="F37" s="17">
        <f t="shared" ca="1" si="5"/>
        <v>5066316.6588206571</v>
      </c>
      <c r="G37" s="17"/>
      <c r="H37" s="19">
        <f t="shared" ca="1" si="3"/>
        <v>148358973.28682253</v>
      </c>
      <c r="AC37">
        <v>35</v>
      </c>
      <c r="AD37" s="16">
        <v>500000</v>
      </c>
      <c r="AE37" s="17">
        <f t="shared" si="1"/>
        <v>296933.04068365128</v>
      </c>
      <c r="AJ37">
        <v>35</v>
      </c>
      <c r="AK37" s="16">
        <v>500000</v>
      </c>
      <c r="AQ37" s="9">
        <v>1.4999999999999999E-2</v>
      </c>
      <c r="AR37">
        <v>33</v>
      </c>
      <c r="AS37" s="22">
        <f t="shared" si="9"/>
        <v>25956.7005487077</v>
      </c>
      <c r="AT37" s="22">
        <f t="shared" si="6"/>
        <v>422998.67403912457</v>
      </c>
      <c r="AU37" s="23">
        <f t="shared" si="17"/>
        <v>448955.37458783225</v>
      </c>
      <c r="AW37" s="6">
        <f t="shared" si="8"/>
        <v>1307448.0292080555</v>
      </c>
    </row>
    <row r="38" spans="2:49" x14ac:dyDescent="0.25">
      <c r="B38" s="9">
        <v>1.0999999999999999E-2</v>
      </c>
      <c r="C38">
        <v>33</v>
      </c>
      <c r="D38" s="6">
        <f t="shared" ca="1" si="4"/>
        <v>1631948.7061550478</v>
      </c>
      <c r="E38" s="17">
        <f t="shared" ca="1" si="2"/>
        <v>3434367.9526656093</v>
      </c>
      <c r="F38" s="17">
        <f t="shared" ca="1" si="5"/>
        <v>5066316.6588206571</v>
      </c>
      <c r="G38" s="17"/>
      <c r="H38" s="19">
        <f t="shared" ca="1" si="3"/>
        <v>144924605.33415693</v>
      </c>
      <c r="AC38">
        <v>36</v>
      </c>
      <c r="AD38" s="16">
        <v>500000</v>
      </c>
      <c r="AE38" s="17">
        <f t="shared" si="1"/>
        <v>292544.86766862194</v>
      </c>
      <c r="AJ38">
        <v>36</v>
      </c>
      <c r="AK38" s="16">
        <v>500000</v>
      </c>
      <c r="AQ38" s="9">
        <v>1.4999999999999999E-2</v>
      </c>
      <c r="AR38">
        <v>34</v>
      </c>
      <c r="AS38" s="22">
        <f t="shared" si="9"/>
        <v>19611.720438120832</v>
      </c>
      <c r="AT38" s="22">
        <f t="shared" si="6"/>
        <v>429343.65414971142</v>
      </c>
      <c r="AU38" s="23">
        <f t="shared" si="17"/>
        <v>448955.37458783225</v>
      </c>
      <c r="AW38" s="6">
        <f t="shared" si="8"/>
        <v>878104.3750583441</v>
      </c>
    </row>
    <row r="39" spans="2:49" x14ac:dyDescent="0.25">
      <c r="B39" s="9">
        <v>1.0999999999999999E-2</v>
      </c>
      <c r="C39">
        <v>34</v>
      </c>
      <c r="D39" s="6">
        <f t="shared" ca="1" si="4"/>
        <v>1594170.658675726</v>
      </c>
      <c r="E39" s="17">
        <f t="shared" ca="1" si="2"/>
        <v>3472146.000144931</v>
      </c>
      <c r="F39" s="17">
        <f t="shared" ca="1" si="5"/>
        <v>5066316.6588206571</v>
      </c>
      <c r="G39" s="17"/>
      <c r="H39" s="19">
        <f t="shared" ca="1" si="3"/>
        <v>141452459.334012</v>
      </c>
      <c r="AE39" s="16"/>
      <c r="AQ39" s="9">
        <v>1.4999999999999999E-2</v>
      </c>
      <c r="AR39">
        <v>35</v>
      </c>
      <c r="AS39" s="22">
        <f t="shared" si="9"/>
        <v>13171.565625875161</v>
      </c>
      <c r="AT39" s="22">
        <f t="shared" si="6"/>
        <v>435783.80896195711</v>
      </c>
      <c r="AU39" s="23">
        <f t="shared" si="17"/>
        <v>448955.37458783225</v>
      </c>
      <c r="AW39" s="6">
        <f t="shared" si="8"/>
        <v>442320.56609638699</v>
      </c>
    </row>
    <row r="40" spans="2:49" x14ac:dyDescent="0.25">
      <c r="B40" s="9">
        <v>1.0999999999999999E-2</v>
      </c>
      <c r="C40">
        <v>35</v>
      </c>
      <c r="D40" s="6">
        <f t="shared" ca="1" si="4"/>
        <v>1555977.0526741319</v>
      </c>
      <c r="E40" s="17">
        <f t="shared" ca="1" si="2"/>
        <v>3510339.6061465251</v>
      </c>
      <c r="F40" s="17">
        <f t="shared" ca="1" si="5"/>
        <v>5066316.6588206571</v>
      </c>
      <c r="G40" s="17">
        <f ca="1">+F41*2</f>
        <v>10132633.317641314</v>
      </c>
      <c r="H40" s="19">
        <f t="shared" ref="H40:H64" ca="1" si="18">+H39-E40-G40</f>
        <v>127809486.41022417</v>
      </c>
      <c r="AD40" t="s">
        <v>75</v>
      </c>
      <c r="AE40" s="24">
        <f>+SUM(AE3:AE38)</f>
        <v>15366273.496825553</v>
      </c>
      <c r="AM40" s="6"/>
      <c r="AQ40" s="9">
        <v>1.4999999999999999E-2</v>
      </c>
      <c r="AR40">
        <v>36</v>
      </c>
      <c r="AS40" s="22">
        <f t="shared" si="9"/>
        <v>6634.808491445805</v>
      </c>
      <c r="AT40" s="22">
        <f t="shared" si="6"/>
        <v>442320.56609638646</v>
      </c>
      <c r="AU40" s="23">
        <f t="shared" si="17"/>
        <v>448955.37458783225</v>
      </c>
      <c r="AV40" s="20"/>
      <c r="AW40" s="6">
        <f t="shared" si="8"/>
        <v>5.2386894822120667E-10</v>
      </c>
    </row>
    <row r="41" spans="2:49" x14ac:dyDescent="0.25">
      <c r="B41" s="9">
        <v>8.0000000000000002E-3</v>
      </c>
      <c r="C41">
        <v>36</v>
      </c>
      <c r="D41" s="6">
        <f t="shared" ca="1" si="4"/>
        <v>1022475.8912817934</v>
      </c>
      <c r="E41" s="17">
        <f t="shared" ca="1" si="2"/>
        <v>4043840.7675388637</v>
      </c>
      <c r="F41" s="17">
        <f t="shared" ca="1" si="5"/>
        <v>5066316.6588206571</v>
      </c>
      <c r="G41" s="17"/>
      <c r="H41" s="19">
        <f t="shared" ca="1" si="18"/>
        <v>123765645.64268531</v>
      </c>
      <c r="AE41" s="17"/>
      <c r="AL41" t="s">
        <v>74</v>
      </c>
      <c r="AM41" s="23">
        <f>PV(1.5%,36,-500000)-AM20</f>
        <v>13218412.886133533</v>
      </c>
    </row>
    <row r="42" spans="2:49" x14ac:dyDescent="0.25">
      <c r="B42" s="9">
        <v>8.0000000000000002E-3</v>
      </c>
      <c r="C42">
        <v>37</v>
      </c>
      <c r="D42" s="6">
        <f t="shared" ca="1" si="4"/>
        <v>990125.16514148249</v>
      </c>
      <c r="E42" s="17">
        <f t="shared" ca="1" si="2"/>
        <v>4076191.4936791747</v>
      </c>
      <c r="F42" s="17">
        <f t="shared" ca="1" si="5"/>
        <v>5066316.6588206571</v>
      </c>
      <c r="G42" s="17"/>
      <c r="H42" s="19">
        <f t="shared" ca="1" si="18"/>
        <v>119689454.14900613</v>
      </c>
      <c r="AE42" s="17"/>
      <c r="AM42" s="21">
        <f>PMT(1.5%,36,-AM41)</f>
        <v>477877.29101655952</v>
      </c>
    </row>
    <row r="43" spans="2:49" x14ac:dyDescent="0.25">
      <c r="B43" s="9">
        <v>8.0000000000000002E-3</v>
      </c>
      <c r="C43">
        <v>38</v>
      </c>
      <c r="D43" s="6">
        <f t="shared" ca="1" si="4"/>
        <v>957515.63319204899</v>
      </c>
      <c r="E43" s="17">
        <f t="shared" ca="1" si="2"/>
        <v>4108801.0256286082</v>
      </c>
      <c r="F43" s="17">
        <f t="shared" ca="1" si="5"/>
        <v>5066316.6588206571</v>
      </c>
      <c r="H43" s="19">
        <f t="shared" ca="1" si="18"/>
        <v>115580653.12337752</v>
      </c>
    </row>
    <row r="44" spans="2:49" x14ac:dyDescent="0.25">
      <c r="B44" s="9">
        <v>8.0000000000000002E-3</v>
      </c>
      <c r="C44">
        <v>39</v>
      </c>
      <c r="D44" s="6">
        <f t="shared" ca="1" si="4"/>
        <v>924645.22498702013</v>
      </c>
      <c r="E44" s="17">
        <f t="shared" ca="1" si="2"/>
        <v>4141671.4338336368</v>
      </c>
      <c r="F44" s="17">
        <f t="shared" ca="1" si="5"/>
        <v>5066316.6588206571</v>
      </c>
      <c r="G44" s="17"/>
      <c r="H44" s="19">
        <f t="shared" ca="1" si="18"/>
        <v>111438981.68954387</v>
      </c>
    </row>
    <row r="45" spans="2:49" x14ac:dyDescent="0.25">
      <c r="B45" s="9">
        <v>8.0000000000000002E-3</v>
      </c>
      <c r="C45">
        <v>40</v>
      </c>
      <c r="D45" s="6">
        <f t="shared" ca="1" si="4"/>
        <v>891511.85351635097</v>
      </c>
      <c r="E45" s="17">
        <f t="shared" ca="1" si="2"/>
        <v>4174804.8053043061</v>
      </c>
      <c r="F45" s="17">
        <f t="shared" ca="1" si="5"/>
        <v>5066316.6588206571</v>
      </c>
      <c r="G45" s="17"/>
      <c r="H45" s="19">
        <f t="shared" ca="1" si="18"/>
        <v>107264176.88423957</v>
      </c>
    </row>
    <row r="46" spans="2:49" x14ac:dyDescent="0.25">
      <c r="B46" s="9">
        <v>8.0000000000000002E-3</v>
      </c>
      <c r="C46">
        <v>41</v>
      </c>
      <c r="D46" s="6">
        <f t="shared" ca="1" si="4"/>
        <v>858113.41507391655</v>
      </c>
      <c r="E46" s="17">
        <f t="shared" ca="1" si="2"/>
        <v>4208203.2437467407</v>
      </c>
      <c r="F46" s="17">
        <f t="shared" ca="1" si="5"/>
        <v>5066316.6588206571</v>
      </c>
      <c r="G46" s="17"/>
      <c r="H46" s="19">
        <f t="shared" ca="1" si="18"/>
        <v>103055973.64049283</v>
      </c>
    </row>
    <row r="47" spans="2:49" x14ac:dyDescent="0.25">
      <c r="B47" s="9">
        <v>8.0000000000000002E-3</v>
      </c>
      <c r="C47">
        <v>42</v>
      </c>
      <c r="D47" s="6">
        <f t="shared" ca="1" si="4"/>
        <v>824447.78912394261</v>
      </c>
      <c r="E47" s="17">
        <f t="shared" ca="1" si="2"/>
        <v>4241868.869696714</v>
      </c>
      <c r="F47" s="17">
        <f t="shared" ca="1" si="5"/>
        <v>5066316.6588206571</v>
      </c>
      <c r="G47" s="17"/>
      <c r="H47" s="19">
        <f t="shared" ca="1" si="18"/>
        <v>98814104.77079612</v>
      </c>
    </row>
    <row r="48" spans="2:49" x14ac:dyDescent="0.25">
      <c r="B48" s="9">
        <v>8.0000000000000002E-3</v>
      </c>
      <c r="C48">
        <v>43</v>
      </c>
      <c r="D48" s="6">
        <f t="shared" ca="1" si="4"/>
        <v>790512.83816636901</v>
      </c>
      <c r="E48" s="17">
        <f t="shared" ca="1" si="2"/>
        <v>4275803.8206542879</v>
      </c>
      <c r="F48" s="17">
        <f t="shared" ca="1" si="5"/>
        <v>5066316.6588206571</v>
      </c>
      <c r="G48" s="17"/>
      <c r="H48" s="19">
        <f t="shared" ca="1" si="18"/>
        <v>94538300.950141832</v>
      </c>
    </row>
    <row r="49" spans="2:8" x14ac:dyDescent="0.25">
      <c r="B49" s="9">
        <v>8.0000000000000002E-3</v>
      </c>
      <c r="C49">
        <v>44</v>
      </c>
      <c r="D49" s="6">
        <f t="shared" ca="1" si="4"/>
        <v>756306.40760113462</v>
      </c>
      <c r="E49" s="17">
        <f t="shared" ca="1" si="2"/>
        <v>4310010.2512195222</v>
      </c>
      <c r="F49" s="17">
        <f t="shared" ca="1" si="5"/>
        <v>5066316.6588206571</v>
      </c>
      <c r="G49" s="17"/>
      <c r="H49" s="19">
        <f t="shared" ca="1" si="18"/>
        <v>90228290.698922306</v>
      </c>
    </row>
    <row r="50" spans="2:8" x14ac:dyDescent="0.25">
      <c r="B50" s="9">
        <v>8.0000000000000002E-3</v>
      </c>
      <c r="C50">
        <v>45</v>
      </c>
      <c r="D50" s="6">
        <f t="shared" ca="1" si="4"/>
        <v>721826.3255913785</v>
      </c>
      <c r="E50" s="17">
        <f t="shared" ca="1" si="2"/>
        <v>4344490.3332292782</v>
      </c>
      <c r="F50" s="17">
        <f t="shared" ca="1" si="5"/>
        <v>5066316.6588206571</v>
      </c>
      <c r="G50" s="17"/>
      <c r="H50" s="19">
        <f t="shared" ca="1" si="18"/>
        <v>85883800.365693033</v>
      </c>
    </row>
    <row r="51" spans="2:8" x14ac:dyDescent="0.25">
      <c r="B51" s="9">
        <v>8.0000000000000002E-3</v>
      </c>
      <c r="C51">
        <v>46</v>
      </c>
      <c r="D51" s="6">
        <f t="shared" ca="1" si="4"/>
        <v>687070.4029255443</v>
      </c>
      <c r="E51" s="17">
        <f t="shared" ca="1" si="2"/>
        <v>4379246.2558951126</v>
      </c>
      <c r="F51" s="17">
        <f t="shared" ca="1" si="5"/>
        <v>5066316.6588206571</v>
      </c>
      <c r="G51" s="17"/>
      <c r="H51" s="19">
        <f t="shared" ca="1" si="18"/>
        <v>81504554.109797925</v>
      </c>
    </row>
    <row r="52" spans="2:8" x14ac:dyDescent="0.25">
      <c r="B52" s="9">
        <v>8.0000000000000002E-3</v>
      </c>
      <c r="C52">
        <v>47</v>
      </c>
      <c r="D52" s="6">
        <f t="shared" ca="1" si="4"/>
        <v>652036.43287838344</v>
      </c>
      <c r="E52" s="17">
        <f t="shared" ca="1" si="2"/>
        <v>4414280.2259422736</v>
      </c>
      <c r="F52" s="17">
        <f t="shared" ca="1" si="5"/>
        <v>5066316.6588206571</v>
      </c>
      <c r="G52" s="17">
        <f ca="1">+F52*2</f>
        <v>10132633.317641314</v>
      </c>
      <c r="H52" s="19">
        <f t="shared" ca="1" si="18"/>
        <v>66957640.566214338</v>
      </c>
    </row>
    <row r="53" spans="2:8" x14ac:dyDescent="0.25">
      <c r="B53" s="9">
        <v>8.0000000000000002E-3</v>
      </c>
      <c r="C53">
        <v>48</v>
      </c>
      <c r="D53" s="6">
        <f t="shared" ca="1" si="4"/>
        <v>535661.1245297147</v>
      </c>
      <c r="E53" s="17">
        <f t="shared" ca="1" si="2"/>
        <v>4530655.5342909424</v>
      </c>
      <c r="F53" s="17">
        <f t="shared" ca="1" si="5"/>
        <v>5066316.6588206571</v>
      </c>
      <c r="G53" s="17"/>
      <c r="H53" s="19">
        <f t="shared" ca="1" si="18"/>
        <v>62426985.031923398</v>
      </c>
    </row>
    <row r="54" spans="2:8" x14ac:dyDescent="0.25">
      <c r="B54" s="9">
        <v>8.0000000000000002E-3</v>
      </c>
      <c r="C54">
        <v>49</v>
      </c>
      <c r="D54" s="6">
        <f t="shared" ca="1" si="4"/>
        <v>499415.88025538722</v>
      </c>
      <c r="E54" s="17">
        <f t="shared" ca="1" si="2"/>
        <v>4566900.7785652699</v>
      </c>
      <c r="F54" s="17">
        <f t="shared" ca="1" si="5"/>
        <v>5066316.6588206571</v>
      </c>
      <c r="G54" s="17"/>
      <c r="H54" s="19">
        <f t="shared" ca="1" si="18"/>
        <v>57860084.253358126</v>
      </c>
    </row>
    <row r="55" spans="2:8" x14ac:dyDescent="0.25">
      <c r="B55" s="9">
        <v>8.0000000000000002E-3</v>
      </c>
      <c r="C55">
        <v>50</v>
      </c>
      <c r="D55" s="6">
        <f t="shared" ca="1" si="4"/>
        <v>462880.67402686499</v>
      </c>
      <c r="E55" s="17">
        <f t="shared" ca="1" si="2"/>
        <v>4603435.9847937925</v>
      </c>
      <c r="F55" s="17">
        <f t="shared" ca="1" si="5"/>
        <v>5066316.6588206571</v>
      </c>
      <c r="G55" s="17"/>
      <c r="H55" s="19">
        <f t="shared" ca="1" si="18"/>
        <v>53256648.268564336</v>
      </c>
    </row>
    <row r="56" spans="2:8" x14ac:dyDescent="0.25">
      <c r="B56" s="9">
        <v>8.0000000000000002E-3</v>
      </c>
      <c r="C56">
        <v>51</v>
      </c>
      <c r="D56" s="6">
        <f t="shared" ca="1" si="4"/>
        <v>426053.18614851468</v>
      </c>
      <c r="E56" s="17">
        <f t="shared" ca="1" si="2"/>
        <v>4640263.4726721421</v>
      </c>
      <c r="F56" s="17">
        <f t="shared" ca="1" si="5"/>
        <v>5066316.6588206571</v>
      </c>
      <c r="G56" s="17"/>
      <c r="H56" s="19">
        <f t="shared" ca="1" si="18"/>
        <v>48616384.795892194</v>
      </c>
    </row>
    <row r="57" spans="2:8" x14ac:dyDescent="0.25">
      <c r="B57" s="9">
        <v>8.0000000000000002E-3</v>
      </c>
      <c r="C57">
        <v>52</v>
      </c>
      <c r="D57" s="6">
        <f t="shared" ca="1" si="4"/>
        <v>388931.07836713758</v>
      </c>
      <c r="E57" s="17">
        <f t="shared" ca="1" si="2"/>
        <v>4677385.5804535197</v>
      </c>
      <c r="F57" s="17">
        <f t="shared" ca="1" si="5"/>
        <v>5066316.6588206571</v>
      </c>
      <c r="G57" s="17"/>
      <c r="H57" s="19">
        <f t="shared" ca="1" si="18"/>
        <v>43938999.215438671</v>
      </c>
    </row>
    <row r="58" spans="2:8" x14ac:dyDescent="0.25">
      <c r="B58" s="9">
        <v>8.0000000000000002E-3</v>
      </c>
      <c r="C58">
        <v>53</v>
      </c>
      <c r="D58" s="6">
        <f t="shared" ca="1" si="4"/>
        <v>351511.99372350937</v>
      </c>
      <c r="E58" s="17">
        <f t="shared" ca="1" si="2"/>
        <v>4714804.6650971472</v>
      </c>
      <c r="F58" s="17">
        <f t="shared" ca="1" si="5"/>
        <v>5066316.6588206571</v>
      </c>
      <c r="G58" s="17"/>
      <c r="H58" s="19">
        <f t="shared" ca="1" si="18"/>
        <v>39224194.550341524</v>
      </c>
    </row>
    <row r="59" spans="2:8" x14ac:dyDescent="0.25">
      <c r="B59" s="9">
        <v>8.0000000000000002E-3</v>
      </c>
      <c r="C59">
        <v>54</v>
      </c>
      <c r="D59" s="6">
        <f t="shared" ca="1" si="4"/>
        <v>313793.55640273221</v>
      </c>
      <c r="E59" s="17">
        <f t="shared" ca="1" si="2"/>
        <v>4752523.1024179244</v>
      </c>
      <c r="F59" s="17">
        <f t="shared" ca="1" si="5"/>
        <v>5066316.6588206571</v>
      </c>
      <c r="G59" s="17"/>
      <c r="H59" s="19">
        <f t="shared" ca="1" si="18"/>
        <v>34471671.447923601</v>
      </c>
    </row>
    <row r="60" spans="2:8" x14ac:dyDescent="0.25">
      <c r="B60" s="9">
        <v>8.0000000000000002E-3</v>
      </c>
      <c r="C60">
        <v>55</v>
      </c>
      <c r="D60" s="6">
        <f t="shared" ca="1" si="4"/>
        <v>275773.37158338883</v>
      </c>
      <c r="E60" s="17">
        <f t="shared" ca="1" si="2"/>
        <v>4790543.2872372679</v>
      </c>
      <c r="F60" s="17">
        <f t="shared" ca="1" si="5"/>
        <v>5066316.6588206571</v>
      </c>
      <c r="G60" s="17"/>
      <c r="H60" s="19">
        <f t="shared" ca="1" si="18"/>
        <v>29681128.160686333</v>
      </c>
    </row>
    <row r="61" spans="2:8" x14ac:dyDescent="0.25">
      <c r="B61" s="9">
        <v>8.0000000000000002E-3</v>
      </c>
      <c r="C61">
        <v>56</v>
      </c>
      <c r="D61" s="6">
        <f t="shared" ca="1" si="4"/>
        <v>237449.02528549067</v>
      </c>
      <c r="E61" s="17">
        <f t="shared" ca="1" si="2"/>
        <v>4828867.6335351663</v>
      </c>
      <c r="F61" s="17">
        <f t="shared" ca="1" si="5"/>
        <v>5066316.6588206571</v>
      </c>
      <c r="G61" s="17"/>
      <c r="H61" s="19">
        <f t="shared" ca="1" si="18"/>
        <v>24852260.527151167</v>
      </c>
    </row>
    <row r="62" spans="2:8" x14ac:dyDescent="0.25">
      <c r="B62" s="9">
        <v>8.0000000000000002E-3</v>
      </c>
      <c r="C62">
        <v>57</v>
      </c>
      <c r="D62" s="6">
        <f t="shared" ca="1" si="4"/>
        <v>198818.08421720934</v>
      </c>
      <c r="E62" s="17">
        <f t="shared" ca="1" si="2"/>
        <v>4867498.5746034477</v>
      </c>
      <c r="F62" s="17">
        <f t="shared" ca="1" si="5"/>
        <v>5066316.6588206571</v>
      </c>
      <c r="G62" s="17"/>
      <c r="H62" s="19">
        <f t="shared" ca="1" si="18"/>
        <v>19984761.952547722</v>
      </c>
    </row>
    <row r="63" spans="2:8" x14ac:dyDescent="0.25">
      <c r="B63" s="9">
        <v>8.0000000000000002E-3</v>
      </c>
      <c r="C63">
        <v>58</v>
      </c>
      <c r="D63" s="6">
        <f t="shared" ca="1" si="4"/>
        <v>159878.09562038176</v>
      </c>
      <c r="E63" s="17">
        <f t="shared" ca="1" si="2"/>
        <v>4906438.5632002754</v>
      </c>
      <c r="F63" s="17">
        <f t="shared" ca="1" si="5"/>
        <v>5066316.6588206571</v>
      </c>
      <c r="G63" s="17"/>
      <c r="H63" s="19">
        <f t="shared" ca="1" si="18"/>
        <v>15078323.389347445</v>
      </c>
    </row>
    <row r="64" spans="2:8" x14ac:dyDescent="0.25">
      <c r="B64" s="9">
        <v>8.0000000000000002E-3</v>
      </c>
      <c r="C64">
        <v>59</v>
      </c>
      <c r="D64" s="6">
        <f t="shared" ca="1" si="4"/>
        <v>120626.58711477957</v>
      </c>
      <c r="E64" s="17">
        <f t="shared" ca="1" si="2"/>
        <v>4945690.0717058778</v>
      </c>
      <c r="F64" s="17">
        <f t="shared" ca="1" si="5"/>
        <v>5066316.6588206571</v>
      </c>
      <c r="G64" s="17">
        <f ca="1">+F64*2</f>
        <v>10132633.317641314</v>
      </c>
      <c r="H64" s="19">
        <f t="shared" ca="1" si="18"/>
        <v>2.5331974029541016E-7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8898-D0EF-4F17-9717-A44530E1E98D}">
  <dimension ref="A1:W130"/>
  <sheetViews>
    <sheetView workbookViewId="0">
      <selection activeCell="H26" sqref="H26"/>
    </sheetView>
  </sheetViews>
  <sheetFormatPr baseColWidth="10" defaultColWidth="11.42578125" defaultRowHeight="15" x14ac:dyDescent="0.25"/>
  <cols>
    <col min="1" max="1" width="2.5703125" bestFit="1" customWidth="1"/>
    <col min="2" max="2" width="9.140625" bestFit="1" customWidth="1"/>
    <col min="3" max="3" width="6" bestFit="1" customWidth="1"/>
    <col min="4" max="4" width="15.5703125" customWidth="1"/>
    <col min="6" max="6" width="2.5703125" bestFit="1" customWidth="1"/>
    <col min="7" max="7" width="9.140625" bestFit="1" customWidth="1"/>
    <col min="8" max="8" width="14.140625" bestFit="1" customWidth="1"/>
    <col min="9" max="9" width="12" bestFit="1" customWidth="1"/>
    <col min="10" max="10" width="26.140625" bestFit="1" customWidth="1"/>
    <col min="11" max="11" width="13.140625" bestFit="1" customWidth="1"/>
    <col min="12" max="12" width="13.28515625" bestFit="1" customWidth="1"/>
    <col min="13" max="13" width="14.140625" bestFit="1" customWidth="1"/>
    <col min="15" max="15" width="2.5703125" bestFit="1" customWidth="1"/>
    <col min="16" max="16" width="15.28515625" bestFit="1" customWidth="1"/>
    <col min="17" max="17" width="12" bestFit="1" customWidth="1"/>
    <col min="18" max="18" width="19.7109375" bestFit="1" customWidth="1"/>
    <col min="19" max="19" width="10.42578125" bestFit="1" customWidth="1"/>
    <col min="20" max="20" width="12.7109375" bestFit="1" customWidth="1"/>
    <col min="21" max="22" width="12" bestFit="1" customWidth="1"/>
    <col min="23" max="23" width="11.5703125" bestFit="1" customWidth="1"/>
  </cols>
  <sheetData>
    <row r="1" spans="1:23" x14ac:dyDescent="0.25">
      <c r="A1" s="8" t="s">
        <v>15</v>
      </c>
      <c r="F1" s="8" t="s">
        <v>16</v>
      </c>
      <c r="O1" s="8" t="s">
        <v>22</v>
      </c>
    </row>
    <row r="2" spans="1:23" x14ac:dyDescent="0.25">
      <c r="B2" s="7" t="s">
        <v>31</v>
      </c>
      <c r="C2" t="s">
        <v>30</v>
      </c>
      <c r="D2" s="9">
        <v>0.18240000000000001</v>
      </c>
      <c r="G2" t="s">
        <v>0</v>
      </c>
      <c r="H2" s="2">
        <v>300000000</v>
      </c>
      <c r="P2" s="31" t="s">
        <v>51</v>
      </c>
      <c r="Q2" s="31"/>
      <c r="R2" s="31" t="s">
        <v>52</v>
      </c>
      <c r="S2" s="31"/>
    </row>
    <row r="3" spans="1:23" x14ac:dyDescent="0.25">
      <c r="C3" t="s">
        <v>36</v>
      </c>
      <c r="D3" s="4">
        <f>D2/2</f>
        <v>9.1200000000000003E-2</v>
      </c>
      <c r="G3" t="s">
        <v>42</v>
      </c>
      <c r="H3" s="3">
        <v>0.15</v>
      </c>
      <c r="P3" t="s">
        <v>53</v>
      </c>
      <c r="R3" t="s">
        <v>47</v>
      </c>
    </row>
    <row r="4" spans="1:23" x14ac:dyDescent="0.25">
      <c r="C4" t="s">
        <v>39</v>
      </c>
      <c r="D4" s="4">
        <f>D3/(1-D3)</f>
        <v>0.10035211267605633</v>
      </c>
      <c r="G4" t="s">
        <v>43</v>
      </c>
      <c r="H4" s="4">
        <f>H3/12</f>
        <v>1.2499999999999999E-2</v>
      </c>
      <c r="I4" s="9">
        <f>H4/(1-H4)</f>
        <v>1.2658227848101264E-2</v>
      </c>
      <c r="P4" t="s">
        <v>54</v>
      </c>
      <c r="Q4" s="9">
        <v>4.1000000000000002E-2</v>
      </c>
      <c r="R4" t="s">
        <v>49</v>
      </c>
      <c r="S4" s="3">
        <v>0.02</v>
      </c>
    </row>
    <row r="5" spans="1:23" x14ac:dyDescent="0.25">
      <c r="C5" t="s">
        <v>3</v>
      </c>
      <c r="D5" s="13">
        <f>EFFECT(D4*2,2)</f>
        <v>0.21077477187066052</v>
      </c>
      <c r="G5" t="s">
        <v>25</v>
      </c>
      <c r="H5" t="s">
        <v>44</v>
      </c>
      <c r="P5" t="s">
        <v>55</v>
      </c>
      <c r="Q5" s="3">
        <v>0.1</v>
      </c>
      <c r="R5" t="s">
        <v>48</v>
      </c>
      <c r="S5" s="9">
        <v>0.116601</v>
      </c>
    </row>
    <row r="6" spans="1:23" x14ac:dyDescent="0.25">
      <c r="G6" t="s">
        <v>1</v>
      </c>
      <c r="H6">
        <v>120</v>
      </c>
      <c r="J6" t="s">
        <v>46</v>
      </c>
      <c r="L6" s="9">
        <v>0.1285</v>
      </c>
      <c r="M6" s="4">
        <f>NOMINAL(L6,12)/12</f>
        <v>1.0125024446520081E-2</v>
      </c>
      <c r="P6" t="s">
        <v>61</v>
      </c>
      <c r="Q6" s="4">
        <f>NOMINAL(Q4,4)/4</f>
        <v>1.0096072289550451E-2</v>
      </c>
      <c r="R6" t="s">
        <v>50</v>
      </c>
      <c r="S6" s="9">
        <f>(1+S4)*(1+S5)-1</f>
        <v>0.13893302000000007</v>
      </c>
    </row>
    <row r="7" spans="1:23" x14ac:dyDescent="0.25">
      <c r="G7" t="s">
        <v>11</v>
      </c>
      <c r="H7" s="6">
        <f>PMT(I4,H6,-H2,,1)</f>
        <v>4814053.3856471265</v>
      </c>
      <c r="J7" t="s">
        <v>45</v>
      </c>
      <c r="L7" s="6">
        <f>PMT(M6,(G129-G91),-M91,,1)</f>
        <v>4238942.1717355885</v>
      </c>
      <c r="P7" t="s">
        <v>62</v>
      </c>
      <c r="Q7" s="4">
        <f>Q6/(1+Q6)</f>
        <v>9.9951604273304691E-3</v>
      </c>
      <c r="R7" t="s">
        <v>56</v>
      </c>
      <c r="S7" s="13">
        <f>NOMINAL(S6,12)/12</f>
        <v>1.0899966188028909E-2</v>
      </c>
    </row>
    <row r="8" spans="1:23" x14ac:dyDescent="0.25">
      <c r="B8" s="7" t="s">
        <v>32</v>
      </c>
      <c r="C8" t="s">
        <v>33</v>
      </c>
      <c r="D8" s="9">
        <v>0.19259999999999999</v>
      </c>
      <c r="P8" t="s">
        <v>63</v>
      </c>
      <c r="Q8" s="4">
        <f>Q7*4</f>
        <v>3.9980641709321876E-2</v>
      </c>
    </row>
    <row r="9" spans="1:23" x14ac:dyDescent="0.25">
      <c r="C9" t="s">
        <v>37</v>
      </c>
      <c r="D9" s="9">
        <f>D8/2</f>
        <v>9.6299999999999997E-2</v>
      </c>
      <c r="G9" t="s">
        <v>6</v>
      </c>
      <c r="H9" t="s">
        <v>7</v>
      </c>
      <c r="I9" t="s">
        <v>8</v>
      </c>
      <c r="J9" t="s">
        <v>11</v>
      </c>
      <c r="K9" t="s">
        <v>58</v>
      </c>
      <c r="L9" s="2" t="s">
        <v>9</v>
      </c>
      <c r="M9" s="2" t="s">
        <v>10</v>
      </c>
      <c r="P9" t="s">
        <v>64</v>
      </c>
      <c r="Q9" s="9">
        <f>Q8+Q5</f>
        <v>0.1399806417093219</v>
      </c>
    </row>
    <row r="10" spans="1:23" x14ac:dyDescent="0.25">
      <c r="C10" t="s">
        <v>38</v>
      </c>
      <c r="D10" s="9">
        <f>EFFECT(D9,1)</f>
        <v>9.6300000000000052E-2</v>
      </c>
      <c r="G10" cm="1">
        <f t="array" ref="G10:G129">_xlfn.SEQUENCE(120,,0,1)</f>
        <v>0</v>
      </c>
      <c r="H10" s="2">
        <f>H2</f>
        <v>300000000</v>
      </c>
      <c r="I10" s="2">
        <f>H10*$I$4</f>
        <v>3797468.3544303793</v>
      </c>
      <c r="J10" s="2">
        <f>$H$7</f>
        <v>4814053.3856471265</v>
      </c>
      <c r="K10" s="2"/>
      <c r="L10" s="2">
        <f t="shared" ref="L10:L41" si="0">J10-I10</f>
        <v>1016585.0312167471</v>
      </c>
      <c r="M10" s="2">
        <f>H10-L10-I10</f>
        <v>295185946.61435288</v>
      </c>
      <c r="P10" t="s">
        <v>65</v>
      </c>
      <c r="Q10" s="9">
        <f>Q9/4</f>
        <v>3.4995160427330474E-2</v>
      </c>
    </row>
    <row r="11" spans="1:23" x14ac:dyDescent="0.25">
      <c r="C11" t="s">
        <v>3</v>
      </c>
      <c r="D11" s="14">
        <f>EFFECT(D10*4,4)</f>
        <v>0.44450036671421667</v>
      </c>
      <c r="G11">
        <v>1</v>
      </c>
      <c r="H11" s="2">
        <f>M10</f>
        <v>295185946.61435288</v>
      </c>
      <c r="I11" s="2">
        <f t="shared" ref="I11:I74" si="1">H11*$I$4</f>
        <v>3736530.9698019344</v>
      </c>
      <c r="J11" s="2">
        <f>$H$7</f>
        <v>4814053.3856471265</v>
      </c>
      <c r="K11" s="2"/>
      <c r="L11" s="2">
        <f t="shared" si="0"/>
        <v>1077522.415845192</v>
      </c>
      <c r="M11" s="2">
        <f t="shared" ref="M11:M42" si="2">H11-L11</f>
        <v>294108424.19850767</v>
      </c>
      <c r="P11" t="s">
        <v>66</v>
      </c>
      <c r="Q11" s="9">
        <f>Q10/(1-Q10)</f>
        <v>3.6264233081802245E-2</v>
      </c>
    </row>
    <row r="12" spans="1:23" x14ac:dyDescent="0.25">
      <c r="B12" s="31" t="s">
        <v>40</v>
      </c>
      <c r="C12" s="31"/>
      <c r="D12" s="31"/>
      <c r="G12">
        <v>2</v>
      </c>
      <c r="H12" s="2">
        <f t="shared" ref="H12:H75" si="3">M11</f>
        <v>294108424.19850767</v>
      </c>
      <c r="I12" s="2">
        <f t="shared" si="1"/>
        <v>3722891.4455507295</v>
      </c>
      <c r="J12" s="2">
        <f t="shared" ref="J12:J75" si="4">$H$7</f>
        <v>4814053.3856471265</v>
      </c>
      <c r="K12" s="2"/>
      <c r="L12" s="2">
        <f t="shared" si="0"/>
        <v>1091161.940096397</v>
      </c>
      <c r="M12" s="2">
        <f t="shared" si="2"/>
        <v>293017262.25841129</v>
      </c>
      <c r="P12" t="s">
        <v>50</v>
      </c>
      <c r="Q12" s="15">
        <f>EFFECT(Q11*4,4)</f>
        <v>0.15313999299562853</v>
      </c>
    </row>
    <row r="13" spans="1:23" x14ac:dyDescent="0.25">
      <c r="B13" s="31" t="s">
        <v>41</v>
      </c>
      <c r="C13" s="31"/>
      <c r="D13" s="31"/>
      <c r="G13">
        <v>3</v>
      </c>
      <c r="H13" s="2">
        <f t="shared" si="3"/>
        <v>293017262.25841129</v>
      </c>
      <c r="I13" s="2">
        <f t="shared" si="1"/>
        <v>3709079.2690938134</v>
      </c>
      <c r="J13" s="2">
        <f t="shared" si="4"/>
        <v>4814053.3856471265</v>
      </c>
      <c r="K13" s="2"/>
      <c r="L13" s="2">
        <f t="shared" si="0"/>
        <v>1104974.1165533131</v>
      </c>
      <c r="M13" s="2">
        <f t="shared" si="2"/>
        <v>291912288.14185798</v>
      </c>
      <c r="P13" t="s">
        <v>56</v>
      </c>
      <c r="Q13" s="13">
        <f>NOMINAL(Q12,12)/12</f>
        <v>1.1944830623238589E-2</v>
      </c>
    </row>
    <row r="14" spans="1:23" x14ac:dyDescent="0.25">
      <c r="G14">
        <v>4</v>
      </c>
      <c r="H14" s="2">
        <f t="shared" si="3"/>
        <v>291912288.14185798</v>
      </c>
      <c r="I14" s="2">
        <f t="shared" si="1"/>
        <v>3695092.2549602268</v>
      </c>
      <c r="J14" s="2">
        <f t="shared" si="4"/>
        <v>4814053.3856471265</v>
      </c>
      <c r="K14" s="2"/>
      <c r="L14" s="2">
        <f t="shared" si="0"/>
        <v>1118961.1306868996</v>
      </c>
      <c r="M14" s="2">
        <f t="shared" si="2"/>
        <v>290793327.0111711</v>
      </c>
    </row>
    <row r="15" spans="1:23" x14ac:dyDescent="0.25">
      <c r="B15" s="7" t="s">
        <v>34</v>
      </c>
      <c r="C15" t="s">
        <v>35</v>
      </c>
      <c r="D15" s="9">
        <v>1.7999999999999999E-2</v>
      </c>
      <c r="G15">
        <v>5</v>
      </c>
      <c r="H15" s="2">
        <f t="shared" si="3"/>
        <v>290793327.0111711</v>
      </c>
      <c r="I15" s="2">
        <f t="shared" si="1"/>
        <v>3680928.1900148233</v>
      </c>
      <c r="J15" s="2">
        <f t="shared" si="4"/>
        <v>4814053.3856471265</v>
      </c>
      <c r="K15" s="2"/>
      <c r="L15" s="2">
        <f t="shared" si="0"/>
        <v>1133125.1956323031</v>
      </c>
      <c r="M15" s="2">
        <f t="shared" si="2"/>
        <v>289660201.81553882</v>
      </c>
      <c r="P15" s="7" t="s">
        <v>57</v>
      </c>
      <c r="Q15" t="s">
        <v>0</v>
      </c>
      <c r="R15">
        <v>5000000</v>
      </c>
      <c r="T15" t="s">
        <v>29</v>
      </c>
      <c r="U15">
        <f>T34</f>
        <v>1000000</v>
      </c>
      <c r="V15" t="s">
        <v>0</v>
      </c>
      <c r="W15" s="6">
        <f>PV(R16,P34,,-U15)</f>
        <v>867197.39673775202</v>
      </c>
    </row>
    <row r="16" spans="1:23" x14ac:dyDescent="0.25">
      <c r="C16" t="s">
        <v>3</v>
      </c>
      <c r="D16" s="14">
        <f>EFFECT(D15*12,12)</f>
        <v>0.23872053157552808</v>
      </c>
      <c r="G16">
        <v>6</v>
      </c>
      <c r="H16" s="2">
        <f t="shared" si="3"/>
        <v>289660201.81553882</v>
      </c>
      <c r="I16" s="2">
        <f t="shared" si="1"/>
        <v>3666584.8331080857</v>
      </c>
      <c r="J16" s="2">
        <f t="shared" si="4"/>
        <v>4814053.3856471265</v>
      </c>
      <c r="K16" s="2"/>
      <c r="L16" s="2">
        <f t="shared" si="0"/>
        <v>1147468.5525390408</v>
      </c>
      <c r="M16" s="2">
        <f t="shared" si="2"/>
        <v>288512733.26299977</v>
      </c>
      <c r="Q16" t="s">
        <v>21</v>
      </c>
      <c r="R16" s="9">
        <f>Q13</f>
        <v>1.1944830623238589E-2</v>
      </c>
      <c r="V16" s="2"/>
    </row>
    <row r="17" spans="7:22" x14ac:dyDescent="0.25">
      <c r="G17">
        <v>7</v>
      </c>
      <c r="H17" s="2">
        <f t="shared" si="3"/>
        <v>288512733.26299977</v>
      </c>
      <c r="I17" s="2">
        <f t="shared" si="1"/>
        <v>3652059.9147215155</v>
      </c>
      <c r="J17" s="2">
        <f t="shared" si="4"/>
        <v>4814053.3856471265</v>
      </c>
      <c r="K17" s="2"/>
      <c r="L17" s="2">
        <f t="shared" si="0"/>
        <v>1161993.470925611</v>
      </c>
      <c r="M17" s="2">
        <f t="shared" si="2"/>
        <v>287350739.79207414</v>
      </c>
      <c r="Q17" t="s">
        <v>1</v>
      </c>
      <c r="R17">
        <v>24</v>
      </c>
    </row>
    <row r="18" spans="7:22" x14ac:dyDescent="0.25">
      <c r="G18">
        <v>8</v>
      </c>
      <c r="H18" s="2">
        <f t="shared" si="3"/>
        <v>287350739.79207414</v>
      </c>
      <c r="I18" s="2">
        <f t="shared" si="1"/>
        <v>3637351.1366085331</v>
      </c>
      <c r="J18" s="2">
        <f t="shared" si="4"/>
        <v>4814053.3856471265</v>
      </c>
      <c r="K18" s="2"/>
      <c r="L18" s="2">
        <f t="shared" si="0"/>
        <v>1176702.2490385934</v>
      </c>
      <c r="M18" s="2">
        <f t="shared" si="2"/>
        <v>286174037.54303557</v>
      </c>
      <c r="Q18" t="s">
        <v>59</v>
      </c>
      <c r="R18">
        <f>R15*0.2</f>
        <v>1000000</v>
      </c>
    </row>
    <row r="19" spans="7:22" x14ac:dyDescent="0.25">
      <c r="G19">
        <v>9</v>
      </c>
      <c r="H19" s="2">
        <f t="shared" si="3"/>
        <v>286174037.54303557</v>
      </c>
      <c r="I19" s="2">
        <f t="shared" si="1"/>
        <v>3622456.1714308294</v>
      </c>
      <c r="J19" s="2">
        <f t="shared" si="4"/>
        <v>4814053.3856471265</v>
      </c>
      <c r="K19" s="2"/>
      <c r="L19" s="2">
        <f t="shared" si="0"/>
        <v>1191597.214216297</v>
      </c>
      <c r="M19" s="2">
        <f t="shared" si="2"/>
        <v>284982440.32881927</v>
      </c>
      <c r="Q19" t="s">
        <v>11</v>
      </c>
      <c r="R19" s="6">
        <f>PMT(R16,R17,-(V22-W15))</f>
        <v>150909.36973484905</v>
      </c>
    </row>
    <row r="20" spans="7:22" x14ac:dyDescent="0.25">
      <c r="G20">
        <v>10</v>
      </c>
      <c r="H20" s="2">
        <f t="shared" si="3"/>
        <v>284982440.32881927</v>
      </c>
      <c r="I20" s="2">
        <f t="shared" si="1"/>
        <v>3607372.6623901171</v>
      </c>
      <c r="J20" s="2">
        <f t="shared" si="4"/>
        <v>4814053.3856471265</v>
      </c>
      <c r="K20" s="2"/>
      <c r="L20" s="2">
        <f t="shared" si="0"/>
        <v>1206680.7232570094</v>
      </c>
      <c r="M20" s="2">
        <f t="shared" si="2"/>
        <v>283775759.60556227</v>
      </c>
    </row>
    <row r="21" spans="7:22" x14ac:dyDescent="0.25">
      <c r="G21">
        <v>11</v>
      </c>
      <c r="H21" s="2">
        <f t="shared" si="3"/>
        <v>283775759.60556227</v>
      </c>
      <c r="I21" s="2">
        <f t="shared" si="1"/>
        <v>3592098.2228552182</v>
      </c>
      <c r="J21" s="2">
        <f t="shared" si="4"/>
        <v>4814053.3856471265</v>
      </c>
      <c r="K21" s="2"/>
      <c r="L21" s="2">
        <f t="shared" si="0"/>
        <v>1221955.1627919083</v>
      </c>
      <c r="M21" s="2">
        <f t="shared" si="2"/>
        <v>282553804.44277036</v>
      </c>
      <c r="P21" t="s">
        <v>6</v>
      </c>
      <c r="Q21" t="s">
        <v>7</v>
      </c>
      <c r="R21" t="s">
        <v>8</v>
      </c>
      <c r="S21" t="s">
        <v>11</v>
      </c>
      <c r="T21" t="s">
        <v>58</v>
      </c>
      <c r="U21" s="2" t="s">
        <v>9</v>
      </c>
      <c r="V21" s="2" t="s">
        <v>10</v>
      </c>
    </row>
    <row r="22" spans="7:22" x14ac:dyDescent="0.25">
      <c r="G22">
        <v>12</v>
      </c>
      <c r="H22" s="2">
        <f t="shared" si="3"/>
        <v>282553804.44277036</v>
      </c>
      <c r="I22" s="2">
        <f t="shared" si="1"/>
        <v>3576630.4359844346</v>
      </c>
      <c r="J22" s="2">
        <f t="shared" si="4"/>
        <v>4814053.3856471265</v>
      </c>
      <c r="K22" s="2"/>
      <c r="L22" s="2">
        <f t="shared" si="0"/>
        <v>1237422.9496626919</v>
      </c>
      <c r="M22" s="2">
        <f t="shared" si="2"/>
        <v>281316381.49310768</v>
      </c>
      <c r="P22" cm="1">
        <f t="array" ref="P22:P46">_xlfn.SEQUENCE(25,,0,1)</f>
        <v>0</v>
      </c>
      <c r="Q22" s="2">
        <f>R15</f>
        <v>5000000</v>
      </c>
      <c r="R22" s="2"/>
      <c r="S22" s="2"/>
      <c r="T22" s="2">
        <f>R18</f>
        <v>1000000</v>
      </c>
      <c r="U22" s="2">
        <f>S22-R22+T22</f>
        <v>1000000</v>
      </c>
      <c r="V22" s="2">
        <f t="shared" ref="V22:V46" si="5">Q22-U22</f>
        <v>4000000</v>
      </c>
    </row>
    <row r="23" spans="7:22" x14ac:dyDescent="0.25">
      <c r="G23">
        <v>13</v>
      </c>
      <c r="H23" s="2">
        <f t="shared" si="3"/>
        <v>281316381.49310768</v>
      </c>
      <c r="I23" s="2">
        <f t="shared" si="1"/>
        <v>3560966.8543431344</v>
      </c>
      <c r="J23" s="2">
        <f t="shared" si="4"/>
        <v>4814053.3856471265</v>
      </c>
      <c r="K23" s="2"/>
      <c r="L23" s="2">
        <f t="shared" si="0"/>
        <v>1253086.531303992</v>
      </c>
      <c r="M23" s="2">
        <f t="shared" si="2"/>
        <v>280063294.96180367</v>
      </c>
      <c r="P23">
        <v>1</v>
      </c>
      <c r="Q23" s="2">
        <f>V22</f>
        <v>4000000</v>
      </c>
      <c r="R23" s="2">
        <f t="shared" ref="R23:R46" si="6">Q23*$R$16</f>
        <v>47779.322492954358</v>
      </c>
      <c r="S23" s="2">
        <f t="shared" ref="S23:S46" si="7">$R$19</f>
        <v>150909.36973484905</v>
      </c>
      <c r="T23" s="2"/>
      <c r="U23" s="2">
        <f>S23-R23+T23</f>
        <v>103130.0472418947</v>
      </c>
      <c r="V23" s="2">
        <f t="shared" si="5"/>
        <v>3896869.9527581055</v>
      </c>
    </row>
    <row r="24" spans="7:22" x14ac:dyDescent="0.25">
      <c r="G24">
        <v>14</v>
      </c>
      <c r="H24" s="2">
        <f t="shared" si="3"/>
        <v>280063294.96180367</v>
      </c>
      <c r="I24" s="2">
        <f t="shared" si="1"/>
        <v>3545104.9995165016</v>
      </c>
      <c r="J24" s="2">
        <f t="shared" si="4"/>
        <v>4814053.3856471265</v>
      </c>
      <c r="K24" s="2"/>
      <c r="L24" s="2">
        <f t="shared" si="0"/>
        <v>1268948.3861306249</v>
      </c>
      <c r="M24" s="2">
        <f t="shared" si="2"/>
        <v>278794346.57567304</v>
      </c>
      <c r="P24">
        <v>2</v>
      </c>
      <c r="Q24" s="2">
        <f t="shared" ref="Q24:Q46" si="8">V23</f>
        <v>3896869.9527581055</v>
      </c>
      <c r="R24" s="2">
        <f t="shared" si="6"/>
        <v>46547.451546483331</v>
      </c>
      <c r="S24" s="2">
        <f t="shared" si="7"/>
        <v>150909.36973484905</v>
      </c>
      <c r="T24" s="2"/>
      <c r="U24" s="2">
        <f t="shared" ref="U24:U46" si="9">S24-R24+T24</f>
        <v>104361.91818836573</v>
      </c>
      <c r="V24" s="2">
        <f t="shared" si="5"/>
        <v>3792508.0345697398</v>
      </c>
    </row>
    <row r="25" spans="7:22" x14ac:dyDescent="0.25">
      <c r="G25">
        <v>15</v>
      </c>
      <c r="H25" s="2">
        <f t="shared" si="3"/>
        <v>278794346.57567304</v>
      </c>
      <c r="I25" s="2">
        <f t="shared" si="1"/>
        <v>3529042.3617173797</v>
      </c>
      <c r="J25" s="2">
        <f t="shared" si="4"/>
        <v>4814053.3856471265</v>
      </c>
      <c r="K25" s="2"/>
      <c r="L25" s="2">
        <f t="shared" si="0"/>
        <v>1285011.0239297468</v>
      </c>
      <c r="M25" s="2">
        <f t="shared" si="2"/>
        <v>277509335.55174327</v>
      </c>
      <c r="P25">
        <v>3</v>
      </c>
      <c r="Q25" s="2">
        <f t="shared" si="8"/>
        <v>3792508.0345697398</v>
      </c>
      <c r="R25" s="2">
        <f t="shared" si="6"/>
        <v>45300.866110207025</v>
      </c>
      <c r="S25" s="2">
        <f t="shared" si="7"/>
        <v>150909.36973484905</v>
      </c>
      <c r="T25" s="2"/>
      <c r="U25" s="2">
        <f t="shared" si="9"/>
        <v>105608.50362464203</v>
      </c>
      <c r="V25" s="2">
        <f t="shared" si="5"/>
        <v>3686899.530945098</v>
      </c>
    </row>
    <row r="26" spans="7:22" x14ac:dyDescent="0.25">
      <c r="G26">
        <v>16</v>
      </c>
      <c r="H26" s="2">
        <f t="shared" si="3"/>
        <v>277509335.55174327</v>
      </c>
      <c r="I26" s="2">
        <f t="shared" si="1"/>
        <v>3512776.3993891547</v>
      </c>
      <c r="J26" s="2">
        <f t="shared" si="4"/>
        <v>4814053.3856471265</v>
      </c>
      <c r="K26" s="2"/>
      <c r="L26" s="2">
        <f t="shared" si="0"/>
        <v>1301276.9862579717</v>
      </c>
      <c r="M26" s="2">
        <f t="shared" si="2"/>
        <v>276208058.5654853</v>
      </c>
      <c r="P26">
        <v>4</v>
      </c>
      <c r="Q26" s="2">
        <f t="shared" si="8"/>
        <v>3686899.530945098</v>
      </c>
      <c r="R26" s="2">
        <f t="shared" si="6"/>
        <v>44039.390422036995</v>
      </c>
      <c r="S26" s="2">
        <f t="shared" si="7"/>
        <v>150909.36973484905</v>
      </c>
      <c r="T26" s="2"/>
      <c r="U26" s="2">
        <f t="shared" si="9"/>
        <v>106869.97931281207</v>
      </c>
      <c r="V26" s="2">
        <f t="shared" si="5"/>
        <v>3580029.551632286</v>
      </c>
    </row>
    <row r="27" spans="7:22" x14ac:dyDescent="0.25">
      <c r="G27">
        <v>17</v>
      </c>
      <c r="H27" s="2">
        <f t="shared" si="3"/>
        <v>276208058.5654853</v>
      </c>
      <c r="I27" s="2">
        <f t="shared" si="1"/>
        <v>3496304.538803611</v>
      </c>
      <c r="J27" s="2">
        <f t="shared" si="4"/>
        <v>4814053.3856471265</v>
      </c>
      <c r="K27" s="2"/>
      <c r="L27" s="2">
        <f t="shared" si="0"/>
        <v>1317748.8468435155</v>
      </c>
      <c r="M27" s="2">
        <f t="shared" si="2"/>
        <v>274890309.71864176</v>
      </c>
      <c r="P27">
        <v>5</v>
      </c>
      <c r="Q27" s="2">
        <f t="shared" si="8"/>
        <v>3580029.551632286</v>
      </c>
      <c r="R27" s="2">
        <f t="shared" si="6"/>
        <v>42762.846620436445</v>
      </c>
      <c r="S27" s="2">
        <f t="shared" si="7"/>
        <v>150909.36973484905</v>
      </c>
      <c r="T27" s="2"/>
      <c r="U27" s="2">
        <f t="shared" si="9"/>
        <v>108146.52311441262</v>
      </c>
      <c r="V27" s="2">
        <f t="shared" si="5"/>
        <v>3471883.0285178735</v>
      </c>
    </row>
    <row r="28" spans="7:22" x14ac:dyDescent="0.25">
      <c r="G28">
        <v>18</v>
      </c>
      <c r="H28" s="2">
        <f t="shared" si="3"/>
        <v>274890309.71864176</v>
      </c>
      <c r="I28" s="2">
        <f t="shared" si="1"/>
        <v>3479624.1736536925</v>
      </c>
      <c r="J28" s="2">
        <f t="shared" si="4"/>
        <v>4814053.3856471265</v>
      </c>
      <c r="K28" s="2"/>
      <c r="L28" s="2">
        <f t="shared" si="0"/>
        <v>1334429.211993434</v>
      </c>
      <c r="M28" s="2">
        <f t="shared" si="2"/>
        <v>273555880.5066483</v>
      </c>
      <c r="P28">
        <v>6</v>
      </c>
      <c r="Q28" s="2">
        <f t="shared" si="8"/>
        <v>3471883.0285178735</v>
      </c>
      <c r="R28" s="2">
        <f t="shared" si="6"/>
        <v>41471.054719342632</v>
      </c>
      <c r="S28" s="2">
        <f t="shared" si="7"/>
        <v>150909.36973484905</v>
      </c>
      <c r="T28" s="2"/>
      <c r="U28" s="2">
        <f t="shared" si="9"/>
        <v>109438.31501550642</v>
      </c>
      <c r="V28" s="2">
        <f t="shared" si="5"/>
        <v>3362444.713502367</v>
      </c>
    </row>
    <row r="29" spans="7:22" x14ac:dyDescent="0.25">
      <c r="G29">
        <v>19</v>
      </c>
      <c r="H29" s="2">
        <f t="shared" si="3"/>
        <v>273555880.5066483</v>
      </c>
      <c r="I29" s="2">
        <f t="shared" si="1"/>
        <v>3462732.6646411172</v>
      </c>
      <c r="J29" s="2">
        <f t="shared" si="4"/>
        <v>4814053.3856471265</v>
      </c>
      <c r="K29" s="2"/>
      <c r="L29" s="2">
        <f t="shared" si="0"/>
        <v>1351320.7210060093</v>
      </c>
      <c r="M29" s="2">
        <f t="shared" si="2"/>
        <v>272204559.78564227</v>
      </c>
      <c r="P29">
        <v>7</v>
      </c>
      <c r="Q29" s="2">
        <f t="shared" si="8"/>
        <v>3362444.713502367</v>
      </c>
      <c r="R29" s="2">
        <f t="shared" si="6"/>
        <v>40163.832582789779</v>
      </c>
      <c r="S29" s="2">
        <f t="shared" si="7"/>
        <v>150909.36973484905</v>
      </c>
      <c r="T29" s="2"/>
      <c r="U29" s="2">
        <f t="shared" si="9"/>
        <v>110745.53715205927</v>
      </c>
      <c r="V29" s="2">
        <f t="shared" si="5"/>
        <v>3251699.1763503077</v>
      </c>
    </row>
    <row r="30" spans="7:22" x14ac:dyDescent="0.25">
      <c r="G30">
        <v>20</v>
      </c>
      <c r="H30" s="2">
        <f t="shared" si="3"/>
        <v>272204559.78564227</v>
      </c>
      <c r="I30" s="2">
        <f t="shared" si="1"/>
        <v>3445627.3390587624</v>
      </c>
      <c r="J30" s="2">
        <f t="shared" si="4"/>
        <v>4814053.3856471265</v>
      </c>
      <c r="K30" s="2"/>
      <c r="L30" s="2">
        <f t="shared" si="0"/>
        <v>1368426.0465883641</v>
      </c>
      <c r="M30" s="2">
        <f t="shared" si="2"/>
        <v>270836133.73905391</v>
      </c>
      <c r="P30">
        <v>8</v>
      </c>
      <c r="Q30" s="2">
        <f t="shared" si="8"/>
        <v>3251699.1763503077</v>
      </c>
      <c r="R30" s="2">
        <f t="shared" si="6"/>
        <v>38840.995899228852</v>
      </c>
      <c r="S30" s="2">
        <f t="shared" si="7"/>
        <v>150909.36973484905</v>
      </c>
      <c r="T30" s="2"/>
      <c r="U30" s="2">
        <f t="shared" si="9"/>
        <v>112068.37383562021</v>
      </c>
      <c r="V30" s="2">
        <f t="shared" si="5"/>
        <v>3139630.8025146876</v>
      </c>
    </row>
    <row r="31" spans="7:22" x14ac:dyDescent="0.25">
      <c r="G31">
        <v>21</v>
      </c>
      <c r="H31" s="2">
        <f t="shared" si="3"/>
        <v>270836133.73905391</v>
      </c>
      <c r="I31" s="2">
        <f t="shared" si="1"/>
        <v>3428305.4903677702</v>
      </c>
      <c r="J31" s="2">
        <f t="shared" si="4"/>
        <v>4814053.3856471265</v>
      </c>
      <c r="K31" s="2"/>
      <c r="L31" s="2">
        <f t="shared" si="0"/>
        <v>1385747.8952793563</v>
      </c>
      <c r="M31" s="2">
        <f t="shared" si="2"/>
        <v>269450385.84377456</v>
      </c>
      <c r="P31">
        <v>9</v>
      </c>
      <c r="Q31" s="2">
        <f t="shared" si="8"/>
        <v>3139630.8025146876</v>
      </c>
      <c r="R31" s="2">
        <f t="shared" si="6"/>
        <v>37502.358155540591</v>
      </c>
      <c r="S31" s="2">
        <f t="shared" si="7"/>
        <v>150909.36973484905</v>
      </c>
      <c r="T31" s="2"/>
      <c r="U31" s="2">
        <f t="shared" si="9"/>
        <v>113407.01157930846</v>
      </c>
      <c r="V31" s="2">
        <f t="shared" si="5"/>
        <v>3026223.790935379</v>
      </c>
    </row>
    <row r="32" spans="7:22" x14ac:dyDescent="0.25">
      <c r="G32">
        <v>22</v>
      </c>
      <c r="H32" s="2">
        <f t="shared" si="3"/>
        <v>269450385.84377456</v>
      </c>
      <c r="I32" s="2">
        <f t="shared" si="1"/>
        <v>3410764.3777692975</v>
      </c>
      <c r="J32" s="2">
        <f t="shared" si="4"/>
        <v>4814053.3856471265</v>
      </c>
      <c r="K32" s="2"/>
      <c r="L32" s="2">
        <f t="shared" si="0"/>
        <v>1403289.007877829</v>
      </c>
      <c r="M32" s="2">
        <f t="shared" si="2"/>
        <v>268047096.83589673</v>
      </c>
      <c r="P32">
        <v>10</v>
      </c>
      <c r="Q32" s="2">
        <f t="shared" si="8"/>
        <v>3026223.790935379</v>
      </c>
      <c r="R32" s="2">
        <f t="shared" si="6"/>
        <v>36147.730610738086</v>
      </c>
      <c r="S32" s="2">
        <f t="shared" si="7"/>
        <v>150909.36973484905</v>
      </c>
      <c r="T32" s="2"/>
      <c r="U32" s="2">
        <f t="shared" si="9"/>
        <v>114761.63912411097</v>
      </c>
      <c r="V32" s="2">
        <f t="shared" si="5"/>
        <v>2911462.1518112682</v>
      </c>
    </row>
    <row r="33" spans="7:22" x14ac:dyDescent="0.25">
      <c r="G33">
        <v>23</v>
      </c>
      <c r="H33" s="2">
        <f t="shared" si="3"/>
        <v>268047096.83589673</v>
      </c>
      <c r="I33" s="2">
        <f t="shared" si="1"/>
        <v>3393001.2257708441</v>
      </c>
      <c r="J33" s="2">
        <f t="shared" si="4"/>
        <v>4814053.3856471265</v>
      </c>
      <c r="K33" s="2"/>
      <c r="L33" s="2">
        <f t="shared" si="0"/>
        <v>1421052.1598762823</v>
      </c>
      <c r="M33" s="2">
        <f t="shared" si="2"/>
        <v>266626044.67602044</v>
      </c>
      <c r="P33">
        <v>11</v>
      </c>
      <c r="Q33" s="2">
        <f t="shared" si="8"/>
        <v>2911462.1518112682</v>
      </c>
      <c r="R33" s="2">
        <f t="shared" si="6"/>
        <v>34776.922269355353</v>
      </c>
      <c r="S33" s="2">
        <f t="shared" si="7"/>
        <v>150909.36973484905</v>
      </c>
      <c r="T33" s="2"/>
      <c r="U33" s="2">
        <f t="shared" si="9"/>
        <v>116132.44746549369</v>
      </c>
      <c r="V33" s="2">
        <f t="shared" si="5"/>
        <v>2795329.7043457744</v>
      </c>
    </row>
    <row r="34" spans="7:22" x14ac:dyDescent="0.25">
      <c r="G34">
        <v>24</v>
      </c>
      <c r="H34" s="2">
        <f t="shared" si="3"/>
        <v>266626044.67602044</v>
      </c>
      <c r="I34" s="2">
        <f t="shared" si="1"/>
        <v>3375013.2237470937</v>
      </c>
      <c r="J34" s="2">
        <f t="shared" si="4"/>
        <v>4814053.3856471265</v>
      </c>
      <c r="K34" s="2"/>
      <c r="L34" s="2">
        <f t="shared" si="0"/>
        <v>1439040.1619000328</v>
      </c>
      <c r="M34" s="2">
        <f t="shared" si="2"/>
        <v>265187004.5141204</v>
      </c>
      <c r="P34">
        <v>12</v>
      </c>
      <c r="Q34" s="2">
        <f t="shared" si="8"/>
        <v>2795329.7043457744</v>
      </c>
      <c r="R34" s="2">
        <f t="shared" si="6"/>
        <v>33389.73985451788</v>
      </c>
      <c r="S34" s="2">
        <f t="shared" si="7"/>
        <v>150909.36973484905</v>
      </c>
      <c r="T34" s="2">
        <v>1000000</v>
      </c>
      <c r="U34" s="2">
        <f t="shared" si="9"/>
        <v>1117519.6298803312</v>
      </c>
      <c r="V34" s="2">
        <f t="shared" si="5"/>
        <v>1677810.0744654431</v>
      </c>
    </row>
    <row r="35" spans="7:22" x14ac:dyDescent="0.25">
      <c r="G35">
        <v>25</v>
      </c>
      <c r="H35" s="2">
        <f t="shared" si="3"/>
        <v>265187004.5141204</v>
      </c>
      <c r="I35" s="2">
        <f t="shared" si="1"/>
        <v>3356797.5254951944</v>
      </c>
      <c r="J35" s="2">
        <f t="shared" si="4"/>
        <v>4814053.3856471265</v>
      </c>
      <c r="K35" s="2"/>
      <c r="L35" s="2">
        <f t="shared" si="0"/>
        <v>1457255.8601519321</v>
      </c>
      <c r="M35" s="2">
        <f t="shared" si="2"/>
        <v>263729748.65396845</v>
      </c>
      <c r="P35">
        <v>13</v>
      </c>
      <c r="Q35" s="2">
        <f t="shared" si="8"/>
        <v>1677810.0744654431</v>
      </c>
      <c r="R35" s="2">
        <f t="shared" si="6"/>
        <v>20041.157157453043</v>
      </c>
      <c r="S35" s="2">
        <f t="shared" si="7"/>
        <v>150909.36973484905</v>
      </c>
      <c r="T35" s="2"/>
      <c r="U35" s="2">
        <f t="shared" si="9"/>
        <v>130868.21257739601</v>
      </c>
      <c r="V35" s="2">
        <f t="shared" si="5"/>
        <v>1546941.8618880471</v>
      </c>
    </row>
    <row r="36" spans="7:22" x14ac:dyDescent="0.25">
      <c r="G36">
        <v>26</v>
      </c>
      <c r="H36" s="2">
        <f t="shared" si="3"/>
        <v>263729748.65396845</v>
      </c>
      <c r="I36" s="2">
        <f t="shared" si="1"/>
        <v>3338351.2487844103</v>
      </c>
      <c r="J36" s="2">
        <f t="shared" si="4"/>
        <v>4814053.3856471265</v>
      </c>
      <c r="K36" s="2"/>
      <c r="L36" s="2">
        <f t="shared" si="0"/>
        <v>1475702.1368627162</v>
      </c>
      <c r="M36" s="2">
        <f t="shared" si="2"/>
        <v>262254046.51710573</v>
      </c>
      <c r="P36">
        <v>14</v>
      </c>
      <c r="Q36" s="2">
        <f t="shared" si="8"/>
        <v>1546941.8618880471</v>
      </c>
      <c r="R36" s="2">
        <f t="shared" si="6"/>
        <v>18477.958524250065</v>
      </c>
      <c r="S36" s="2">
        <f t="shared" si="7"/>
        <v>150909.36973484905</v>
      </c>
      <c r="T36" s="2"/>
      <c r="U36" s="2">
        <f t="shared" si="9"/>
        <v>132431.41121059898</v>
      </c>
      <c r="V36" s="2">
        <f t="shared" si="5"/>
        <v>1414510.4506774482</v>
      </c>
    </row>
    <row r="37" spans="7:22" x14ac:dyDescent="0.25">
      <c r="G37">
        <v>27</v>
      </c>
      <c r="H37" s="2">
        <f t="shared" si="3"/>
        <v>262254046.51710573</v>
      </c>
      <c r="I37" s="2">
        <f t="shared" si="1"/>
        <v>3319671.474900072</v>
      </c>
      <c r="J37" s="2">
        <f t="shared" si="4"/>
        <v>4814053.3856471265</v>
      </c>
      <c r="K37" s="2"/>
      <c r="L37" s="2">
        <f t="shared" si="0"/>
        <v>1494381.9107470545</v>
      </c>
      <c r="M37" s="2">
        <f t="shared" si="2"/>
        <v>260759664.60635868</v>
      </c>
      <c r="P37">
        <v>15</v>
      </c>
      <c r="Q37" s="2">
        <f t="shared" si="8"/>
        <v>1414510.4506774482</v>
      </c>
      <c r="R37" s="2">
        <f t="shared" si="6"/>
        <v>16896.087748143</v>
      </c>
      <c r="S37" s="2">
        <f t="shared" si="7"/>
        <v>150909.36973484905</v>
      </c>
      <c r="T37" s="2"/>
      <c r="U37" s="2">
        <f t="shared" si="9"/>
        <v>134013.28198670605</v>
      </c>
      <c r="V37" s="2">
        <f t="shared" si="5"/>
        <v>1280497.1686907422</v>
      </c>
    </row>
    <row r="38" spans="7:22" x14ac:dyDescent="0.25">
      <c r="G38">
        <v>28</v>
      </c>
      <c r="H38" s="2">
        <f t="shared" si="3"/>
        <v>260759664.60635868</v>
      </c>
      <c r="I38" s="2">
        <f t="shared" si="1"/>
        <v>3300755.2481817547</v>
      </c>
      <c r="J38" s="2">
        <f t="shared" si="4"/>
        <v>4814053.3856471265</v>
      </c>
      <c r="K38" s="2"/>
      <c r="L38" s="2">
        <f t="shared" si="0"/>
        <v>1513298.1374653718</v>
      </c>
      <c r="M38" s="2">
        <f t="shared" si="2"/>
        <v>259246366.46889332</v>
      </c>
      <c r="P38">
        <v>16</v>
      </c>
      <c r="Q38" s="2">
        <f t="shared" si="8"/>
        <v>1280497.1686907422</v>
      </c>
      <c r="R38" s="2">
        <f t="shared" si="6"/>
        <v>15295.321793547488</v>
      </c>
      <c r="S38" s="2">
        <f t="shared" si="7"/>
        <v>150909.36973484905</v>
      </c>
      <c r="T38" s="2"/>
      <c r="U38" s="2">
        <f t="shared" si="9"/>
        <v>135614.04794130157</v>
      </c>
      <c r="V38" s="2">
        <f t="shared" si="5"/>
        <v>1144883.1207494407</v>
      </c>
    </row>
    <row r="39" spans="7:22" x14ac:dyDescent="0.25">
      <c r="G39">
        <v>29</v>
      </c>
      <c r="H39" s="2">
        <f t="shared" si="3"/>
        <v>259246366.46889332</v>
      </c>
      <c r="I39" s="2">
        <f t="shared" si="1"/>
        <v>3281599.5755556109</v>
      </c>
      <c r="J39" s="2">
        <f t="shared" si="4"/>
        <v>4814053.3856471265</v>
      </c>
      <c r="K39" s="2"/>
      <c r="L39" s="2">
        <f t="shared" si="0"/>
        <v>1532453.8100915155</v>
      </c>
      <c r="M39" s="2">
        <f t="shared" si="2"/>
        <v>257713912.65880179</v>
      </c>
      <c r="P39">
        <v>17</v>
      </c>
      <c r="Q39" s="2">
        <f t="shared" si="8"/>
        <v>1144883.1207494407</v>
      </c>
      <c r="R39" s="2">
        <f t="shared" si="6"/>
        <v>13675.434960756884</v>
      </c>
      <c r="S39" s="2">
        <f t="shared" si="7"/>
        <v>150909.36973484905</v>
      </c>
      <c r="T39" s="2"/>
      <c r="U39" s="2">
        <f t="shared" si="9"/>
        <v>137233.93477409217</v>
      </c>
      <c r="V39" s="2">
        <f t="shared" si="5"/>
        <v>1007649.1859753486</v>
      </c>
    </row>
    <row r="40" spans="7:22" x14ac:dyDescent="0.25">
      <c r="G40">
        <v>30</v>
      </c>
      <c r="H40" s="2">
        <f t="shared" si="3"/>
        <v>257713912.65880179</v>
      </c>
      <c r="I40" s="2">
        <f t="shared" si="1"/>
        <v>3262201.4260607818</v>
      </c>
      <c r="J40" s="2">
        <f t="shared" si="4"/>
        <v>4814053.3856471265</v>
      </c>
      <c r="K40" s="2"/>
      <c r="L40" s="2">
        <f t="shared" si="0"/>
        <v>1551851.9595863447</v>
      </c>
      <c r="M40" s="2">
        <f t="shared" si="2"/>
        <v>256162060.69921544</v>
      </c>
      <c r="P40">
        <v>18</v>
      </c>
      <c r="Q40" s="2">
        <f t="shared" si="8"/>
        <v>1007649.1859753486</v>
      </c>
      <c r="R40" s="2">
        <f t="shared" si="6"/>
        <v>12036.198854119781</v>
      </c>
      <c r="S40" s="2">
        <f t="shared" si="7"/>
        <v>150909.36973484905</v>
      </c>
      <c r="T40" s="2"/>
      <c r="U40" s="2">
        <f t="shared" si="9"/>
        <v>138873.17088072927</v>
      </c>
      <c r="V40" s="2">
        <f t="shared" si="5"/>
        <v>868776.01509461924</v>
      </c>
    </row>
    <row r="41" spans="7:22" x14ac:dyDescent="0.25">
      <c r="G41">
        <v>31</v>
      </c>
      <c r="H41" s="2">
        <f t="shared" si="3"/>
        <v>256162060.69921544</v>
      </c>
      <c r="I41" s="2">
        <f t="shared" si="1"/>
        <v>3242557.7303698151</v>
      </c>
      <c r="J41" s="2">
        <f t="shared" si="4"/>
        <v>4814053.3856471265</v>
      </c>
      <c r="K41" s="2"/>
      <c r="L41" s="2">
        <f t="shared" si="0"/>
        <v>1571495.6552773113</v>
      </c>
      <c r="M41" s="2">
        <f t="shared" si="2"/>
        <v>254590565.04393813</v>
      </c>
      <c r="P41">
        <v>19</v>
      </c>
      <c r="Q41" s="2">
        <f t="shared" si="8"/>
        <v>868776.01509461924</v>
      </c>
      <c r="R41" s="2">
        <f t="shared" si="6"/>
        <v>10377.382349837399</v>
      </c>
      <c r="S41" s="2">
        <f t="shared" si="7"/>
        <v>150909.36973484905</v>
      </c>
      <c r="T41" s="2"/>
      <c r="U41" s="2">
        <f t="shared" si="9"/>
        <v>140531.98738501166</v>
      </c>
      <c r="V41" s="2">
        <f t="shared" si="5"/>
        <v>728244.02770960762</v>
      </c>
    </row>
    <row r="42" spans="7:22" x14ac:dyDescent="0.25">
      <c r="G42">
        <v>32</v>
      </c>
      <c r="H42" s="2">
        <f t="shared" si="3"/>
        <v>254590565.04393813</v>
      </c>
      <c r="I42" s="2">
        <f t="shared" si="1"/>
        <v>3222665.3803030136</v>
      </c>
      <c r="J42" s="2">
        <f t="shared" si="4"/>
        <v>4814053.3856471265</v>
      </c>
      <c r="K42" s="2"/>
      <c r="L42" s="2">
        <f t="shared" ref="L42:L73" si="10">J42-I42</f>
        <v>1591388.0053441129</v>
      </c>
      <c r="M42" s="2">
        <f t="shared" si="2"/>
        <v>252999177.03859401</v>
      </c>
      <c r="P42">
        <v>20</v>
      </c>
      <c r="Q42" s="2">
        <f t="shared" si="8"/>
        <v>728244.02770960762</v>
      </c>
      <c r="R42" s="2">
        <f t="shared" si="6"/>
        <v>8698.7515633763323</v>
      </c>
      <c r="S42" s="2">
        <f t="shared" si="7"/>
        <v>150909.36973484905</v>
      </c>
      <c r="T42" s="2"/>
      <c r="U42" s="2">
        <f t="shared" si="9"/>
        <v>142210.61817147271</v>
      </c>
      <c r="V42" s="2">
        <f t="shared" si="5"/>
        <v>586033.40953813493</v>
      </c>
    </row>
    <row r="43" spans="7:22" x14ac:dyDescent="0.25">
      <c r="G43">
        <v>33</v>
      </c>
      <c r="H43" s="2">
        <f t="shared" si="3"/>
        <v>252999177.03859401</v>
      </c>
      <c r="I43" s="2">
        <f t="shared" si="1"/>
        <v>3202521.2283366327</v>
      </c>
      <c r="J43" s="2">
        <f t="shared" si="4"/>
        <v>4814053.3856471265</v>
      </c>
      <c r="K43" s="2"/>
      <c r="L43" s="2">
        <f t="shared" si="10"/>
        <v>1611532.1573104938</v>
      </c>
      <c r="M43" s="2">
        <f t="shared" ref="M43:M74" si="11">H43-L43</f>
        <v>251387644.88128352</v>
      </c>
      <c r="P43">
        <v>21</v>
      </c>
      <c r="Q43" s="2">
        <f t="shared" si="8"/>
        <v>586033.40953813493</v>
      </c>
      <c r="R43" s="2">
        <f t="shared" si="6"/>
        <v>7000.0698164920359</v>
      </c>
      <c r="S43" s="2">
        <f t="shared" si="7"/>
        <v>150909.36973484905</v>
      </c>
      <c r="T43" s="2"/>
      <c r="U43" s="2">
        <f t="shared" si="9"/>
        <v>143909.29991835702</v>
      </c>
      <c r="V43" s="2">
        <f t="shared" si="5"/>
        <v>442124.10961977788</v>
      </c>
    </row>
    <row r="44" spans="7:22" x14ac:dyDescent="0.25">
      <c r="G44">
        <v>34</v>
      </c>
      <c r="H44" s="2">
        <f t="shared" si="3"/>
        <v>251387644.88128352</v>
      </c>
      <c r="I44" s="2">
        <f t="shared" si="1"/>
        <v>3182122.0871048542</v>
      </c>
      <c r="J44" s="2">
        <f t="shared" si="4"/>
        <v>4814053.3856471265</v>
      </c>
      <c r="K44" s="2"/>
      <c r="L44" s="2">
        <f t="shared" si="10"/>
        <v>1631931.2985422723</v>
      </c>
      <c r="M44" s="2">
        <f t="shared" si="11"/>
        <v>249755713.58274126</v>
      </c>
      <c r="P44">
        <v>22</v>
      </c>
      <c r="Q44" s="2">
        <f t="shared" si="8"/>
        <v>442124.10961977788</v>
      </c>
      <c r="R44" s="2">
        <f t="shared" si="6"/>
        <v>5281.0976038584176</v>
      </c>
      <c r="S44" s="2">
        <f t="shared" si="7"/>
        <v>150909.36973484905</v>
      </c>
      <c r="T44" s="2"/>
      <c r="U44" s="2">
        <f t="shared" si="9"/>
        <v>145628.27213099063</v>
      </c>
      <c r="V44" s="2">
        <f t="shared" si="5"/>
        <v>296495.83748878725</v>
      </c>
    </row>
    <row r="45" spans="7:22" x14ac:dyDescent="0.25">
      <c r="G45">
        <v>35</v>
      </c>
      <c r="H45" s="2">
        <f t="shared" si="3"/>
        <v>249755713.58274126</v>
      </c>
      <c r="I45" s="2">
        <f t="shared" si="1"/>
        <v>3161464.7288954584</v>
      </c>
      <c r="J45" s="2">
        <f t="shared" si="4"/>
        <v>4814053.3856471265</v>
      </c>
      <c r="K45" s="2"/>
      <c r="L45" s="2">
        <f t="shared" si="10"/>
        <v>1652588.6567516681</v>
      </c>
      <c r="M45" s="2">
        <f t="shared" si="11"/>
        <v>248103124.9259896</v>
      </c>
      <c r="P45">
        <v>23</v>
      </c>
      <c r="Q45" s="2">
        <f t="shared" si="8"/>
        <v>296495.83748878725</v>
      </c>
      <c r="R45" s="2">
        <f t="shared" si="6"/>
        <v>3541.5925592988378</v>
      </c>
      <c r="S45" s="2">
        <f t="shared" si="7"/>
        <v>150909.36973484905</v>
      </c>
      <c r="T45" s="2"/>
      <c r="U45" s="2">
        <f t="shared" si="9"/>
        <v>147367.7771755502</v>
      </c>
      <c r="V45" s="2">
        <f t="shared" si="5"/>
        <v>149128.06031323705</v>
      </c>
    </row>
    <row r="46" spans="7:22" x14ac:dyDescent="0.25">
      <c r="G46">
        <v>36</v>
      </c>
      <c r="H46" s="2">
        <f t="shared" si="3"/>
        <v>248103124.9259896</v>
      </c>
      <c r="I46" s="2">
        <f t="shared" si="1"/>
        <v>3140545.8851391082</v>
      </c>
      <c r="J46" s="2">
        <f t="shared" si="4"/>
        <v>4814053.3856471265</v>
      </c>
      <c r="K46" s="2"/>
      <c r="L46" s="2">
        <f t="shared" si="10"/>
        <v>1673507.5005080183</v>
      </c>
      <c r="M46" s="2">
        <f t="shared" si="11"/>
        <v>246429617.42548159</v>
      </c>
      <c r="P46">
        <v>24</v>
      </c>
      <c r="Q46" s="2">
        <f t="shared" si="8"/>
        <v>149128.06031323705</v>
      </c>
      <c r="R46" s="2">
        <f t="shared" si="6"/>
        <v>1781.3094216137251</v>
      </c>
      <c r="S46" s="2">
        <f t="shared" si="7"/>
        <v>150909.36973484905</v>
      </c>
      <c r="T46" s="2"/>
      <c r="U46" s="2">
        <f t="shared" si="9"/>
        <v>149128.06031323533</v>
      </c>
      <c r="V46" s="1">
        <f t="shared" si="5"/>
        <v>1.7171259969472885E-9</v>
      </c>
    </row>
    <row r="47" spans="7:22" x14ac:dyDescent="0.25">
      <c r="G47">
        <v>37</v>
      </c>
      <c r="H47" s="2">
        <f t="shared" si="3"/>
        <v>246429617.42548159</v>
      </c>
      <c r="I47" s="2">
        <f t="shared" si="1"/>
        <v>3119362.2458921717</v>
      </c>
      <c r="J47" s="2">
        <f t="shared" si="4"/>
        <v>4814053.3856471265</v>
      </c>
      <c r="K47" s="2"/>
      <c r="L47" s="2">
        <f t="shared" si="10"/>
        <v>1694691.1397549547</v>
      </c>
      <c r="M47" s="2">
        <f t="shared" si="11"/>
        <v>244734926.28572664</v>
      </c>
    </row>
    <row r="48" spans="7:22" x14ac:dyDescent="0.25">
      <c r="G48">
        <v>38</v>
      </c>
      <c r="H48" s="2">
        <f t="shared" si="3"/>
        <v>244734926.28572664</v>
      </c>
      <c r="I48" s="2">
        <f t="shared" si="1"/>
        <v>3097910.459312995</v>
      </c>
      <c r="J48" s="2">
        <f t="shared" si="4"/>
        <v>4814053.3856471265</v>
      </c>
      <c r="K48" s="2"/>
      <c r="L48" s="2">
        <f t="shared" si="10"/>
        <v>1716142.9263341315</v>
      </c>
      <c r="M48" s="2">
        <f t="shared" si="11"/>
        <v>243018783.35939249</v>
      </c>
    </row>
    <row r="49" spans="7:23" x14ac:dyDescent="0.25">
      <c r="G49">
        <v>39</v>
      </c>
      <c r="H49" s="2">
        <f t="shared" si="3"/>
        <v>243018783.35939249</v>
      </c>
      <c r="I49" s="2">
        <f t="shared" si="1"/>
        <v>3076187.1311315503</v>
      </c>
      <c r="J49" s="2">
        <f t="shared" si="4"/>
        <v>4814053.3856471265</v>
      </c>
      <c r="K49" s="2"/>
      <c r="L49" s="2">
        <f t="shared" si="10"/>
        <v>1737866.2545155762</v>
      </c>
      <c r="M49" s="2">
        <f t="shared" si="11"/>
        <v>241280917.10487691</v>
      </c>
    </row>
    <row r="50" spans="7:23" x14ac:dyDescent="0.25">
      <c r="G50">
        <v>40</v>
      </c>
      <c r="H50" s="2">
        <f t="shared" si="3"/>
        <v>241280917.10487691</v>
      </c>
      <c r="I50" s="2">
        <f t="shared" si="1"/>
        <v>3054188.8241123655</v>
      </c>
      <c r="J50" s="2">
        <f t="shared" si="4"/>
        <v>4814053.3856471265</v>
      </c>
      <c r="K50" s="2"/>
      <c r="L50" s="2">
        <f t="shared" si="10"/>
        <v>1759864.561534761</v>
      </c>
      <c r="M50" s="2">
        <f t="shared" si="11"/>
        <v>239521052.54334214</v>
      </c>
      <c r="P50" s="7" t="s">
        <v>60</v>
      </c>
      <c r="Q50" t="s">
        <v>0</v>
      </c>
      <c r="R50">
        <v>5000000</v>
      </c>
      <c r="T50" t="s">
        <v>29</v>
      </c>
      <c r="U50">
        <f>T69</f>
        <v>1000000</v>
      </c>
      <c r="V50" t="s">
        <v>0</v>
      </c>
      <c r="W50" s="6">
        <f>PV(R51,P69,,-U50)</f>
        <v>878014.75805837952</v>
      </c>
    </row>
    <row r="51" spans="7:23" x14ac:dyDescent="0.25">
      <c r="G51">
        <v>41</v>
      </c>
      <c r="H51" s="2">
        <f t="shared" si="3"/>
        <v>239521052.54334214</v>
      </c>
      <c r="I51" s="2">
        <f t="shared" si="1"/>
        <v>3031912.0575106596</v>
      </c>
      <c r="J51" s="2">
        <f t="shared" si="4"/>
        <v>4814053.3856471265</v>
      </c>
      <c r="K51" s="2"/>
      <c r="L51" s="2">
        <f t="shared" si="10"/>
        <v>1782141.3281364669</v>
      </c>
      <c r="M51" s="2">
        <f t="shared" si="11"/>
        <v>237738911.21520567</v>
      </c>
      <c r="Q51" t="s">
        <v>21</v>
      </c>
      <c r="R51" s="9">
        <f>S7</f>
        <v>1.0899966188028909E-2</v>
      </c>
      <c r="V51" s="2"/>
    </row>
    <row r="52" spans="7:23" x14ac:dyDescent="0.25">
      <c r="G52">
        <v>42</v>
      </c>
      <c r="H52" s="2">
        <f t="shared" si="3"/>
        <v>237738911.21520567</v>
      </c>
      <c r="I52" s="2">
        <f t="shared" si="1"/>
        <v>3009353.3065215903</v>
      </c>
      <c r="J52" s="2">
        <f t="shared" si="4"/>
        <v>4814053.3856471265</v>
      </c>
      <c r="K52" s="2"/>
      <c r="L52" s="2">
        <f t="shared" si="10"/>
        <v>1804700.0791255361</v>
      </c>
      <c r="M52" s="2">
        <f t="shared" si="11"/>
        <v>235934211.13608015</v>
      </c>
      <c r="Q52" t="s">
        <v>1</v>
      </c>
      <c r="R52">
        <v>24</v>
      </c>
    </row>
    <row r="53" spans="7:23" x14ac:dyDescent="0.25">
      <c r="G53">
        <v>43</v>
      </c>
      <c r="H53" s="2">
        <f t="shared" si="3"/>
        <v>235934211.13608015</v>
      </c>
      <c r="I53" s="2">
        <f t="shared" si="1"/>
        <v>2986509.0017225333</v>
      </c>
      <c r="J53" s="2">
        <f t="shared" si="4"/>
        <v>4814053.3856471265</v>
      </c>
      <c r="K53" s="2"/>
      <c r="L53" s="2">
        <f t="shared" si="10"/>
        <v>1827544.3839245932</v>
      </c>
      <c r="M53" s="2">
        <f t="shared" si="11"/>
        <v>234106666.75215554</v>
      </c>
      <c r="Q53" t="s">
        <v>59</v>
      </c>
      <c r="R53">
        <f>R50*0.2</f>
        <v>1000000</v>
      </c>
    </row>
    <row r="54" spans="7:23" x14ac:dyDescent="0.25">
      <c r="G54">
        <v>44</v>
      </c>
      <c r="H54" s="2">
        <f t="shared" si="3"/>
        <v>234106666.75215554</v>
      </c>
      <c r="I54" s="2">
        <f t="shared" si="1"/>
        <v>2963375.5285082976</v>
      </c>
      <c r="J54" s="2">
        <f t="shared" si="4"/>
        <v>4814053.3856471265</v>
      </c>
      <c r="K54" s="2"/>
      <c r="L54" s="2">
        <f t="shared" si="10"/>
        <v>1850677.8571388288</v>
      </c>
      <c r="M54" s="2">
        <f t="shared" si="11"/>
        <v>232255988.8950167</v>
      </c>
      <c r="Q54" t="s">
        <v>11</v>
      </c>
      <c r="R54" s="6">
        <f>PMT(R51,R52,-(V57-W50))</f>
        <v>148542.14939681537</v>
      </c>
    </row>
    <row r="55" spans="7:23" x14ac:dyDescent="0.25">
      <c r="G55">
        <v>45</v>
      </c>
      <c r="H55" s="2">
        <f t="shared" si="3"/>
        <v>232255988.8950167</v>
      </c>
      <c r="I55" s="2">
        <f t="shared" si="1"/>
        <v>2939949.2265191982</v>
      </c>
      <c r="J55" s="2">
        <f t="shared" si="4"/>
        <v>4814053.3856471265</v>
      </c>
      <c r="K55" s="2"/>
      <c r="L55" s="2">
        <f t="shared" si="10"/>
        <v>1874104.1591279283</v>
      </c>
      <c r="M55" s="2">
        <f t="shared" si="11"/>
        <v>230381884.73588878</v>
      </c>
    </row>
    <row r="56" spans="7:23" x14ac:dyDescent="0.25">
      <c r="G56">
        <v>46</v>
      </c>
      <c r="H56" s="2">
        <f t="shared" si="3"/>
        <v>230381884.73588878</v>
      </c>
      <c r="I56" s="2">
        <f t="shared" si="1"/>
        <v>2916226.3890618826</v>
      </c>
      <c r="J56" s="2">
        <f t="shared" si="4"/>
        <v>4814053.3856471265</v>
      </c>
      <c r="K56" s="2"/>
      <c r="L56" s="2">
        <f t="shared" si="10"/>
        <v>1897826.9965852438</v>
      </c>
      <c r="M56" s="2">
        <f t="shared" si="11"/>
        <v>228484057.73930353</v>
      </c>
      <c r="P56" t="s">
        <v>6</v>
      </c>
      <c r="Q56" t="s">
        <v>7</v>
      </c>
      <c r="R56" t="s">
        <v>8</v>
      </c>
      <c r="S56" t="s">
        <v>11</v>
      </c>
      <c r="T56" t="s">
        <v>58</v>
      </c>
      <c r="U56" s="2" t="s">
        <v>9</v>
      </c>
      <c r="V56" s="2" t="s">
        <v>10</v>
      </c>
    </row>
    <row r="57" spans="7:23" x14ac:dyDescent="0.25">
      <c r="G57">
        <v>47</v>
      </c>
      <c r="H57" s="2">
        <f t="shared" si="3"/>
        <v>228484057.73930353</v>
      </c>
      <c r="I57" s="2">
        <f t="shared" si="1"/>
        <v>2892203.2625228292</v>
      </c>
      <c r="J57" s="2">
        <f t="shared" si="4"/>
        <v>4814053.3856471265</v>
      </c>
      <c r="K57" s="2"/>
      <c r="L57" s="2">
        <f t="shared" si="10"/>
        <v>1921850.1231242972</v>
      </c>
      <c r="M57" s="2">
        <f t="shared" si="11"/>
        <v>226562207.61617923</v>
      </c>
      <c r="P57" cm="1">
        <f t="array" ref="P57:P81">_xlfn.SEQUENCE(25,,0,1)</f>
        <v>0</v>
      </c>
      <c r="Q57" s="2">
        <f>R50</f>
        <v>5000000</v>
      </c>
      <c r="R57" s="2"/>
      <c r="S57" s="2"/>
      <c r="T57" s="2">
        <f>R53</f>
        <v>1000000</v>
      </c>
      <c r="U57" s="2">
        <f>S57-R57+T57</f>
        <v>1000000</v>
      </c>
      <c r="V57" s="2">
        <f t="shared" ref="V57:V81" si="12">Q57-U57</f>
        <v>4000000</v>
      </c>
    </row>
    <row r="58" spans="7:23" x14ac:dyDescent="0.25">
      <c r="G58">
        <v>48</v>
      </c>
      <c r="H58" s="2">
        <f t="shared" si="3"/>
        <v>226562207.61617923</v>
      </c>
      <c r="I58" s="2">
        <f t="shared" si="1"/>
        <v>2867876.0457744203</v>
      </c>
      <c r="J58" s="2">
        <f t="shared" si="4"/>
        <v>4814053.3856471265</v>
      </c>
      <c r="K58" s="2"/>
      <c r="L58" s="2">
        <f t="shared" si="10"/>
        <v>1946177.3398727062</v>
      </c>
      <c r="M58" s="2">
        <f t="shared" si="11"/>
        <v>224616030.27630651</v>
      </c>
      <c r="P58">
        <v>1</v>
      </c>
      <c r="Q58" s="2">
        <f>V57</f>
        <v>4000000</v>
      </c>
      <c r="R58" s="2">
        <f t="shared" ref="R58:R81" si="13">Q58*$R$16</f>
        <v>47779.322492954358</v>
      </c>
      <c r="S58" s="2">
        <f t="shared" ref="S58:S81" si="14">$R$19</f>
        <v>150909.36973484905</v>
      </c>
      <c r="T58" s="2"/>
      <c r="U58" s="2">
        <f>S58-R58+T58</f>
        <v>103130.0472418947</v>
      </c>
      <c r="V58" s="2">
        <f t="shared" si="12"/>
        <v>3896869.9527581055</v>
      </c>
    </row>
    <row r="59" spans="7:23" x14ac:dyDescent="0.25">
      <c r="G59">
        <v>49</v>
      </c>
      <c r="H59" s="2">
        <f t="shared" si="3"/>
        <v>224616030.27630651</v>
      </c>
      <c r="I59" s="2">
        <f t="shared" si="1"/>
        <v>2843240.8895734996</v>
      </c>
      <c r="J59" s="2">
        <f t="shared" si="4"/>
        <v>4814053.3856471265</v>
      </c>
      <c r="K59" s="2"/>
      <c r="L59" s="2">
        <f t="shared" si="10"/>
        <v>1970812.4960736269</v>
      </c>
      <c r="M59" s="2">
        <f t="shared" si="11"/>
        <v>222645217.78023288</v>
      </c>
      <c r="P59">
        <v>2</v>
      </c>
      <c r="Q59" s="2">
        <f t="shared" ref="Q59:Q81" si="15">V58</f>
        <v>3896869.9527581055</v>
      </c>
      <c r="R59" s="2">
        <f t="shared" si="13"/>
        <v>46547.451546483331</v>
      </c>
      <c r="S59" s="2">
        <f t="shared" si="14"/>
        <v>150909.36973484905</v>
      </c>
      <c r="T59" s="2"/>
      <c r="U59" s="2">
        <f t="shared" ref="U59:U81" si="16">S59-R59+T59</f>
        <v>104361.91818836573</v>
      </c>
      <c r="V59" s="2">
        <f t="shared" si="12"/>
        <v>3792508.0345697398</v>
      </c>
    </row>
    <row r="60" spans="7:23" x14ac:dyDescent="0.25">
      <c r="G60">
        <v>50</v>
      </c>
      <c r="H60" s="2">
        <f t="shared" si="3"/>
        <v>222645217.78023288</v>
      </c>
      <c r="I60" s="2">
        <f t="shared" si="1"/>
        <v>2818293.8959523146</v>
      </c>
      <c r="J60" s="2">
        <f t="shared" si="4"/>
        <v>4814053.3856471265</v>
      </c>
      <c r="K60" s="2"/>
      <c r="L60" s="2">
        <f t="shared" si="10"/>
        <v>1995759.4896948119</v>
      </c>
      <c r="M60" s="2">
        <f t="shared" si="11"/>
        <v>220649458.29053807</v>
      </c>
      <c r="P60">
        <v>3</v>
      </c>
      <c r="Q60" s="2">
        <f t="shared" si="15"/>
        <v>3792508.0345697398</v>
      </c>
      <c r="R60" s="2">
        <f t="shared" si="13"/>
        <v>45300.866110207025</v>
      </c>
      <c r="S60" s="2">
        <f t="shared" si="14"/>
        <v>150909.36973484905</v>
      </c>
      <c r="T60" s="2"/>
      <c r="U60" s="2">
        <f t="shared" si="16"/>
        <v>105608.50362464203</v>
      </c>
      <c r="V60" s="2">
        <f t="shared" si="12"/>
        <v>3686899.530945098</v>
      </c>
    </row>
    <row r="61" spans="7:23" x14ac:dyDescent="0.25">
      <c r="G61">
        <v>51</v>
      </c>
      <c r="H61" s="2">
        <f t="shared" si="3"/>
        <v>220649458.29053807</v>
      </c>
      <c r="I61" s="2">
        <f t="shared" si="1"/>
        <v>2793031.1176017472</v>
      </c>
      <c r="J61" s="2">
        <f t="shared" si="4"/>
        <v>4814053.3856471265</v>
      </c>
      <c r="K61" s="2"/>
      <c r="L61" s="2">
        <f t="shared" si="10"/>
        <v>2021022.2680453793</v>
      </c>
      <c r="M61" s="2">
        <f t="shared" si="11"/>
        <v>218628436.02249271</v>
      </c>
      <c r="P61">
        <v>4</v>
      </c>
      <c r="Q61" s="2">
        <f t="shared" si="15"/>
        <v>3686899.530945098</v>
      </c>
      <c r="R61" s="2">
        <f t="shared" si="13"/>
        <v>44039.390422036995</v>
      </c>
      <c r="S61" s="2">
        <f t="shared" si="14"/>
        <v>150909.36973484905</v>
      </c>
      <c r="T61" s="2"/>
      <c r="U61" s="2">
        <f t="shared" si="16"/>
        <v>106869.97931281207</v>
      </c>
      <c r="V61" s="2">
        <f t="shared" si="12"/>
        <v>3580029.551632286</v>
      </c>
    </row>
    <row r="62" spans="7:23" x14ac:dyDescent="0.25">
      <c r="G62">
        <v>52</v>
      </c>
      <c r="H62" s="2">
        <f t="shared" si="3"/>
        <v>218628436.02249271</v>
      </c>
      <c r="I62" s="2">
        <f t="shared" si="1"/>
        <v>2767448.5572467428</v>
      </c>
      <c r="J62" s="2">
        <f t="shared" si="4"/>
        <v>4814053.3856471265</v>
      </c>
      <c r="K62" s="2"/>
      <c r="L62" s="2">
        <f t="shared" si="10"/>
        <v>2046604.8284003837</v>
      </c>
      <c r="M62" s="2">
        <f t="shared" si="11"/>
        <v>216581831.19409233</v>
      </c>
      <c r="P62">
        <v>5</v>
      </c>
      <c r="Q62" s="2">
        <f t="shared" si="15"/>
        <v>3580029.551632286</v>
      </c>
      <c r="R62" s="2">
        <f t="shared" si="13"/>
        <v>42762.846620436445</v>
      </c>
      <c r="S62" s="2">
        <f t="shared" si="14"/>
        <v>150909.36973484905</v>
      </c>
      <c r="T62" s="2"/>
      <c r="U62" s="2">
        <f t="shared" si="16"/>
        <v>108146.52311441262</v>
      </c>
      <c r="V62" s="2">
        <f t="shared" si="12"/>
        <v>3471883.0285178735</v>
      </c>
    </row>
    <row r="63" spans="7:23" x14ac:dyDescent="0.25">
      <c r="G63">
        <v>53</v>
      </c>
      <c r="H63" s="2">
        <f t="shared" si="3"/>
        <v>216581831.19409233</v>
      </c>
      <c r="I63" s="2">
        <f t="shared" si="1"/>
        <v>2741542.1670138268</v>
      </c>
      <c r="J63" s="2">
        <f t="shared" si="4"/>
        <v>4814053.3856471265</v>
      </c>
      <c r="K63" s="2"/>
      <c r="L63" s="2">
        <f t="shared" si="10"/>
        <v>2072511.2186332997</v>
      </c>
      <c r="M63" s="2">
        <f t="shared" si="11"/>
        <v>214509319.97545904</v>
      </c>
      <c r="P63">
        <v>6</v>
      </c>
      <c r="Q63" s="2">
        <f t="shared" si="15"/>
        <v>3471883.0285178735</v>
      </c>
      <c r="R63" s="2">
        <f t="shared" si="13"/>
        <v>41471.054719342632</v>
      </c>
      <c r="S63" s="2">
        <f t="shared" si="14"/>
        <v>150909.36973484905</v>
      </c>
      <c r="T63" s="2"/>
      <c r="U63" s="2">
        <f t="shared" si="16"/>
        <v>109438.31501550642</v>
      </c>
      <c r="V63" s="2">
        <f t="shared" si="12"/>
        <v>3362444.713502367</v>
      </c>
    </row>
    <row r="64" spans="7:23" x14ac:dyDescent="0.25">
      <c r="G64">
        <v>54</v>
      </c>
      <c r="H64" s="2">
        <f t="shared" si="3"/>
        <v>214509319.97545904</v>
      </c>
      <c r="I64" s="2">
        <f t="shared" si="1"/>
        <v>2715307.8477906203</v>
      </c>
      <c r="J64" s="2">
        <f t="shared" si="4"/>
        <v>4814053.3856471265</v>
      </c>
      <c r="K64" s="2"/>
      <c r="L64" s="2">
        <f t="shared" si="10"/>
        <v>2098745.5378565062</v>
      </c>
      <c r="M64" s="2">
        <f t="shared" si="11"/>
        <v>212410574.43760252</v>
      </c>
      <c r="P64">
        <v>7</v>
      </c>
      <c r="Q64" s="2">
        <f t="shared" si="15"/>
        <v>3362444.713502367</v>
      </c>
      <c r="R64" s="2">
        <f t="shared" si="13"/>
        <v>40163.832582789779</v>
      </c>
      <c r="S64" s="2">
        <f t="shared" si="14"/>
        <v>150909.36973484905</v>
      </c>
      <c r="T64" s="2"/>
      <c r="U64" s="2">
        <f t="shared" si="16"/>
        <v>110745.53715205927</v>
      </c>
      <c r="V64" s="2">
        <f t="shared" si="12"/>
        <v>3251699.1763503077</v>
      </c>
    </row>
    <row r="65" spans="7:22" x14ac:dyDescent="0.25">
      <c r="G65">
        <v>55</v>
      </c>
      <c r="H65" s="2">
        <f t="shared" si="3"/>
        <v>212410574.43760252</v>
      </c>
      <c r="I65" s="2">
        <f t="shared" si="1"/>
        <v>2688741.4485772466</v>
      </c>
      <c r="J65" s="2">
        <f t="shared" si="4"/>
        <v>4814053.3856471265</v>
      </c>
      <c r="K65" s="2"/>
      <c r="L65" s="2">
        <f t="shared" si="10"/>
        <v>2125311.9370698798</v>
      </c>
      <c r="M65" s="2">
        <f t="shared" si="11"/>
        <v>210285262.50053263</v>
      </c>
      <c r="P65">
        <v>8</v>
      </c>
      <c r="Q65" s="2">
        <f t="shared" si="15"/>
        <v>3251699.1763503077</v>
      </c>
      <c r="R65" s="2">
        <f t="shared" si="13"/>
        <v>38840.995899228852</v>
      </c>
      <c r="S65" s="2">
        <f t="shared" si="14"/>
        <v>150909.36973484905</v>
      </c>
      <c r="T65" s="2"/>
      <c r="U65" s="2">
        <f t="shared" si="16"/>
        <v>112068.37383562021</v>
      </c>
      <c r="V65" s="2">
        <f t="shared" si="12"/>
        <v>3139630.8025146876</v>
      </c>
    </row>
    <row r="66" spans="7:22" x14ac:dyDescent="0.25">
      <c r="G66">
        <v>56</v>
      </c>
      <c r="H66" s="2">
        <f t="shared" si="3"/>
        <v>210285262.50053263</v>
      </c>
      <c r="I66" s="2">
        <f t="shared" si="1"/>
        <v>2661838.7658295264</v>
      </c>
      <c r="J66" s="2">
        <f t="shared" si="4"/>
        <v>4814053.3856471265</v>
      </c>
      <c r="K66" s="2"/>
      <c r="L66" s="2">
        <f t="shared" si="10"/>
        <v>2152214.6198176001</v>
      </c>
      <c r="M66" s="2">
        <f t="shared" si="11"/>
        <v>208133047.88071501</v>
      </c>
      <c r="P66">
        <v>9</v>
      </c>
      <c r="Q66" s="2">
        <f t="shared" si="15"/>
        <v>3139630.8025146876</v>
      </c>
      <c r="R66" s="2">
        <f t="shared" si="13"/>
        <v>37502.358155540591</v>
      </c>
      <c r="S66" s="2">
        <f t="shared" si="14"/>
        <v>150909.36973484905</v>
      </c>
      <c r="T66" s="2"/>
      <c r="U66" s="2">
        <f t="shared" si="16"/>
        <v>113407.01157930846</v>
      </c>
      <c r="V66" s="2">
        <f t="shared" si="12"/>
        <v>3026223.790935379</v>
      </c>
    </row>
    <row r="67" spans="7:22" x14ac:dyDescent="0.25">
      <c r="G67">
        <v>57</v>
      </c>
      <c r="H67" s="2">
        <f t="shared" si="3"/>
        <v>208133047.88071501</v>
      </c>
      <c r="I67" s="2">
        <f t="shared" si="1"/>
        <v>2634595.5427938607</v>
      </c>
      <c r="J67" s="2">
        <f t="shared" si="4"/>
        <v>4814053.3856471265</v>
      </c>
      <c r="K67" s="2"/>
      <c r="L67" s="2">
        <f t="shared" si="10"/>
        <v>2179457.8428532658</v>
      </c>
      <c r="M67" s="2">
        <f t="shared" si="11"/>
        <v>205953590.03786173</v>
      </c>
      <c r="P67">
        <v>10</v>
      </c>
      <c r="Q67" s="2">
        <f t="shared" si="15"/>
        <v>3026223.790935379</v>
      </c>
      <c r="R67" s="2">
        <f t="shared" si="13"/>
        <v>36147.730610738086</v>
      </c>
      <c r="S67" s="2">
        <f t="shared" si="14"/>
        <v>150909.36973484905</v>
      </c>
      <c r="T67" s="2"/>
      <c r="U67" s="2">
        <f t="shared" si="16"/>
        <v>114761.63912411097</v>
      </c>
      <c r="V67" s="2">
        <f t="shared" si="12"/>
        <v>2911462.1518112682</v>
      </c>
    </row>
    <row r="68" spans="7:22" x14ac:dyDescent="0.25">
      <c r="G68">
        <v>58</v>
      </c>
      <c r="H68" s="2">
        <f t="shared" si="3"/>
        <v>205953590.03786173</v>
      </c>
      <c r="I68" s="2">
        <f t="shared" si="1"/>
        <v>2607007.4688336924</v>
      </c>
      <c r="J68" s="2">
        <f t="shared" si="4"/>
        <v>4814053.3856471265</v>
      </c>
      <c r="K68" s="2"/>
      <c r="L68" s="2">
        <f t="shared" si="10"/>
        <v>2207045.9168134341</v>
      </c>
      <c r="M68" s="2">
        <f t="shared" si="11"/>
        <v>203746544.1210483</v>
      </c>
      <c r="P68">
        <v>11</v>
      </c>
      <c r="Q68" s="2">
        <f t="shared" si="15"/>
        <v>2911462.1518112682</v>
      </c>
      <c r="R68" s="2">
        <f t="shared" si="13"/>
        <v>34776.922269355353</v>
      </c>
      <c r="S68" s="2">
        <f t="shared" si="14"/>
        <v>150909.36973484905</v>
      </c>
      <c r="T68" s="2"/>
      <c r="U68" s="2">
        <f t="shared" si="16"/>
        <v>116132.44746549369</v>
      </c>
      <c r="V68" s="2">
        <f t="shared" si="12"/>
        <v>2795329.7043457744</v>
      </c>
    </row>
    <row r="69" spans="7:22" x14ac:dyDescent="0.25">
      <c r="G69">
        <v>59</v>
      </c>
      <c r="H69" s="2">
        <f t="shared" si="3"/>
        <v>203746544.1210483</v>
      </c>
      <c r="I69" s="2">
        <f t="shared" si="1"/>
        <v>2579070.1787474463</v>
      </c>
      <c r="J69" s="2">
        <f t="shared" si="4"/>
        <v>4814053.3856471265</v>
      </c>
      <c r="K69" s="2"/>
      <c r="L69" s="2">
        <f t="shared" si="10"/>
        <v>2234983.2068996802</v>
      </c>
      <c r="M69" s="2">
        <f t="shared" si="11"/>
        <v>201511560.91414863</v>
      </c>
      <c r="P69">
        <v>12</v>
      </c>
      <c r="Q69" s="2">
        <f t="shared" si="15"/>
        <v>2795329.7043457744</v>
      </c>
      <c r="R69" s="2">
        <f t="shared" si="13"/>
        <v>33389.73985451788</v>
      </c>
      <c r="S69" s="2">
        <f t="shared" si="14"/>
        <v>150909.36973484905</v>
      </c>
      <c r="T69" s="2">
        <v>1000000</v>
      </c>
      <c r="U69" s="2">
        <f t="shared" si="16"/>
        <v>1117519.6298803312</v>
      </c>
      <c r="V69" s="2">
        <f t="shared" si="12"/>
        <v>1677810.0744654431</v>
      </c>
    </row>
    <row r="70" spans="7:22" x14ac:dyDescent="0.25">
      <c r="G70">
        <v>60</v>
      </c>
      <c r="H70" s="2">
        <f t="shared" si="3"/>
        <v>201511560.91414863</v>
      </c>
      <c r="I70" s="2">
        <f t="shared" si="1"/>
        <v>2550779.2520778305</v>
      </c>
      <c r="J70" s="2">
        <f t="shared" si="4"/>
        <v>4814053.3856471265</v>
      </c>
      <c r="K70" s="2"/>
      <c r="L70" s="2">
        <f t="shared" si="10"/>
        <v>2263274.133569296</v>
      </c>
      <c r="M70" s="2">
        <f t="shared" si="11"/>
        <v>199248286.78057933</v>
      </c>
      <c r="P70">
        <v>13</v>
      </c>
      <c r="Q70" s="2">
        <f t="shared" si="15"/>
        <v>1677810.0744654431</v>
      </c>
      <c r="R70" s="2">
        <f t="shared" si="13"/>
        <v>20041.157157453043</v>
      </c>
      <c r="S70" s="2">
        <f t="shared" si="14"/>
        <v>150909.36973484905</v>
      </c>
      <c r="T70" s="2"/>
      <c r="U70" s="2">
        <f t="shared" si="16"/>
        <v>130868.21257739601</v>
      </c>
      <c r="V70" s="2">
        <f t="shared" si="12"/>
        <v>1546941.8618880471</v>
      </c>
    </row>
    <row r="71" spans="7:22" x14ac:dyDescent="0.25">
      <c r="G71">
        <v>61</v>
      </c>
      <c r="H71" s="2">
        <f t="shared" si="3"/>
        <v>199248286.78057933</v>
      </c>
      <c r="I71" s="2">
        <f t="shared" si="1"/>
        <v>2522130.212412396</v>
      </c>
      <c r="J71" s="2">
        <f t="shared" si="4"/>
        <v>4814053.3856471265</v>
      </c>
      <c r="K71" s="2"/>
      <c r="L71" s="2">
        <f t="shared" si="10"/>
        <v>2291923.1732347305</v>
      </c>
      <c r="M71" s="2">
        <f t="shared" si="11"/>
        <v>196956363.6073446</v>
      </c>
      <c r="P71">
        <v>14</v>
      </c>
      <c r="Q71" s="2">
        <f t="shared" si="15"/>
        <v>1546941.8618880471</v>
      </c>
      <c r="R71" s="2">
        <f t="shared" si="13"/>
        <v>18477.958524250065</v>
      </c>
      <c r="S71" s="2">
        <f t="shared" si="14"/>
        <v>150909.36973484905</v>
      </c>
      <c r="T71" s="2"/>
      <c r="U71" s="2">
        <f t="shared" si="16"/>
        <v>132431.41121059898</v>
      </c>
      <c r="V71" s="2">
        <f t="shared" si="12"/>
        <v>1414510.4506774482</v>
      </c>
    </row>
    <row r="72" spans="7:22" x14ac:dyDescent="0.25">
      <c r="G72">
        <v>62</v>
      </c>
      <c r="H72" s="2">
        <f t="shared" si="3"/>
        <v>196956363.6073446</v>
      </c>
      <c r="I72" s="2">
        <f t="shared" si="1"/>
        <v>2493118.5266752476</v>
      </c>
      <c r="J72" s="2">
        <f t="shared" si="4"/>
        <v>4814053.3856471265</v>
      </c>
      <c r="K72" s="2"/>
      <c r="L72" s="2">
        <f t="shared" si="10"/>
        <v>2320934.8589718789</v>
      </c>
      <c r="M72" s="2">
        <f t="shared" si="11"/>
        <v>194635428.74837273</v>
      </c>
      <c r="P72">
        <v>15</v>
      </c>
      <c r="Q72" s="2">
        <f t="shared" si="15"/>
        <v>1414510.4506774482</v>
      </c>
      <c r="R72" s="2">
        <f t="shared" si="13"/>
        <v>16896.087748143</v>
      </c>
      <c r="S72" s="2">
        <f t="shared" si="14"/>
        <v>150909.36973484905</v>
      </c>
      <c r="T72" s="2"/>
      <c r="U72" s="2">
        <f t="shared" si="16"/>
        <v>134013.28198670605</v>
      </c>
      <c r="V72" s="2">
        <f t="shared" si="12"/>
        <v>1280497.1686907422</v>
      </c>
    </row>
    <row r="73" spans="7:22" x14ac:dyDescent="0.25">
      <c r="G73">
        <v>63</v>
      </c>
      <c r="H73" s="2">
        <f t="shared" si="3"/>
        <v>194635428.74837273</v>
      </c>
      <c r="I73" s="2">
        <f t="shared" si="1"/>
        <v>2463739.6044097813</v>
      </c>
      <c r="J73" s="2">
        <f t="shared" si="4"/>
        <v>4814053.3856471265</v>
      </c>
      <c r="K73" s="2"/>
      <c r="L73" s="2">
        <f t="shared" si="10"/>
        <v>2350313.7812373452</v>
      </c>
      <c r="M73" s="2">
        <f t="shared" si="11"/>
        <v>192285114.9671354</v>
      </c>
      <c r="P73">
        <v>16</v>
      </c>
      <c r="Q73" s="2">
        <f t="shared" si="15"/>
        <v>1280497.1686907422</v>
      </c>
      <c r="R73" s="2">
        <f t="shared" si="13"/>
        <v>15295.321793547488</v>
      </c>
      <c r="S73" s="2">
        <f t="shared" si="14"/>
        <v>150909.36973484905</v>
      </c>
      <c r="T73" s="2"/>
      <c r="U73" s="2">
        <f t="shared" si="16"/>
        <v>135614.04794130157</v>
      </c>
      <c r="V73" s="2">
        <f t="shared" si="12"/>
        <v>1144883.1207494407</v>
      </c>
    </row>
    <row r="74" spans="7:22" x14ac:dyDescent="0.25">
      <c r="G74">
        <v>64</v>
      </c>
      <c r="H74" s="2">
        <f t="shared" si="3"/>
        <v>192285114.9671354</v>
      </c>
      <c r="I74" s="2">
        <f t="shared" si="1"/>
        <v>2433988.7970523466</v>
      </c>
      <c r="J74" s="2">
        <f t="shared" si="4"/>
        <v>4814053.3856471265</v>
      </c>
      <c r="K74" s="2"/>
      <c r="L74" s="2">
        <f t="shared" ref="L74:L90" si="17">J74-I74</f>
        <v>2380064.5885947798</v>
      </c>
      <c r="M74" s="2">
        <f t="shared" si="11"/>
        <v>189905050.37854061</v>
      </c>
      <c r="P74">
        <v>17</v>
      </c>
      <c r="Q74" s="2">
        <f t="shared" si="15"/>
        <v>1144883.1207494407</v>
      </c>
      <c r="R74" s="2">
        <f t="shared" si="13"/>
        <v>13675.434960756884</v>
      </c>
      <c r="S74" s="2">
        <f t="shared" si="14"/>
        <v>150909.36973484905</v>
      </c>
      <c r="T74" s="2"/>
      <c r="U74" s="2">
        <f t="shared" si="16"/>
        <v>137233.93477409217</v>
      </c>
      <c r="V74" s="2">
        <f t="shared" si="12"/>
        <v>1007649.1859753486</v>
      </c>
    </row>
    <row r="75" spans="7:22" x14ac:dyDescent="0.25">
      <c r="G75">
        <v>65</v>
      </c>
      <c r="H75" s="2">
        <f t="shared" si="3"/>
        <v>189905050.37854061</v>
      </c>
      <c r="I75" s="2">
        <f t="shared" ref="I75:I90" si="18">H75*$I$4</f>
        <v>2403861.3971967162</v>
      </c>
      <c r="J75" s="2">
        <f t="shared" si="4"/>
        <v>4814053.3856471265</v>
      </c>
      <c r="K75" s="2"/>
      <c r="L75" s="2">
        <f t="shared" si="17"/>
        <v>2410191.9884504103</v>
      </c>
      <c r="M75" s="2">
        <f t="shared" ref="M75:M91" si="19">H75-L75</f>
        <v>187494858.3900902</v>
      </c>
      <c r="P75">
        <v>18</v>
      </c>
      <c r="Q75" s="2">
        <f t="shared" si="15"/>
        <v>1007649.1859753486</v>
      </c>
      <c r="R75" s="2">
        <f t="shared" si="13"/>
        <v>12036.198854119781</v>
      </c>
      <c r="S75" s="2">
        <f t="shared" si="14"/>
        <v>150909.36973484905</v>
      </c>
      <c r="T75" s="2"/>
      <c r="U75" s="2">
        <f t="shared" si="16"/>
        <v>138873.17088072927</v>
      </c>
      <c r="V75" s="2">
        <f t="shared" si="12"/>
        <v>868776.01509461924</v>
      </c>
    </row>
    <row r="76" spans="7:22" x14ac:dyDescent="0.25">
      <c r="G76">
        <v>66</v>
      </c>
      <c r="H76" s="2">
        <f t="shared" ref="H76:H107" si="20">M75</f>
        <v>187494858.3900902</v>
      </c>
      <c r="I76" s="2">
        <f t="shared" si="18"/>
        <v>2373352.6378492424</v>
      </c>
      <c r="J76" s="2">
        <f t="shared" ref="J76:J91" si="21">$H$7</f>
        <v>4814053.3856471265</v>
      </c>
      <c r="K76" s="2"/>
      <c r="L76" s="2">
        <f t="shared" si="17"/>
        <v>2440700.747797884</v>
      </c>
      <c r="M76" s="2">
        <f t="shared" si="19"/>
        <v>185054157.64229232</v>
      </c>
      <c r="P76">
        <v>19</v>
      </c>
      <c r="Q76" s="2">
        <f t="shared" si="15"/>
        <v>868776.01509461924</v>
      </c>
      <c r="R76" s="2">
        <f t="shared" si="13"/>
        <v>10377.382349837399</v>
      </c>
      <c r="S76" s="2">
        <f t="shared" si="14"/>
        <v>150909.36973484905</v>
      </c>
      <c r="T76" s="2"/>
      <c r="U76" s="2">
        <f t="shared" si="16"/>
        <v>140531.98738501166</v>
      </c>
      <c r="V76" s="2">
        <f t="shared" si="12"/>
        <v>728244.02770960762</v>
      </c>
    </row>
    <row r="77" spans="7:22" x14ac:dyDescent="0.25">
      <c r="G77">
        <v>67</v>
      </c>
      <c r="H77" s="2">
        <f t="shared" si="20"/>
        <v>185054157.64229232</v>
      </c>
      <c r="I77" s="2">
        <f t="shared" si="18"/>
        <v>2342457.6916745859</v>
      </c>
      <c r="J77" s="2">
        <f t="shared" si="21"/>
        <v>4814053.3856471265</v>
      </c>
      <c r="K77" s="2"/>
      <c r="L77" s="2">
        <f t="shared" si="17"/>
        <v>2471595.6939725406</v>
      </c>
      <c r="M77" s="2">
        <f t="shared" si="19"/>
        <v>182582561.94831979</v>
      </c>
      <c r="P77">
        <v>20</v>
      </c>
      <c r="Q77" s="2">
        <f t="shared" si="15"/>
        <v>728244.02770960762</v>
      </c>
      <c r="R77" s="2">
        <f t="shared" si="13"/>
        <v>8698.7515633763323</v>
      </c>
      <c r="S77" s="2">
        <f t="shared" si="14"/>
        <v>150909.36973484905</v>
      </c>
      <c r="T77" s="2"/>
      <c r="U77" s="2">
        <f t="shared" si="16"/>
        <v>142210.61817147271</v>
      </c>
      <c r="V77" s="2">
        <f t="shared" si="12"/>
        <v>586033.40953813493</v>
      </c>
    </row>
    <row r="78" spans="7:22" x14ac:dyDescent="0.25">
      <c r="G78">
        <v>68</v>
      </c>
      <c r="H78" s="2">
        <f t="shared" si="20"/>
        <v>182582561.94831979</v>
      </c>
      <c r="I78" s="2">
        <f t="shared" si="18"/>
        <v>2311171.670231896</v>
      </c>
      <c r="J78" s="2">
        <f t="shared" si="21"/>
        <v>4814053.3856471265</v>
      </c>
      <c r="K78" s="2"/>
      <c r="L78" s="2">
        <f t="shared" si="17"/>
        <v>2502881.7154152305</v>
      </c>
      <c r="M78" s="2">
        <f t="shared" si="19"/>
        <v>180079680.23290455</v>
      </c>
      <c r="P78">
        <v>21</v>
      </c>
      <c r="Q78" s="2">
        <f t="shared" si="15"/>
        <v>586033.40953813493</v>
      </c>
      <c r="R78" s="2">
        <f t="shared" si="13"/>
        <v>7000.0698164920359</v>
      </c>
      <c r="S78" s="2">
        <f t="shared" si="14"/>
        <v>150909.36973484905</v>
      </c>
      <c r="T78" s="2"/>
      <c r="U78" s="2">
        <f t="shared" si="16"/>
        <v>143909.29991835702</v>
      </c>
      <c r="V78" s="2">
        <f t="shared" si="12"/>
        <v>442124.10961977788</v>
      </c>
    </row>
    <row r="79" spans="7:22" x14ac:dyDescent="0.25">
      <c r="G79">
        <v>69</v>
      </c>
      <c r="H79" s="2">
        <f t="shared" si="20"/>
        <v>180079680.23290455</v>
      </c>
      <c r="I79" s="2">
        <f t="shared" si="18"/>
        <v>2279489.6232013232</v>
      </c>
      <c r="J79" s="2">
        <f t="shared" si="21"/>
        <v>4814053.3856471265</v>
      </c>
      <c r="K79" s="2"/>
      <c r="L79" s="2">
        <f t="shared" si="17"/>
        <v>2534563.7624458033</v>
      </c>
      <c r="M79" s="2">
        <f t="shared" si="19"/>
        <v>177545116.47045875</v>
      </c>
      <c r="P79">
        <v>22</v>
      </c>
      <c r="Q79" s="2">
        <f t="shared" si="15"/>
        <v>442124.10961977788</v>
      </c>
      <c r="R79" s="2">
        <f t="shared" si="13"/>
        <v>5281.0976038584176</v>
      </c>
      <c r="S79" s="2">
        <f t="shared" si="14"/>
        <v>150909.36973484905</v>
      </c>
      <c r="T79" s="2"/>
      <c r="U79" s="2">
        <f t="shared" si="16"/>
        <v>145628.27213099063</v>
      </c>
      <c r="V79" s="2">
        <f t="shared" si="12"/>
        <v>296495.83748878725</v>
      </c>
    </row>
    <row r="80" spans="7:22" x14ac:dyDescent="0.25">
      <c r="G80">
        <v>70</v>
      </c>
      <c r="H80" s="2">
        <f t="shared" si="20"/>
        <v>177545116.47045875</v>
      </c>
      <c r="I80" s="2">
        <f t="shared" si="18"/>
        <v>2247406.5376007431</v>
      </c>
      <c r="J80" s="2">
        <f t="shared" si="21"/>
        <v>4814053.3856471265</v>
      </c>
      <c r="K80" s="2"/>
      <c r="L80" s="2">
        <f t="shared" si="17"/>
        <v>2566646.8480463834</v>
      </c>
      <c r="M80" s="2">
        <f t="shared" si="19"/>
        <v>174978469.62241235</v>
      </c>
      <c r="P80">
        <v>23</v>
      </c>
      <c r="Q80" s="2">
        <f t="shared" si="15"/>
        <v>296495.83748878725</v>
      </c>
      <c r="R80" s="2">
        <f t="shared" si="13"/>
        <v>3541.5925592988378</v>
      </c>
      <c r="S80" s="2">
        <f t="shared" si="14"/>
        <v>150909.36973484905</v>
      </c>
      <c r="T80" s="2"/>
      <c r="U80" s="2">
        <f t="shared" si="16"/>
        <v>147367.7771755502</v>
      </c>
      <c r="V80" s="2">
        <f t="shared" si="12"/>
        <v>149128.06031323705</v>
      </c>
    </row>
    <row r="81" spans="7:22" x14ac:dyDescent="0.25">
      <c r="G81">
        <v>71</v>
      </c>
      <c r="H81" s="2">
        <f t="shared" si="20"/>
        <v>174978469.62241235</v>
      </c>
      <c r="I81" s="2">
        <f t="shared" si="18"/>
        <v>2214917.3369925609</v>
      </c>
      <c r="J81" s="2">
        <f t="shared" si="21"/>
        <v>4814053.3856471265</v>
      </c>
      <c r="K81" s="2"/>
      <c r="L81" s="2">
        <f t="shared" si="17"/>
        <v>2599136.0486545656</v>
      </c>
      <c r="M81" s="2">
        <f t="shared" si="19"/>
        <v>172379333.5737578</v>
      </c>
      <c r="P81">
        <v>24</v>
      </c>
      <c r="Q81" s="2">
        <f t="shared" si="15"/>
        <v>149128.06031323705</v>
      </c>
      <c r="R81" s="2">
        <f t="shared" si="13"/>
        <v>1781.3094216137251</v>
      </c>
      <c r="S81" s="2">
        <f t="shared" si="14"/>
        <v>150909.36973484905</v>
      </c>
      <c r="T81" s="2"/>
      <c r="U81" s="2">
        <f t="shared" si="16"/>
        <v>149128.06031323533</v>
      </c>
      <c r="V81" s="1">
        <f t="shared" si="12"/>
        <v>1.7171259969472885E-9</v>
      </c>
    </row>
    <row r="82" spans="7:22" x14ac:dyDescent="0.25">
      <c r="G82">
        <v>72</v>
      </c>
      <c r="H82" s="2">
        <f t="shared" si="20"/>
        <v>172379333.5737578</v>
      </c>
      <c r="I82" s="2">
        <f t="shared" si="18"/>
        <v>2182016.8806804782</v>
      </c>
      <c r="J82" s="2">
        <f t="shared" si="21"/>
        <v>4814053.3856471265</v>
      </c>
      <c r="K82" s="2"/>
      <c r="L82" s="2">
        <f t="shared" si="17"/>
        <v>2632036.5049666483</v>
      </c>
      <c r="M82" s="2">
        <f t="shared" si="19"/>
        <v>169747297.06879115</v>
      </c>
    </row>
    <row r="83" spans="7:22" x14ac:dyDescent="0.25">
      <c r="G83">
        <v>73</v>
      </c>
      <c r="H83" s="2">
        <f t="shared" si="20"/>
        <v>169747297.06879115</v>
      </c>
      <c r="I83" s="2">
        <f t="shared" si="18"/>
        <v>2148699.96289609</v>
      </c>
      <c r="J83" s="2">
        <f t="shared" si="21"/>
        <v>4814053.3856471265</v>
      </c>
      <c r="K83" s="2"/>
      <c r="L83" s="2">
        <f t="shared" si="17"/>
        <v>2665353.4227510365</v>
      </c>
      <c r="M83" s="2">
        <f t="shared" si="19"/>
        <v>167081943.64604011</v>
      </c>
    </row>
    <row r="84" spans="7:22" x14ac:dyDescent="0.25">
      <c r="G84">
        <v>74</v>
      </c>
      <c r="H84" s="2">
        <f t="shared" si="20"/>
        <v>167081943.64604011</v>
      </c>
      <c r="I84" s="2">
        <f t="shared" si="18"/>
        <v>2114961.3119751909</v>
      </c>
      <c r="J84" s="2">
        <f t="shared" si="21"/>
        <v>4814053.3856471265</v>
      </c>
      <c r="K84" s="2"/>
      <c r="L84" s="2">
        <f t="shared" si="17"/>
        <v>2699092.0736719356</v>
      </c>
      <c r="M84" s="2">
        <f t="shared" si="19"/>
        <v>164382851.57236817</v>
      </c>
    </row>
    <row r="85" spans="7:22" x14ac:dyDescent="0.25">
      <c r="G85">
        <v>75</v>
      </c>
      <c r="H85" s="2">
        <f t="shared" si="20"/>
        <v>164382851.57236817</v>
      </c>
      <c r="I85" s="2">
        <f t="shared" si="18"/>
        <v>2080795.5895236474</v>
      </c>
      <c r="J85" s="2">
        <f t="shared" si="21"/>
        <v>4814053.3856471265</v>
      </c>
      <c r="K85" s="2"/>
      <c r="L85" s="2">
        <f t="shared" si="17"/>
        <v>2733257.796123479</v>
      </c>
      <c r="M85" s="2">
        <f t="shared" si="19"/>
        <v>161649593.7762447</v>
      </c>
    </row>
    <row r="86" spans="7:22" x14ac:dyDescent="0.25">
      <c r="G86">
        <v>76</v>
      </c>
      <c r="H86" s="2">
        <f t="shared" si="20"/>
        <v>161649593.7762447</v>
      </c>
      <c r="I86" s="2">
        <f t="shared" si="18"/>
        <v>2046197.3895727175</v>
      </c>
      <c r="J86" s="2">
        <f t="shared" si="21"/>
        <v>4814053.3856471265</v>
      </c>
      <c r="K86" s="2"/>
      <c r="L86" s="2">
        <f t="shared" si="17"/>
        <v>2767855.9960744092</v>
      </c>
      <c r="M86" s="2">
        <f t="shared" si="19"/>
        <v>158881737.78017029</v>
      </c>
    </row>
    <row r="87" spans="7:22" x14ac:dyDescent="0.25">
      <c r="G87">
        <v>77</v>
      </c>
      <c r="H87" s="2">
        <f t="shared" si="20"/>
        <v>158881737.78017029</v>
      </c>
      <c r="I87" s="2">
        <f t="shared" si="18"/>
        <v>2011161.2377236742</v>
      </c>
      <c r="J87" s="2">
        <f t="shared" si="21"/>
        <v>4814053.3856471265</v>
      </c>
      <c r="K87" s="2"/>
      <c r="L87" s="2">
        <f t="shared" si="17"/>
        <v>2802892.1479234523</v>
      </c>
      <c r="M87" s="2">
        <f t="shared" si="19"/>
        <v>156078845.63224685</v>
      </c>
    </row>
    <row r="88" spans="7:22" x14ac:dyDescent="0.25">
      <c r="G88">
        <v>78</v>
      </c>
      <c r="H88" s="2">
        <f t="shared" si="20"/>
        <v>156078845.63224685</v>
      </c>
      <c r="I88" s="2">
        <f t="shared" si="18"/>
        <v>1975681.5902816055</v>
      </c>
      <c r="J88" s="2">
        <f t="shared" si="21"/>
        <v>4814053.3856471265</v>
      </c>
      <c r="K88" s="2"/>
      <c r="L88" s="2">
        <f t="shared" si="17"/>
        <v>2838371.7953655208</v>
      </c>
      <c r="M88" s="2">
        <f t="shared" si="19"/>
        <v>153240473.83688134</v>
      </c>
    </row>
    <row r="89" spans="7:22" x14ac:dyDescent="0.25">
      <c r="G89">
        <v>79</v>
      </c>
      <c r="H89" s="2">
        <f t="shared" si="20"/>
        <v>153240473.83688134</v>
      </c>
      <c r="I89" s="2">
        <f t="shared" si="18"/>
        <v>1939752.8333782444</v>
      </c>
      <c r="J89" s="2">
        <f t="shared" si="21"/>
        <v>4814053.3856471265</v>
      </c>
      <c r="K89" s="2"/>
      <c r="L89" s="2">
        <f t="shared" si="17"/>
        <v>2874300.5522688823</v>
      </c>
      <c r="M89" s="2">
        <f t="shared" si="19"/>
        <v>150366173.28461245</v>
      </c>
    </row>
    <row r="90" spans="7:22" x14ac:dyDescent="0.25">
      <c r="G90">
        <v>80</v>
      </c>
      <c r="H90" s="2">
        <f t="shared" si="20"/>
        <v>150366173.28461245</v>
      </c>
      <c r="I90" s="2">
        <f t="shared" si="18"/>
        <v>1903369.2820837016</v>
      </c>
      <c r="J90" s="2">
        <f t="shared" si="21"/>
        <v>4814053.3856471265</v>
      </c>
      <c r="K90" s="2"/>
      <c r="L90" s="2">
        <f t="shared" si="17"/>
        <v>2910684.1035634251</v>
      </c>
      <c r="M90" s="2">
        <f t="shared" si="19"/>
        <v>147455489.18104902</v>
      </c>
    </row>
    <row r="91" spans="7:22" x14ac:dyDescent="0.25">
      <c r="G91">
        <v>81</v>
      </c>
      <c r="H91" s="2">
        <f t="shared" si="20"/>
        <v>147455489.18104902</v>
      </c>
      <c r="I91" s="2">
        <f>H91*$I$4</f>
        <v>1866525.1795069494</v>
      </c>
      <c r="J91" s="2">
        <f t="shared" si="21"/>
        <v>4814053.3856471265</v>
      </c>
      <c r="K91" s="2">
        <v>10000000</v>
      </c>
      <c r="L91" s="2">
        <f>J91-I91+K91</f>
        <v>12947528.206140177</v>
      </c>
      <c r="M91" s="2">
        <f t="shared" si="19"/>
        <v>134507960.97490883</v>
      </c>
    </row>
    <row r="92" spans="7:22" x14ac:dyDescent="0.25">
      <c r="G92">
        <v>82</v>
      </c>
      <c r="H92" s="2">
        <f t="shared" si="20"/>
        <v>134507960.97490883</v>
      </c>
      <c r="I92" s="2">
        <f>H92*$M$6</f>
        <v>1361896.393122521</v>
      </c>
      <c r="J92" s="2">
        <f>$L$7</f>
        <v>4238942.1717355885</v>
      </c>
      <c r="K92" s="2"/>
      <c r="L92" s="2">
        <f t="shared" ref="L92:L129" si="22">J92-I92+K92</f>
        <v>2877045.7786130672</v>
      </c>
      <c r="M92" s="2">
        <f>H92-L92-I92</f>
        <v>130269018.80317324</v>
      </c>
    </row>
    <row r="93" spans="7:22" x14ac:dyDescent="0.25">
      <c r="G93">
        <v>83</v>
      </c>
      <c r="H93" s="2">
        <f t="shared" si="20"/>
        <v>130269018.80317324</v>
      </c>
      <c r="I93" s="2">
        <f t="shared" ref="I93:I129" si="23">H93*$M$6</f>
        <v>1318977.0000063132</v>
      </c>
      <c r="J93" s="2">
        <f t="shared" ref="J93:J129" si="24">$L$7</f>
        <v>4238942.1717355885</v>
      </c>
      <c r="K93" s="2"/>
      <c r="L93" s="2">
        <f t="shared" si="22"/>
        <v>2919965.171729275</v>
      </c>
      <c r="M93" s="2">
        <f t="shared" ref="M93:M129" si="25">H93-L93</f>
        <v>127349053.63144396</v>
      </c>
    </row>
    <row r="94" spans="7:22" x14ac:dyDescent="0.25">
      <c r="G94">
        <v>84</v>
      </c>
      <c r="H94" s="2">
        <f t="shared" si="20"/>
        <v>127349053.63144396</v>
      </c>
      <c r="I94" s="2">
        <f t="shared" si="23"/>
        <v>1289412.281259567</v>
      </c>
      <c r="J94" s="2">
        <f t="shared" si="24"/>
        <v>4238942.1717355885</v>
      </c>
      <c r="K94" s="2"/>
      <c r="L94" s="2">
        <f t="shared" si="22"/>
        <v>2949529.8904760215</v>
      </c>
      <c r="M94" s="2">
        <f t="shared" si="25"/>
        <v>124399523.74096794</v>
      </c>
    </row>
    <row r="95" spans="7:22" x14ac:dyDescent="0.25">
      <c r="G95">
        <v>85</v>
      </c>
      <c r="H95" s="2">
        <f t="shared" si="20"/>
        <v>124399523.74096794</v>
      </c>
      <c r="I95" s="2">
        <f t="shared" si="23"/>
        <v>1259548.2190127557</v>
      </c>
      <c r="J95" s="2">
        <f t="shared" si="24"/>
        <v>4238942.1717355885</v>
      </c>
      <c r="K95" s="2"/>
      <c r="L95" s="2">
        <f t="shared" si="22"/>
        <v>2979393.9527228326</v>
      </c>
      <c r="M95" s="2">
        <f t="shared" si="25"/>
        <v>121420129.78824511</v>
      </c>
    </row>
    <row r="96" spans="7:22" x14ac:dyDescent="0.25">
      <c r="G96">
        <v>86</v>
      </c>
      <c r="H96" s="2">
        <f t="shared" si="20"/>
        <v>121420129.78824511</v>
      </c>
      <c r="I96" s="2">
        <f t="shared" si="23"/>
        <v>1229381.7824056228</v>
      </c>
      <c r="J96" s="2">
        <f t="shared" si="24"/>
        <v>4238942.1717355885</v>
      </c>
      <c r="K96" s="2"/>
      <c r="L96" s="2">
        <f t="shared" si="22"/>
        <v>3009560.3893299657</v>
      </c>
      <c r="M96" s="2">
        <f t="shared" si="25"/>
        <v>118410569.39891514</v>
      </c>
    </row>
    <row r="97" spans="7:13" x14ac:dyDescent="0.25">
      <c r="G97">
        <v>87</v>
      </c>
      <c r="H97" s="2">
        <f t="shared" si="20"/>
        <v>118410569.39891514</v>
      </c>
      <c r="I97" s="2">
        <f t="shared" si="23"/>
        <v>1198909.9098903784</v>
      </c>
      <c r="J97" s="2">
        <f t="shared" si="24"/>
        <v>4238942.1717355885</v>
      </c>
      <c r="K97" s="2"/>
      <c r="L97" s="2">
        <f t="shared" si="22"/>
        <v>3040032.2618452101</v>
      </c>
      <c r="M97" s="2">
        <f t="shared" si="25"/>
        <v>115370537.13706993</v>
      </c>
    </row>
    <row r="98" spans="7:13" x14ac:dyDescent="0.25">
      <c r="G98">
        <v>88</v>
      </c>
      <c r="H98" s="2">
        <f t="shared" si="20"/>
        <v>115370537.13706993</v>
      </c>
      <c r="I98" s="2">
        <f t="shared" si="23"/>
        <v>1168129.508920986</v>
      </c>
      <c r="J98" s="2">
        <f t="shared" si="24"/>
        <v>4238942.1717355885</v>
      </c>
      <c r="K98" s="2"/>
      <c r="L98" s="2">
        <f t="shared" si="22"/>
        <v>3070812.6628146023</v>
      </c>
      <c r="M98" s="2">
        <f t="shared" si="25"/>
        <v>112299724.47425532</v>
      </c>
    </row>
    <row r="99" spans="7:13" x14ac:dyDescent="0.25">
      <c r="G99">
        <v>89</v>
      </c>
      <c r="H99" s="2">
        <f t="shared" si="20"/>
        <v>112299724.47425532</v>
      </c>
      <c r="I99" s="2">
        <f t="shared" si="23"/>
        <v>1137037.4556393046</v>
      </c>
      <c r="J99" s="2">
        <f t="shared" si="24"/>
        <v>4238942.1717355885</v>
      </c>
      <c r="K99" s="2"/>
      <c r="L99" s="2">
        <f t="shared" si="22"/>
        <v>3101904.7160962839</v>
      </c>
      <c r="M99" s="2">
        <f t="shared" si="25"/>
        <v>109197819.75815904</v>
      </c>
    </row>
    <row r="100" spans="7:13" x14ac:dyDescent="0.25">
      <c r="G100">
        <v>90</v>
      </c>
      <c r="H100" s="2">
        <f t="shared" si="20"/>
        <v>109197819.75815904</v>
      </c>
      <c r="I100" s="2">
        <f t="shared" si="23"/>
        <v>1105630.5945580539</v>
      </c>
      <c r="J100" s="2">
        <f t="shared" si="24"/>
        <v>4238942.1717355885</v>
      </c>
      <c r="K100" s="2"/>
      <c r="L100" s="2">
        <f t="shared" si="22"/>
        <v>3133311.5771775348</v>
      </c>
      <c r="M100" s="2">
        <f t="shared" si="25"/>
        <v>106064508.1809815</v>
      </c>
    </row>
    <row r="101" spans="7:13" x14ac:dyDescent="0.25">
      <c r="G101">
        <v>91</v>
      </c>
      <c r="H101" s="2">
        <f t="shared" si="20"/>
        <v>106064508.1809815</v>
      </c>
      <c r="I101" s="2">
        <f t="shared" si="23"/>
        <v>1073905.7382405668</v>
      </c>
      <c r="J101" s="2">
        <f t="shared" si="24"/>
        <v>4238942.1717355885</v>
      </c>
      <c r="K101" s="2"/>
      <c r="L101" s="2">
        <f t="shared" si="22"/>
        <v>3165036.4334950214</v>
      </c>
      <c r="M101" s="2">
        <f t="shared" si="25"/>
        <v>102899471.74748649</v>
      </c>
    </row>
    <row r="102" spans="7:13" x14ac:dyDescent="0.25">
      <c r="G102">
        <v>92</v>
      </c>
      <c r="H102" s="2">
        <f t="shared" si="20"/>
        <v>102899471.74748649</v>
      </c>
      <c r="I102" s="2">
        <f t="shared" si="23"/>
        <v>1041859.6669773031</v>
      </c>
      <c r="J102" s="2">
        <f t="shared" si="24"/>
        <v>4238942.1717355885</v>
      </c>
      <c r="K102" s="2"/>
      <c r="L102" s="2">
        <f t="shared" si="22"/>
        <v>3197082.5047582854</v>
      </c>
      <c r="M102" s="2">
        <f t="shared" si="25"/>
        <v>99702389.242728204</v>
      </c>
    </row>
    <row r="103" spans="7:13" x14ac:dyDescent="0.25">
      <c r="G103">
        <v>93</v>
      </c>
      <c r="H103" s="2">
        <f t="shared" si="20"/>
        <v>99702389.242728204</v>
      </c>
      <c r="I103" s="2">
        <f t="shared" si="23"/>
        <v>1009489.1284590838</v>
      </c>
      <c r="J103" s="2">
        <f t="shared" si="24"/>
        <v>4238942.1717355885</v>
      </c>
      <c r="K103" s="2"/>
      <c r="L103" s="2">
        <f t="shared" si="22"/>
        <v>3229453.0432765046</v>
      </c>
      <c r="M103" s="2">
        <f t="shared" si="25"/>
        <v>96472936.1994517</v>
      </c>
    </row>
    <row r="104" spans="7:13" x14ac:dyDescent="0.25">
      <c r="G104">
        <v>94</v>
      </c>
      <c r="H104" s="2">
        <f t="shared" si="20"/>
        <v>96472936.1994517</v>
      </c>
      <c r="I104" s="2">
        <f t="shared" si="23"/>
        <v>976790.83744702057</v>
      </c>
      <c r="J104" s="2">
        <f t="shared" si="24"/>
        <v>4238942.1717355885</v>
      </c>
      <c r="K104" s="2"/>
      <c r="L104" s="2">
        <f t="shared" si="22"/>
        <v>3262151.3342885678</v>
      </c>
      <c r="M104" s="2">
        <f t="shared" si="25"/>
        <v>93210784.865163133</v>
      </c>
    </row>
    <row r="105" spans="7:13" x14ac:dyDescent="0.25">
      <c r="G105">
        <v>95</v>
      </c>
      <c r="H105" s="2">
        <f t="shared" si="20"/>
        <v>93210784.865163133</v>
      </c>
      <c r="I105" s="2">
        <f t="shared" si="23"/>
        <v>943761.47543910076</v>
      </c>
      <c r="J105" s="2">
        <f t="shared" si="24"/>
        <v>4238942.1717355885</v>
      </c>
      <c r="K105" s="2"/>
      <c r="L105" s="2">
        <f t="shared" si="22"/>
        <v>3295180.6962964879</v>
      </c>
      <c r="M105" s="2">
        <f t="shared" si="25"/>
        <v>89915604.168866649</v>
      </c>
    </row>
    <row r="106" spans="7:13" x14ac:dyDescent="0.25">
      <c r="G106">
        <v>96</v>
      </c>
      <c r="H106" s="2">
        <f t="shared" si="20"/>
        <v>89915604.168866649</v>
      </c>
      <c r="I106" s="2">
        <f t="shared" si="23"/>
        <v>910397.69033339771</v>
      </c>
      <c r="J106" s="2">
        <f t="shared" si="24"/>
        <v>4238942.1717355885</v>
      </c>
      <c r="K106" s="2"/>
      <c r="L106" s="2">
        <f t="shared" si="22"/>
        <v>3328544.4814021909</v>
      </c>
      <c r="M106" s="2">
        <f t="shared" si="25"/>
        <v>86587059.687464461</v>
      </c>
    </row>
    <row r="107" spans="7:13" x14ac:dyDescent="0.25">
      <c r="G107">
        <v>97</v>
      </c>
      <c r="H107" s="2">
        <f t="shared" si="20"/>
        <v>86587059.687464461</v>
      </c>
      <c r="I107" s="2">
        <f t="shared" si="23"/>
        <v>876696.09608787112</v>
      </c>
      <c r="J107" s="2">
        <f t="shared" si="24"/>
        <v>4238942.1717355885</v>
      </c>
      <c r="K107" s="2"/>
      <c r="L107" s="2">
        <f t="shared" si="22"/>
        <v>3362246.0756477173</v>
      </c>
      <c r="M107" s="2">
        <f t="shared" si="25"/>
        <v>83224813.611816749</v>
      </c>
    </row>
    <row r="108" spans="7:13" x14ac:dyDescent="0.25">
      <c r="G108">
        <v>98</v>
      </c>
      <c r="H108" s="2">
        <f t="shared" ref="H108:H129" si="26">M107</f>
        <v>83224813.611816749</v>
      </c>
      <c r="I108" s="2">
        <f t="shared" si="23"/>
        <v>842653.27237672184</v>
      </c>
      <c r="J108" s="2">
        <f t="shared" si="24"/>
        <v>4238942.1717355885</v>
      </c>
      <c r="K108" s="2"/>
      <c r="L108" s="2">
        <f t="shared" si="22"/>
        <v>3396288.8993588667</v>
      </c>
      <c r="M108" s="2">
        <f t="shared" si="25"/>
        <v>79828524.71245788</v>
      </c>
    </row>
    <row r="109" spans="7:13" x14ac:dyDescent="0.25">
      <c r="G109">
        <v>99</v>
      </c>
      <c r="H109" s="2">
        <f t="shared" si="26"/>
        <v>79828524.71245788</v>
      </c>
      <c r="I109" s="2">
        <f t="shared" si="23"/>
        <v>808265.76424326852</v>
      </c>
      <c r="J109" s="2">
        <f t="shared" si="24"/>
        <v>4238942.1717355885</v>
      </c>
      <c r="K109" s="2"/>
      <c r="L109" s="2">
        <f t="shared" si="22"/>
        <v>3430676.4074923201</v>
      </c>
      <c r="M109" s="2">
        <f t="shared" si="25"/>
        <v>76397848.304965556</v>
      </c>
    </row>
    <row r="110" spans="7:13" x14ac:dyDescent="0.25">
      <c r="G110">
        <v>100</v>
      </c>
      <c r="H110" s="2">
        <f t="shared" si="26"/>
        <v>76397848.304965556</v>
      </c>
      <c r="I110" s="2">
        <f t="shared" si="23"/>
        <v>773530.08174930897</v>
      </c>
      <c r="J110" s="2">
        <f t="shared" si="24"/>
        <v>4238942.1717355885</v>
      </c>
      <c r="K110" s="2"/>
      <c r="L110" s="2">
        <f t="shared" si="22"/>
        <v>3465412.0899862796</v>
      </c>
      <c r="M110" s="2">
        <f t="shared" si="25"/>
        <v>72932436.214979276</v>
      </c>
    </row>
    <row r="111" spans="7:13" x14ac:dyDescent="0.25">
      <c r="G111">
        <v>101</v>
      </c>
      <c r="H111" s="2">
        <f t="shared" si="26"/>
        <v>72932436.214979276</v>
      </c>
      <c r="I111" s="2">
        <f t="shared" si="23"/>
        <v>738442.69962093164</v>
      </c>
      <c r="J111" s="2">
        <f t="shared" si="24"/>
        <v>4238942.1717355885</v>
      </c>
      <c r="K111" s="2"/>
      <c r="L111" s="2">
        <f t="shared" si="22"/>
        <v>3500499.4721146571</v>
      </c>
      <c r="M111" s="2">
        <f t="shared" si="25"/>
        <v>69431936.742864624</v>
      </c>
    </row>
    <row r="112" spans="7:13" x14ac:dyDescent="0.25">
      <c r="G112">
        <v>102</v>
      </c>
      <c r="H112" s="2">
        <f t="shared" si="26"/>
        <v>69431936.742864624</v>
      </c>
      <c r="I112" s="2">
        <f t="shared" si="23"/>
        <v>703000.05689074018</v>
      </c>
      <c r="J112" s="2">
        <f t="shared" si="24"/>
        <v>4238942.1717355885</v>
      </c>
      <c r="K112" s="2"/>
      <c r="L112" s="2">
        <f t="shared" si="22"/>
        <v>3535942.1148448484</v>
      </c>
      <c r="M112" s="2">
        <f t="shared" si="25"/>
        <v>65895994.628019772</v>
      </c>
    </row>
    <row r="113" spans="7:13" x14ac:dyDescent="0.25">
      <c r="G113">
        <v>103</v>
      </c>
      <c r="H113" s="2">
        <f t="shared" si="26"/>
        <v>65895994.628019772</v>
      </c>
      <c r="I113" s="2">
        <f t="shared" si="23"/>
        <v>667198.5565364561</v>
      </c>
      <c r="J113" s="2">
        <f t="shared" si="24"/>
        <v>4238942.1717355885</v>
      </c>
      <c r="K113" s="2"/>
      <c r="L113" s="2">
        <f t="shared" si="22"/>
        <v>3571743.6151991324</v>
      </c>
      <c r="M113" s="2">
        <f t="shared" si="25"/>
        <v>62324251.012820639</v>
      </c>
    </row>
    <row r="114" spans="7:13" x14ac:dyDescent="0.25">
      <c r="G114">
        <v>104</v>
      </c>
      <c r="H114" s="2">
        <f t="shared" si="26"/>
        <v>62324251.012820639</v>
      </c>
      <c r="I114" s="2">
        <f t="shared" si="23"/>
        <v>631034.56511586288</v>
      </c>
      <c r="J114" s="2">
        <f t="shared" si="24"/>
        <v>4238942.1717355885</v>
      </c>
      <c r="K114" s="2"/>
      <c r="L114" s="2">
        <f t="shared" si="22"/>
        <v>3607907.6066197255</v>
      </c>
      <c r="M114" s="2">
        <f t="shared" si="25"/>
        <v>58716343.406200916</v>
      </c>
    </row>
    <row r="115" spans="7:13" x14ac:dyDescent="0.25">
      <c r="G115">
        <v>105</v>
      </c>
      <c r="H115" s="2">
        <f t="shared" si="26"/>
        <v>58716343.406200916</v>
      </c>
      <c r="I115" s="2">
        <f t="shared" si="23"/>
        <v>594504.4123980524</v>
      </c>
      <c r="J115" s="2">
        <f t="shared" si="24"/>
        <v>4238942.1717355885</v>
      </c>
      <c r="K115" s="2"/>
      <c r="L115" s="2">
        <f t="shared" si="22"/>
        <v>3644437.7593375361</v>
      </c>
      <c r="M115" s="2">
        <f t="shared" si="25"/>
        <v>55071905.646863379</v>
      </c>
    </row>
    <row r="116" spans="7:13" x14ac:dyDescent="0.25">
      <c r="G116">
        <v>106</v>
      </c>
      <c r="H116" s="2">
        <f t="shared" si="26"/>
        <v>55071905.646863379</v>
      </c>
      <c r="I116" s="2">
        <f t="shared" si="23"/>
        <v>557604.39099093899</v>
      </c>
      <c r="J116" s="2">
        <f t="shared" si="24"/>
        <v>4238942.1717355885</v>
      </c>
      <c r="K116" s="2"/>
      <c r="L116" s="2">
        <f t="shared" si="22"/>
        <v>3681337.7807446495</v>
      </c>
      <c r="M116" s="2">
        <f t="shared" si="25"/>
        <v>51390567.866118729</v>
      </c>
    </row>
    <row r="117" spans="7:13" x14ac:dyDescent="0.25">
      <c r="G117">
        <v>107</v>
      </c>
      <c r="H117" s="2">
        <f t="shared" si="26"/>
        <v>51390567.866118729</v>
      </c>
      <c r="I117" s="2">
        <f t="shared" si="23"/>
        <v>520330.75596500147</v>
      </c>
      <c r="J117" s="2">
        <f t="shared" si="24"/>
        <v>4238942.1717355885</v>
      </c>
      <c r="K117" s="2"/>
      <c r="L117" s="2">
        <f t="shared" si="22"/>
        <v>3718611.415770587</v>
      </c>
      <c r="M117" s="2">
        <f t="shared" si="25"/>
        <v>47671956.450348139</v>
      </c>
    </row>
    <row r="118" spans="7:13" x14ac:dyDescent="0.25">
      <c r="G118">
        <v>108</v>
      </c>
      <c r="H118" s="2">
        <f t="shared" si="26"/>
        <v>47671956.450348139</v>
      </c>
      <c r="I118" s="2">
        <f t="shared" si="23"/>
        <v>482679.72447321558</v>
      </c>
      <c r="J118" s="2">
        <f t="shared" si="24"/>
        <v>4238942.1717355885</v>
      </c>
      <c r="K118" s="2"/>
      <c r="L118" s="2">
        <f t="shared" si="22"/>
        <v>3756262.4472623728</v>
      </c>
      <c r="M118" s="2">
        <f t="shared" si="25"/>
        <v>43915694.003085762</v>
      </c>
    </row>
    <row r="119" spans="7:13" x14ac:dyDescent="0.25">
      <c r="G119">
        <v>109</v>
      </c>
      <c r="H119" s="2">
        <f t="shared" si="26"/>
        <v>43915694.003085762</v>
      </c>
      <c r="I119" s="2">
        <f t="shared" si="23"/>
        <v>444647.47536713869</v>
      </c>
      <c r="J119" s="2">
        <f t="shared" si="24"/>
        <v>4238942.1717355885</v>
      </c>
      <c r="K119" s="2"/>
      <c r="L119" s="2">
        <f t="shared" si="22"/>
        <v>3794294.6963684498</v>
      </c>
      <c r="M119" s="2">
        <f t="shared" si="25"/>
        <v>40121399.306717314</v>
      </c>
    </row>
    <row r="120" spans="7:13" x14ac:dyDescent="0.25">
      <c r="G120">
        <v>110</v>
      </c>
      <c r="H120" s="2">
        <f t="shared" si="26"/>
        <v>40121399.306717314</v>
      </c>
      <c r="I120" s="2">
        <f t="shared" si="23"/>
        <v>406230.14880910661</v>
      </c>
      <c r="J120" s="2">
        <f t="shared" si="24"/>
        <v>4238942.1717355885</v>
      </c>
      <c r="K120" s="2"/>
      <c r="L120" s="2">
        <f t="shared" si="22"/>
        <v>3832712.0229264819</v>
      </c>
      <c r="M120" s="2">
        <f t="shared" si="25"/>
        <v>36288687.283790834</v>
      </c>
    </row>
    <row r="121" spans="7:13" x14ac:dyDescent="0.25">
      <c r="G121">
        <v>111</v>
      </c>
      <c r="H121" s="2">
        <f t="shared" si="26"/>
        <v>36288687.283790834</v>
      </c>
      <c r="I121" s="2">
        <f t="shared" si="23"/>
        <v>367423.84588050458</v>
      </c>
      <c r="J121" s="2">
        <f t="shared" si="24"/>
        <v>4238942.1717355885</v>
      </c>
      <c r="K121" s="2"/>
      <c r="L121" s="2">
        <f t="shared" si="22"/>
        <v>3871518.3258550838</v>
      </c>
      <c r="M121" s="2">
        <f t="shared" si="25"/>
        <v>32417168.95793575</v>
      </c>
    </row>
    <row r="122" spans="7:13" x14ac:dyDescent="0.25">
      <c r="G122">
        <v>112</v>
      </c>
      <c r="H122" s="2">
        <f t="shared" si="26"/>
        <v>32417168.95793575</v>
      </c>
      <c r="I122" s="2">
        <f t="shared" si="23"/>
        <v>328224.62818607135</v>
      </c>
      <c r="J122" s="2">
        <f t="shared" si="24"/>
        <v>4238942.1717355885</v>
      </c>
      <c r="K122" s="2"/>
      <c r="L122" s="2">
        <f t="shared" si="22"/>
        <v>3910717.5435495172</v>
      </c>
      <c r="M122" s="2">
        <f t="shared" si="25"/>
        <v>28506451.414386235</v>
      </c>
    </row>
    <row r="123" spans="7:13" x14ac:dyDescent="0.25">
      <c r="G123">
        <v>113</v>
      </c>
      <c r="H123" s="2">
        <f t="shared" si="26"/>
        <v>28506451.414386235</v>
      </c>
      <c r="I123" s="2">
        <f t="shared" si="23"/>
        <v>288628.51745419757</v>
      </c>
      <c r="J123" s="2">
        <f t="shared" si="24"/>
        <v>4238942.1717355885</v>
      </c>
      <c r="K123" s="2"/>
      <c r="L123" s="2">
        <f t="shared" si="22"/>
        <v>3950313.6542813908</v>
      </c>
      <c r="M123" s="2">
        <f t="shared" si="25"/>
        <v>24556137.760104842</v>
      </c>
    </row>
    <row r="124" spans="7:13" x14ac:dyDescent="0.25">
      <c r="G124">
        <v>114</v>
      </c>
      <c r="H124" s="2">
        <f t="shared" si="26"/>
        <v>24556137.760104842</v>
      </c>
      <c r="I124" s="2">
        <f t="shared" si="23"/>
        <v>248631.49513317639</v>
      </c>
      <c r="J124" s="2">
        <f t="shared" si="24"/>
        <v>4238942.1717355885</v>
      </c>
      <c r="K124" s="2"/>
      <c r="L124" s="2">
        <f t="shared" si="22"/>
        <v>3990310.676602412</v>
      </c>
      <c r="M124" s="2">
        <f t="shared" si="25"/>
        <v>20565827.08350243</v>
      </c>
    </row>
    <row r="125" spans="7:13" x14ac:dyDescent="0.25">
      <c r="G125">
        <v>115</v>
      </c>
      <c r="H125" s="2">
        <f t="shared" si="26"/>
        <v>20565827.08350243</v>
      </c>
      <c r="I125" s="2">
        <f t="shared" si="23"/>
        <v>208229.50198336688</v>
      </c>
      <c r="J125" s="2">
        <f t="shared" si="24"/>
        <v>4238942.1717355885</v>
      </c>
      <c r="K125" s="2"/>
      <c r="L125" s="2">
        <f t="shared" si="22"/>
        <v>4030712.6697522216</v>
      </c>
      <c r="M125" s="2">
        <f t="shared" si="25"/>
        <v>16535114.413750209</v>
      </c>
    </row>
    <row r="126" spans="7:13" x14ac:dyDescent="0.25">
      <c r="G126">
        <v>116</v>
      </c>
      <c r="H126" s="2">
        <f t="shared" si="26"/>
        <v>16535114.413750209</v>
      </c>
      <c r="I126" s="2">
        <f t="shared" si="23"/>
        <v>167418.43766522742</v>
      </c>
      <c r="J126" s="2">
        <f t="shared" si="24"/>
        <v>4238942.1717355885</v>
      </c>
      <c r="K126" s="2"/>
      <c r="L126" s="2">
        <f t="shared" si="22"/>
        <v>4071523.7340703611</v>
      </c>
      <c r="M126" s="2">
        <f t="shared" si="25"/>
        <v>12463590.679679848</v>
      </c>
    </row>
    <row r="127" spans="7:13" x14ac:dyDescent="0.25">
      <c r="G127">
        <v>117</v>
      </c>
      <c r="H127" s="2">
        <f t="shared" si="26"/>
        <v>12463590.679679848</v>
      </c>
      <c r="I127" s="2">
        <f t="shared" si="23"/>
        <v>126194.16032317829</v>
      </c>
      <c r="J127" s="2">
        <f t="shared" si="24"/>
        <v>4238942.1717355885</v>
      </c>
      <c r="K127" s="2"/>
      <c r="L127" s="2">
        <f t="shared" si="22"/>
        <v>4112748.0114124101</v>
      </c>
      <c r="M127" s="2">
        <f t="shared" si="25"/>
        <v>8350842.6682674382</v>
      </c>
    </row>
    <row r="128" spans="7:13" x14ac:dyDescent="0.25">
      <c r="G128">
        <v>118</v>
      </c>
      <c r="H128" s="2">
        <f t="shared" si="26"/>
        <v>8350842.6682674382</v>
      </c>
      <c r="I128" s="2">
        <f t="shared" si="23"/>
        <v>84552.486165250797</v>
      </c>
      <c r="J128" s="2">
        <f t="shared" si="24"/>
        <v>4238942.1717355885</v>
      </c>
      <c r="K128" s="2"/>
      <c r="L128" s="2">
        <f t="shared" si="22"/>
        <v>4154389.6855703378</v>
      </c>
      <c r="M128" s="2">
        <f t="shared" si="25"/>
        <v>4196452.9826971004</v>
      </c>
    </row>
    <row r="129" spans="7:13" x14ac:dyDescent="0.25">
      <c r="G129">
        <v>119</v>
      </c>
      <c r="H129" s="2">
        <f t="shared" si="26"/>
        <v>4196452.9826971004</v>
      </c>
      <c r="I129" s="2">
        <f t="shared" si="23"/>
        <v>42489.189038480254</v>
      </c>
      <c r="J129" s="2">
        <f t="shared" si="24"/>
        <v>4238942.1717355885</v>
      </c>
      <c r="K129" s="2"/>
      <c r="L129" s="2">
        <f t="shared" si="22"/>
        <v>4196452.9826971078</v>
      </c>
      <c r="M129" s="2">
        <f t="shared" si="25"/>
        <v>-7.4505805969238281E-9</v>
      </c>
    </row>
    <row r="130" spans="7:13" x14ac:dyDescent="0.25">
      <c r="H130" s="5"/>
      <c r="I130" s="10"/>
      <c r="J130" s="6"/>
      <c r="K130" s="6"/>
      <c r="L130" s="10"/>
    </row>
  </sheetData>
  <mergeCells count="4">
    <mergeCell ref="B12:D12"/>
    <mergeCell ref="B13:D13"/>
    <mergeCell ref="R2:S2"/>
    <mergeCell ref="P2:Q2"/>
  </mergeCells>
  <pageMargins left="0.7" right="0.7" top="0.75" bottom="0.75" header="0.3" footer="0.3"/>
  <ignoredErrors>
    <ignoredError sqref="M9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Taller 1</vt:lpstr>
      <vt:lpstr>Taller 2</vt:lpstr>
      <vt:lpstr>Taller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</cp:lastModifiedBy>
  <dcterms:created xsi:type="dcterms:W3CDTF">2015-06-05T18:19:34Z</dcterms:created>
  <dcterms:modified xsi:type="dcterms:W3CDTF">2022-12-02T13:49:03Z</dcterms:modified>
</cp:coreProperties>
</file>