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2\Operación Bursátil e Instituciones Financieras\"/>
    </mc:Choice>
  </mc:AlternateContent>
  <xr:revisionPtr revIDLastSave="0" documentId="13_ncr:1_{217B2830-30A6-46A4-B783-75FB422F7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 Flujos Intermed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0" i="2" l="1"/>
  <c r="M72" i="2" s="1"/>
  <c r="N68" i="2"/>
  <c r="E40" i="2"/>
  <c r="C41" i="2"/>
  <c r="J31" i="2"/>
  <c r="I25" i="2"/>
  <c r="M21" i="2"/>
  <c r="M23" i="2"/>
  <c r="J6" i="2"/>
  <c r="K16" i="2"/>
  <c r="K15" i="2"/>
  <c r="E24" i="2"/>
  <c r="E22" i="2"/>
  <c r="E23" i="2"/>
  <c r="H72" i="2"/>
  <c r="H71" i="2"/>
  <c r="H70" i="2"/>
  <c r="J66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40" i="2"/>
  <c r="B67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40" i="2"/>
  <c r="I71" i="2" s="1"/>
  <c r="A39" i="2"/>
  <c r="C40" i="2" s="1"/>
  <c r="D40" i="2" s="1"/>
  <c r="I41" i="2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A41" i="2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I39" i="2"/>
  <c r="K38" i="2" s="1"/>
  <c r="M68" i="2" s="1"/>
  <c r="H22" i="2"/>
  <c r="H23" i="2"/>
  <c r="H21" i="2"/>
  <c r="J17" i="2"/>
  <c r="J16" i="2"/>
  <c r="I16" i="2"/>
  <c r="I17" i="2" s="1"/>
  <c r="J15" i="2"/>
  <c r="I14" i="2"/>
  <c r="A16" i="2"/>
  <c r="A17" i="2" s="1"/>
  <c r="A18" i="2" s="1"/>
  <c r="B15" i="2"/>
  <c r="B16" i="2"/>
  <c r="I22" i="2" s="1"/>
  <c r="B18" i="2"/>
  <c r="A14" i="2"/>
  <c r="C15" i="2" s="1"/>
  <c r="C16" i="2" s="1"/>
  <c r="B17" i="2"/>
  <c r="K40" i="2" l="1"/>
  <c r="C38" i="2"/>
  <c r="D41" i="2"/>
  <c r="E41" i="2" s="1"/>
  <c r="K13" i="2"/>
  <c r="L15" i="2"/>
  <c r="M15" i="2" s="1"/>
  <c r="D15" i="2"/>
  <c r="E15" i="2" s="1"/>
  <c r="C17" i="2"/>
  <c r="C13" i="2"/>
  <c r="E20" i="2" s="1"/>
  <c r="F20" i="2" s="1"/>
  <c r="D17" i="2"/>
  <c r="E17" i="2" s="1"/>
  <c r="D16" i="2"/>
  <c r="E16" i="2" s="1"/>
  <c r="K41" i="2" l="1"/>
  <c r="L41" i="2" s="1"/>
  <c r="M41" i="2" s="1"/>
  <c r="L40" i="2"/>
  <c r="M40" i="2" s="1"/>
  <c r="E69" i="2"/>
  <c r="F69" i="2" s="1"/>
  <c r="K42" i="2"/>
  <c r="L42" i="2" s="1"/>
  <c r="M42" i="2" s="1"/>
  <c r="C42" i="2"/>
  <c r="D42" i="2" s="1"/>
  <c r="E42" i="2" s="1"/>
  <c r="M19" i="2"/>
  <c r="N19" i="2" s="1"/>
  <c r="K17" i="2"/>
  <c r="L16" i="2"/>
  <c r="M16" i="2" s="1"/>
  <c r="C18" i="2"/>
  <c r="D18" i="2" s="1"/>
  <c r="E18" i="2" l="1"/>
  <c r="E19" i="2" s="1"/>
  <c r="K43" i="2"/>
  <c r="L43" i="2" s="1"/>
  <c r="M43" i="2" s="1"/>
  <c r="C43" i="2"/>
  <c r="D43" i="2" s="1"/>
  <c r="E43" i="2" s="1"/>
  <c r="L17" i="2"/>
  <c r="M17" i="2" s="1"/>
  <c r="M18" i="2" s="1"/>
  <c r="M20" i="2" s="1"/>
  <c r="M22" i="2" l="1"/>
  <c r="E21" i="2"/>
  <c r="F21" i="2" s="1"/>
  <c r="F19" i="2"/>
  <c r="K44" i="2"/>
  <c r="L44" i="2" s="1"/>
  <c r="M44" i="2" s="1"/>
  <c r="C44" i="2"/>
  <c r="D44" i="2" s="1"/>
  <c r="E44" i="2" s="1"/>
  <c r="I21" i="2"/>
  <c r="N20" i="2"/>
  <c r="N18" i="2"/>
  <c r="K45" i="2" l="1"/>
  <c r="L45" i="2" s="1"/>
  <c r="M45" i="2" s="1"/>
  <c r="C45" i="2"/>
  <c r="D45" i="2" s="1"/>
  <c r="E45" i="2" s="1"/>
  <c r="I23" i="2"/>
  <c r="I24" i="2" s="1"/>
  <c r="K46" i="2" l="1"/>
  <c r="L46" i="2" s="1"/>
  <c r="M46" i="2" s="1"/>
  <c r="C46" i="2"/>
  <c r="D46" i="2" s="1"/>
  <c r="E46" i="2" s="1"/>
  <c r="K47" i="2" l="1"/>
  <c r="L47" i="2" s="1"/>
  <c r="M47" i="2" s="1"/>
  <c r="C47" i="2"/>
  <c r="D47" i="2" s="1"/>
  <c r="E47" i="2" s="1"/>
  <c r="K48" i="2" l="1"/>
  <c r="L48" i="2" s="1"/>
  <c r="M48" i="2" s="1"/>
  <c r="C48" i="2"/>
  <c r="D48" i="2" s="1"/>
  <c r="E48" i="2" s="1"/>
  <c r="K49" i="2" l="1"/>
  <c r="L49" i="2" s="1"/>
  <c r="M49" i="2" s="1"/>
  <c r="C49" i="2"/>
  <c r="D49" i="2" s="1"/>
  <c r="E49" i="2" s="1"/>
  <c r="K50" i="2" l="1"/>
  <c r="L50" i="2" s="1"/>
  <c r="M50" i="2" s="1"/>
  <c r="C50" i="2"/>
  <c r="D50" i="2" s="1"/>
  <c r="E50" i="2" s="1"/>
  <c r="K51" i="2" l="1"/>
  <c r="L51" i="2" s="1"/>
  <c r="M51" i="2" s="1"/>
  <c r="C51" i="2"/>
  <c r="D51" i="2" s="1"/>
  <c r="E51" i="2" s="1"/>
  <c r="K52" i="2" l="1"/>
  <c r="L52" i="2" s="1"/>
  <c r="M52" i="2" s="1"/>
  <c r="C52" i="2"/>
  <c r="D52" i="2" s="1"/>
  <c r="E52" i="2" s="1"/>
  <c r="K53" i="2" l="1"/>
  <c r="L53" i="2" s="1"/>
  <c r="M53" i="2" s="1"/>
  <c r="C53" i="2"/>
  <c r="D53" i="2" s="1"/>
  <c r="E53" i="2" s="1"/>
  <c r="K54" i="2" l="1"/>
  <c r="L54" i="2" s="1"/>
  <c r="M54" i="2" s="1"/>
  <c r="C54" i="2"/>
  <c r="D54" i="2" s="1"/>
  <c r="E54" i="2" s="1"/>
  <c r="K55" i="2" l="1"/>
  <c r="L55" i="2" s="1"/>
  <c r="M55" i="2" s="1"/>
  <c r="C55" i="2"/>
  <c r="D55" i="2" s="1"/>
  <c r="E55" i="2" s="1"/>
  <c r="K56" i="2" l="1"/>
  <c r="L56" i="2" s="1"/>
  <c r="M56" i="2" s="1"/>
  <c r="C56" i="2"/>
  <c r="D56" i="2" s="1"/>
  <c r="E56" i="2" s="1"/>
  <c r="K57" i="2" l="1"/>
  <c r="L57" i="2" s="1"/>
  <c r="M57" i="2" s="1"/>
  <c r="C57" i="2"/>
  <c r="D57" i="2" s="1"/>
  <c r="E57" i="2" s="1"/>
  <c r="K58" i="2" l="1"/>
  <c r="L58" i="2" s="1"/>
  <c r="M58" i="2" s="1"/>
  <c r="C58" i="2"/>
  <c r="D58" i="2" s="1"/>
  <c r="E58" i="2" s="1"/>
  <c r="K59" i="2" l="1"/>
  <c r="L59" i="2" s="1"/>
  <c r="M59" i="2" s="1"/>
  <c r="C59" i="2"/>
  <c r="D59" i="2" s="1"/>
  <c r="E59" i="2" s="1"/>
  <c r="K60" i="2" l="1"/>
  <c r="L60" i="2" s="1"/>
  <c r="M60" i="2" s="1"/>
  <c r="C60" i="2"/>
  <c r="D60" i="2" s="1"/>
  <c r="E60" i="2" s="1"/>
  <c r="K61" i="2" l="1"/>
  <c r="L61" i="2" s="1"/>
  <c r="M61" i="2" s="1"/>
  <c r="C61" i="2"/>
  <c r="D61" i="2" s="1"/>
  <c r="E61" i="2" s="1"/>
  <c r="K62" i="2" l="1"/>
  <c r="L62" i="2" s="1"/>
  <c r="M62" i="2" s="1"/>
  <c r="C62" i="2"/>
  <c r="D62" i="2" s="1"/>
  <c r="E62" i="2" s="1"/>
  <c r="K63" i="2" l="1"/>
  <c r="L63" i="2" s="1"/>
  <c r="M63" i="2" s="1"/>
  <c r="C63" i="2"/>
  <c r="D63" i="2" s="1"/>
  <c r="E63" i="2" s="1"/>
  <c r="K64" i="2" l="1"/>
  <c r="L64" i="2" s="1"/>
  <c r="M64" i="2" s="1"/>
  <c r="C64" i="2"/>
  <c r="D64" i="2" s="1"/>
  <c r="E64" i="2" s="1"/>
  <c r="K65" i="2" l="1"/>
  <c r="L65" i="2" s="1"/>
  <c r="M65" i="2" s="1"/>
  <c r="C65" i="2"/>
  <c r="D65" i="2" s="1"/>
  <c r="E65" i="2" s="1"/>
  <c r="K66" i="2" l="1"/>
  <c r="C66" i="2"/>
  <c r="D66" i="2" s="1"/>
  <c r="E66" i="2" s="1"/>
  <c r="L66" i="2" l="1"/>
  <c r="M66" i="2" s="1"/>
  <c r="C67" i="2"/>
  <c r="D67" i="2" s="1"/>
  <c r="E67" i="2" s="1"/>
  <c r="E68" i="2" l="1"/>
  <c r="E70" i="2" s="1"/>
  <c r="E72" i="2"/>
  <c r="E71" i="2" s="1"/>
  <c r="M71" i="2"/>
  <c r="M67" i="2"/>
  <c r="M69" i="2" s="1"/>
  <c r="N69" i="2" s="1"/>
  <c r="N67" i="2"/>
  <c r="F70" i="2"/>
  <c r="F68" i="2"/>
  <c r="E73" i="2" l="1"/>
  <c r="I70" i="2"/>
  <c r="I72" i="2"/>
  <c r="I7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tc={E7E81827-32CB-4AF0-ABBC-FEB2C83ABB5F}</author>
    <author>tc={E20E001F-6028-4582-A220-3A2A808CA368}</author>
    <author>tc={A39C14DE-4BBC-4B0F-B3C8-06CC038C96D1}</author>
    <author>tc={2EC3A61D-E5E9-453D-8F08-9EEDFF50383A}</author>
    <author>tc={3E273ACF-AB4F-4E0F-A400-918EE1C1ED58}</author>
    <author>tc={839FF3F9-5A8F-445F-9647-49624611ECA9}</author>
    <author>tc={14D7E6B1-8F4C-40E4-86EA-429646421E03}</author>
    <author>tc={02FB778B-1638-48D0-B0F1-3973CB5E9161}</author>
    <author>tc={CDFCA081-FB08-4B7B-BE63-515AAFFCD2F6}</author>
    <author>tc={C3CD2906-D8BF-4D2C-9D5A-12126BAB695E}</author>
    <author>tc={9E2C40B8-EBFA-40AF-A962-5BAD7664B8D5}</author>
  </authors>
  <commentList>
    <comment ref="N18" authorId="0" shapeId="0" xr:uid="{E7E81827-32CB-4AF0-ABBC-FEB2C83ABB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 Giro</t>
      </text>
    </comment>
    <comment ref="F19" authorId="1" shapeId="0" xr:uid="{E20E001F-6028-4582-A220-3A2A808CA3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 Giro</t>
      </text>
    </comment>
    <comment ref="E22" authorId="2" shapeId="0" xr:uid="{A39C14DE-4BBC-4B0F-B3C8-06CC038C96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 un cambio de 1% en la TIR el Precio Sucio se impacta en 2.55%</t>
      </text>
    </comment>
    <comment ref="M22" authorId="3" shapeId="0" xr:uid="{2EC3A61D-E5E9-453D-8F08-9EEDFF5038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 más alta sea la facial más rápido recupero la inversión y la duración Macaulay es menor.</t>
      </text>
    </comment>
    <comment ref="E23" authorId="4" shapeId="0" xr:uid="{3E273ACF-AB4F-4E0F-A400-918EE1C1ED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 más alta sea la facial más rápido recupero la inversión y la duración Macaulay es menor.</t>
      </text>
    </comment>
    <comment ref="M23" authorId="5" shapeId="0" xr:uid="{839FF3F9-5A8F-445F-9647-49624611EC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 dice cuanto vale un punto básico.</t>
      </text>
    </comment>
    <comment ref="E24" authorId="6" shapeId="0" xr:uid="{14D7E6B1-8F4C-40E4-86EA-429646421E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 dice cuanto vale un punto básico.</t>
      </text>
    </comment>
    <comment ref="N67" authorId="7" shapeId="0" xr:uid="{02FB778B-1638-48D0-B0F1-3973CB5E91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 Giro</t>
      </text>
    </comment>
    <comment ref="F68" authorId="8" shapeId="0" xr:uid="{CDFCA081-FB08-4B7B-BE63-515AAFFCD2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 Giro</t>
      </text>
    </comment>
    <comment ref="M72" authorId="9" shapeId="0" xr:uid="{C3CD2906-D8BF-4D2C-9D5A-12126BAB69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 dice cuanto vale un punto básico.</t>
      </text>
    </comment>
    <comment ref="E73" authorId="10" shapeId="0" xr:uid="{9E2C40B8-EBFA-40AF-A962-5BAD7664B8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 dice cuanto vale un punto básico.</t>
      </text>
    </comment>
  </commentList>
</comments>
</file>

<file path=xl/sharedStrings.xml><?xml version="1.0" encoding="utf-8"?>
<sst xmlns="http://schemas.openxmlformats.org/spreadsheetml/2006/main" count="92" uniqueCount="25">
  <si>
    <t>TIR</t>
  </si>
  <si>
    <t>VP</t>
  </si>
  <si>
    <t>Nominal Base 100%</t>
  </si>
  <si>
    <t>Nominal $</t>
  </si>
  <si>
    <t>Precio Limpio</t>
  </si>
  <si>
    <t>TIR de Tenencia</t>
  </si>
  <si>
    <t>Fecha de Negociacion</t>
  </si>
  <si>
    <t>Venta</t>
  </si>
  <si>
    <t>Compra</t>
  </si>
  <si>
    <t>EA</t>
  </si>
  <si>
    <t xml:space="preserve">Fecha de Vencimiento </t>
  </si>
  <si>
    <t>Facial</t>
  </si>
  <si>
    <t>AV</t>
  </si>
  <si>
    <t>Base</t>
  </si>
  <si>
    <t>Fechas del Flujo</t>
  </si>
  <si>
    <t>Días</t>
  </si>
  <si>
    <t>Días Anualizados</t>
  </si>
  <si>
    <t xml:space="preserve">Precio Sucio </t>
  </si>
  <si>
    <t xml:space="preserve">Cupón Corrido </t>
  </si>
  <si>
    <t>Duracion Modificada</t>
  </si>
  <si>
    <t>Duracion de Macaulay</t>
  </si>
  <si>
    <t>DV01</t>
  </si>
  <si>
    <t>COLTES 26</t>
  </si>
  <si>
    <t>COLTES 50</t>
  </si>
  <si>
    <t>Cupón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</si>
</sst>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0.000"/>
    <numFmt numFmtId="165" formatCode="_-&quot;$&quot;\ * #,##0_-;\-&quot;$&quot;\ * #,##0_-;_-&quot;$&quot;\ * &quot;-&quot;??_-;_-@_-"/>
    <numFmt numFmtId="166" formatCode="0.00000%"/>
    <numFmt numFmtId="168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  <xf numFmtId="165" fontId="0" fillId="0" borderId="0" xfId="1" applyNumberFormat="1" applyFont="1"/>
    <xf numFmtId="10" fontId="0" fillId="0" borderId="0" xfId="2" applyNumberFormat="1" applyFont="1"/>
    <xf numFmtId="2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0" fontId="0" fillId="0" borderId="7" xfId="2" applyNumberFormat="1" applyFont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Gonzalez Jaramillo" id="{6E781478-ECD8-4F1B-BB24-698B8D12F29E}" userId="S::nicolas.gonzalez07@est.uexternado.edu.co::abdeb7d9-3002-4d20-92a0-0ced1f3a57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8" dT="2023-05-20T02:03:20.30" personId="{6E781478-ECD8-4F1B-BB24-698B8D12F29E}" id="{E7E81827-32CB-4AF0-ABBC-FEB2C83ABB5F}">
    <text>Valor de Giro</text>
  </threadedComment>
  <threadedComment ref="F19" dT="2023-05-20T02:03:20.30" personId="{6E781478-ECD8-4F1B-BB24-698B8D12F29E}" id="{E20E001F-6028-4582-A220-3A2A808CA368}">
    <text>Valor de Giro</text>
  </threadedComment>
  <threadedComment ref="E22" dT="2023-05-27T15:28:33.62" personId="{6E781478-ECD8-4F1B-BB24-698B8D12F29E}" id="{A39C14DE-4BBC-4B0F-B3C8-06CC038C96D1}">
    <text>Ante un cambio de 1% en la TIR el Precio Sucio se impacta en 2.55%</text>
  </threadedComment>
  <threadedComment ref="M22" dT="2023-05-27T15:24:25.17" personId="{6E781478-ECD8-4F1B-BB24-698B8D12F29E}" id="{2EC3A61D-E5E9-453D-8F08-9EEDFF50383A}">
    <text>Entre más alta sea la facial más rápido recupero la inversión y la duración Macaulay es menor.</text>
  </threadedComment>
  <threadedComment ref="E23" dT="2023-05-27T15:24:25.17" personId="{6E781478-ECD8-4F1B-BB24-698B8D12F29E}" id="{3E273ACF-AB4F-4E0F-A400-918EE1C1ED58}">
    <text>Entre más alta sea la facial más rápido recupero la inversión y la duración Macaulay es menor.</text>
  </threadedComment>
  <threadedComment ref="M23" dT="2023-05-27T13:50:14.50" personId="{6E781478-ECD8-4F1B-BB24-698B8D12F29E}" id="{839FF3F9-5A8F-445F-9647-49624611ECA9}">
    <text>Me dice cuanto vale un punto básico.</text>
  </threadedComment>
  <threadedComment ref="E24" dT="2023-05-27T13:50:14.50" personId="{6E781478-ECD8-4F1B-BB24-698B8D12F29E}" id="{14D7E6B1-8F4C-40E4-86EA-429646421E03}">
    <text>Me dice cuanto vale un punto básico.</text>
  </threadedComment>
  <threadedComment ref="N67" dT="2023-05-20T02:03:20.30" personId="{6E781478-ECD8-4F1B-BB24-698B8D12F29E}" id="{02FB778B-1638-48D0-B0F1-3973CB5E9161}">
    <text>Valor de Giro</text>
  </threadedComment>
  <threadedComment ref="F68" dT="2023-05-20T02:03:20.30" personId="{6E781478-ECD8-4F1B-BB24-698B8D12F29E}" id="{CDFCA081-FB08-4B7B-BE63-515AAFFCD2F6}">
    <text>Valor de Giro</text>
  </threadedComment>
  <threadedComment ref="M72" dT="2023-05-27T13:50:14.50" personId="{6E781478-ECD8-4F1B-BB24-698B8D12F29E}" id="{C3CD2906-D8BF-4D2C-9D5A-12126BAB695E}">
    <text>Me dice cuanto vale un punto básico.</text>
  </threadedComment>
  <threadedComment ref="E73" dT="2023-05-27T13:50:14.50" personId="{6E781478-ECD8-4F1B-BB24-698B8D12F29E}" id="{9E2C40B8-EBFA-40AF-A962-5BAD7664B8D5}">
    <text>Me dice cuanto vale un punto básico.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1B9F-8CB4-4E2B-94BC-F6B909E7AA6D}">
  <dimension ref="A1:N83"/>
  <sheetViews>
    <sheetView tabSelected="1" topLeftCell="A53" zoomScale="90" zoomScaleNormal="90" workbookViewId="0">
      <selection activeCell="H15" sqref="H15"/>
    </sheetView>
  </sheetViews>
  <sheetFormatPr baseColWidth="10" defaultRowHeight="14.4" x14ac:dyDescent="0.3"/>
  <cols>
    <col min="1" max="1" width="19.44140625" bestFit="1" customWidth="1"/>
    <col min="2" max="2" width="16.5546875" bestFit="1" customWidth="1"/>
    <col min="4" max="4" width="20.44140625" bestFit="1" customWidth="1"/>
    <col min="6" max="6" width="14.88671875" bestFit="1" customWidth="1"/>
    <col min="8" max="8" width="14.33203125" bestFit="1" customWidth="1"/>
    <col min="9" max="9" width="20.5546875" bestFit="1" customWidth="1"/>
    <col min="10" max="10" width="16.5546875" bestFit="1" customWidth="1"/>
    <col min="12" max="12" width="20.44140625" bestFit="1" customWidth="1"/>
    <col min="14" max="14" width="14.88671875" bestFit="1" customWidth="1"/>
  </cols>
  <sheetData>
    <row r="1" spans="1:14" x14ac:dyDescent="0.3">
      <c r="A1" s="3" t="s">
        <v>22</v>
      </c>
    </row>
    <row r="2" spans="1:14" x14ac:dyDescent="0.3">
      <c r="A2" s="19" t="s">
        <v>8</v>
      </c>
      <c r="B2" s="19"/>
      <c r="C2" s="19"/>
      <c r="D2" s="19"/>
      <c r="E2" s="19"/>
      <c r="F2" s="19"/>
      <c r="I2" s="19" t="s">
        <v>7</v>
      </c>
      <c r="J2" s="19"/>
      <c r="K2" s="19"/>
      <c r="L2" s="19"/>
      <c r="M2" s="19"/>
      <c r="N2" s="19"/>
    </row>
    <row r="3" spans="1:14" x14ac:dyDescent="0.3">
      <c r="A3" t="s">
        <v>6</v>
      </c>
      <c r="B3" s="1">
        <v>45072</v>
      </c>
      <c r="I3" t="s">
        <v>6</v>
      </c>
      <c r="J3" s="1">
        <v>45266</v>
      </c>
    </row>
    <row r="4" spans="1:14" x14ac:dyDescent="0.3">
      <c r="A4" t="s">
        <v>10</v>
      </c>
      <c r="B4" s="1">
        <v>46260</v>
      </c>
      <c r="I4" t="s">
        <v>10</v>
      </c>
      <c r="J4" s="1">
        <v>46260</v>
      </c>
    </row>
    <row r="5" spans="1:14" x14ac:dyDescent="0.3">
      <c r="A5" t="s">
        <v>11</v>
      </c>
      <c r="B5" s="7">
        <v>7.4999999999999997E-2</v>
      </c>
      <c r="C5" t="s">
        <v>12</v>
      </c>
      <c r="I5" t="s">
        <v>11</v>
      </c>
      <c r="J5" s="7">
        <v>7.4999999999999997E-2</v>
      </c>
      <c r="K5" t="s">
        <v>12</v>
      </c>
    </row>
    <row r="6" spans="1:14" x14ac:dyDescent="0.3">
      <c r="A6" t="s">
        <v>0</v>
      </c>
      <c r="B6" s="7">
        <v>0.10864</v>
      </c>
      <c r="I6" t="s">
        <v>0</v>
      </c>
      <c r="J6" s="20">
        <f>B6-1.25%</f>
        <v>9.6140000000000003E-2</v>
      </c>
    </row>
    <row r="8" spans="1:14" x14ac:dyDescent="0.3">
      <c r="A8" t="s">
        <v>2</v>
      </c>
      <c r="B8" s="2">
        <v>1</v>
      </c>
      <c r="I8" t="s">
        <v>2</v>
      </c>
      <c r="J8" s="2">
        <v>1</v>
      </c>
    </row>
    <row r="9" spans="1:14" x14ac:dyDescent="0.3">
      <c r="A9" t="s">
        <v>3</v>
      </c>
      <c r="B9" s="4">
        <v>1000000000</v>
      </c>
      <c r="I9" t="s">
        <v>3</v>
      </c>
      <c r="J9" s="4">
        <v>1000000000</v>
      </c>
    </row>
    <row r="10" spans="1:14" x14ac:dyDescent="0.3">
      <c r="A10" t="s">
        <v>13</v>
      </c>
      <c r="B10">
        <v>365</v>
      </c>
      <c r="I10" t="s">
        <v>13</v>
      </c>
      <c r="J10">
        <v>365</v>
      </c>
    </row>
    <row r="12" spans="1:14" x14ac:dyDescent="0.3">
      <c r="A12" s="9" t="s">
        <v>14</v>
      </c>
      <c r="B12" s="9" t="s">
        <v>24</v>
      </c>
      <c r="C12" s="9" t="s">
        <v>15</v>
      </c>
      <c r="D12" s="9" t="s">
        <v>16</v>
      </c>
      <c r="E12" s="9" t="s">
        <v>1</v>
      </c>
      <c r="I12" s="9" t="s">
        <v>14</v>
      </c>
      <c r="J12" s="9" t="s">
        <v>24</v>
      </c>
      <c r="K12" s="9" t="s">
        <v>15</v>
      </c>
      <c r="L12" s="9" t="s">
        <v>16</v>
      </c>
      <c r="M12" s="9" t="s">
        <v>1</v>
      </c>
    </row>
    <row r="13" spans="1:14" x14ac:dyDescent="0.3">
      <c r="A13" s="1">
        <v>44799</v>
      </c>
      <c r="C13">
        <f>A14-A13</f>
        <v>273</v>
      </c>
      <c r="I13" s="1">
        <v>45164</v>
      </c>
      <c r="K13">
        <f>I14-I13</f>
        <v>102</v>
      </c>
    </row>
    <row r="14" spans="1:14" x14ac:dyDescent="0.3">
      <c r="A14" s="1">
        <f>B3</f>
        <v>45072</v>
      </c>
      <c r="I14" s="1">
        <f>J3</f>
        <v>45266</v>
      </c>
    </row>
    <row r="15" spans="1:14" x14ac:dyDescent="0.3">
      <c r="A15" s="1">
        <v>45164</v>
      </c>
      <c r="B15" s="7">
        <f>$B$5</f>
        <v>7.4999999999999997E-2</v>
      </c>
      <c r="C15">
        <f>A15-A14</f>
        <v>92</v>
      </c>
      <c r="D15" s="6">
        <f>C15/$B$10</f>
        <v>0.25205479452054796</v>
      </c>
      <c r="E15" s="7">
        <f>B15/(1+$B$6)^D15</f>
        <v>7.3075465749144461E-2</v>
      </c>
      <c r="I15" s="1">
        <v>45530</v>
      </c>
      <c r="J15" s="7">
        <f>$B$5</f>
        <v>7.4999999999999997E-2</v>
      </c>
      <c r="K15">
        <f>I15-I14-1</f>
        <v>263</v>
      </c>
      <c r="L15" s="6">
        <f>K15/$B$10</f>
        <v>0.72054794520547949</v>
      </c>
      <c r="M15" s="7">
        <f>J15/(1+$J$6)^L15</f>
        <v>7.0199800860544517E-2</v>
      </c>
    </row>
    <row r="16" spans="1:14" x14ac:dyDescent="0.3">
      <c r="A16" s="1">
        <f>EDATE(A15,12)</f>
        <v>45530</v>
      </c>
      <c r="B16" s="7">
        <f>$B$5</f>
        <v>7.4999999999999997E-2</v>
      </c>
      <c r="C16">
        <f>C15+365</f>
        <v>457</v>
      </c>
      <c r="D16" s="6">
        <f>C16/$B$10</f>
        <v>1.252054794520548</v>
      </c>
      <c r="E16" s="7">
        <f>B16/(1+$B$6)^D16</f>
        <v>6.5914513051256007E-2</v>
      </c>
      <c r="I16" s="1">
        <f>EDATE(I15,12)</f>
        <v>45895</v>
      </c>
      <c r="J16" s="7">
        <f>$B$5</f>
        <v>7.4999999999999997E-2</v>
      </c>
      <c r="K16">
        <f>K15+365</f>
        <v>628</v>
      </c>
      <c r="L16" s="6">
        <f>K16/$B$10</f>
        <v>1.7205479452054795</v>
      </c>
      <c r="M16" s="7">
        <f>J16/(1+$J$6)^L16</f>
        <v>6.4042732552907933E-2</v>
      </c>
    </row>
    <row r="17" spans="1:14" x14ac:dyDescent="0.3">
      <c r="A17" s="1">
        <f>EDATE(A16,12)</f>
        <v>45895</v>
      </c>
      <c r="B17" s="7">
        <f>$B$5</f>
        <v>7.4999999999999997E-2</v>
      </c>
      <c r="C17">
        <f>C16+365</f>
        <v>822</v>
      </c>
      <c r="D17" s="6">
        <f t="shared" ref="D17:D18" si="0">C17/$B$10</f>
        <v>2.2520547945205478</v>
      </c>
      <c r="E17" s="7">
        <f>B17/(1+$B$6)^D17</f>
        <v>5.9455290311783815E-2</v>
      </c>
      <c r="I17" s="1">
        <f>EDATE(I16,12)</f>
        <v>46260</v>
      </c>
      <c r="J17" s="7">
        <f>$B$5+1</f>
        <v>1.075</v>
      </c>
      <c r="K17">
        <f>K16+365</f>
        <v>993</v>
      </c>
      <c r="L17" s="6">
        <f t="shared" ref="L17" si="1">K17/$B$10</f>
        <v>2.7205479452054795</v>
      </c>
      <c r="M17" s="7">
        <f t="shared" ref="M16:M17" si="2">J17/(1+$J$6)^L17</f>
        <v>0.83743484706182325</v>
      </c>
    </row>
    <row r="18" spans="1:14" x14ac:dyDescent="0.3">
      <c r="A18" s="1">
        <f t="shared" ref="A18" si="3">EDATE(A17,12)</f>
        <v>46260</v>
      </c>
      <c r="B18" s="7">
        <f>1+$B$5</f>
        <v>1.075</v>
      </c>
      <c r="C18">
        <f t="shared" ref="C18" si="4">C17+365</f>
        <v>1187</v>
      </c>
      <c r="D18" s="6">
        <f t="shared" si="0"/>
        <v>3.2520547945205478</v>
      </c>
      <c r="E18" s="7">
        <f>B18/(1+$B$6)^D18</f>
        <v>0.76868279555933494</v>
      </c>
      <c r="I18" s="1"/>
      <c r="L18" s="3" t="s">
        <v>17</v>
      </c>
      <c r="M18" s="7">
        <f>SUM(M15:M17)</f>
        <v>0.97167738047527563</v>
      </c>
      <c r="N18" s="8">
        <f>J9*M18</f>
        <v>971677380.47527564</v>
      </c>
    </row>
    <row r="19" spans="1:14" ht="15" thickBot="1" x14ac:dyDescent="0.35">
      <c r="A19" s="1"/>
      <c r="D19" s="3" t="s">
        <v>17</v>
      </c>
      <c r="E19" s="7">
        <f>SUM(E15:E18)</f>
        <v>0.96712806467151924</v>
      </c>
      <c r="F19" s="8">
        <f>B9*E19</f>
        <v>967128064.67151928</v>
      </c>
      <c r="L19" s="3" t="s">
        <v>18</v>
      </c>
      <c r="M19" s="7">
        <f>(J5/J10)*K13</f>
        <v>2.095890410958904E-2</v>
      </c>
      <c r="N19" s="8">
        <f>J9*M19</f>
        <v>20958904.10958904</v>
      </c>
    </row>
    <row r="20" spans="1:14" x14ac:dyDescent="0.3">
      <c r="D20" s="3" t="s">
        <v>18</v>
      </c>
      <c r="E20" s="7">
        <f>(B5/B10)*C13</f>
        <v>5.6095890410958901E-2</v>
      </c>
      <c r="F20" s="8">
        <f>B9*E20</f>
        <v>56095890.410958901</v>
      </c>
      <c r="H20" s="16" t="s">
        <v>5</v>
      </c>
      <c r="I20" s="17"/>
      <c r="J20" s="18"/>
      <c r="L20" s="3" t="s">
        <v>4</v>
      </c>
      <c r="M20" s="7">
        <f>M18-M19</f>
        <v>0.95071847636568663</v>
      </c>
      <c r="N20" s="8">
        <f>J9*M20</f>
        <v>950718476.36568666</v>
      </c>
    </row>
    <row r="21" spans="1:14" x14ac:dyDescent="0.3">
      <c r="D21" s="3" t="s">
        <v>4</v>
      </c>
      <c r="E21" s="7">
        <f>E19-E20</f>
        <v>0.91103217426056038</v>
      </c>
      <c r="F21" s="8">
        <f>B9*E21</f>
        <v>911032174.26056039</v>
      </c>
      <c r="H21" s="11">
        <f>B3</f>
        <v>45072</v>
      </c>
      <c r="I21" s="8">
        <f>-F19</f>
        <v>-967128064.67151928</v>
      </c>
      <c r="J21" s="12" t="s">
        <v>8</v>
      </c>
      <c r="L21" s="3" t="s">
        <v>19</v>
      </c>
      <c r="M21" s="6">
        <f>M22/(1+J6)</f>
        <v>2.2899871280902189</v>
      </c>
    </row>
    <row r="22" spans="1:14" x14ac:dyDescent="0.3">
      <c r="D22" s="3" t="s">
        <v>19</v>
      </c>
      <c r="E22" s="6">
        <f>E23/(1+B6)</f>
        <v>2.5505043467907664</v>
      </c>
      <c r="H22" s="11">
        <f>A15</f>
        <v>45164</v>
      </c>
      <c r="I22" s="8">
        <f>B16*B9</f>
        <v>75000000</v>
      </c>
      <c r="J22" s="12" t="s">
        <v>24</v>
      </c>
      <c r="L22" s="3" t="s">
        <v>20</v>
      </c>
      <c r="M22" s="6">
        <f>SUMPRODUCT(L15:L17,M15:M17)/M18</f>
        <v>2.510146490584813</v>
      </c>
    </row>
    <row r="23" spans="1:14" x14ac:dyDescent="0.3">
      <c r="D23" s="3" t="s">
        <v>20</v>
      </c>
      <c r="E23" s="6">
        <f>SUMPRODUCT(D15:D18,E15:E18)/E19</f>
        <v>2.8275911390261155</v>
      </c>
      <c r="H23" s="11">
        <f>J3</f>
        <v>45266</v>
      </c>
      <c r="I23" s="8">
        <f>N18</f>
        <v>971677380.47527564</v>
      </c>
      <c r="J23" s="12" t="s">
        <v>7</v>
      </c>
      <c r="L23" s="3" t="s">
        <v>21</v>
      </c>
      <c r="M23" s="8">
        <f>N18*M21*0.01%</f>
        <v>222512.86939448034</v>
      </c>
    </row>
    <row r="24" spans="1:14" ht="15" thickBot="1" x14ac:dyDescent="0.35">
      <c r="D24" s="3" t="s">
        <v>21</v>
      </c>
      <c r="E24" s="8">
        <f>F19*E22*0.01%</f>
        <v>246666.43328480516</v>
      </c>
      <c r="G24" s="10"/>
      <c r="H24" s="13" t="s">
        <v>5</v>
      </c>
      <c r="I24" s="14">
        <f>XIRR(I21:I23,H21:H23)</f>
        <v>0.1672658383846283</v>
      </c>
      <c r="J24" s="15" t="s">
        <v>9</v>
      </c>
    </row>
    <row r="25" spans="1:14" x14ac:dyDescent="0.3">
      <c r="H25" s="10"/>
      <c r="I25" s="5">
        <f>(1+I24)^((H23-H21)/J10)-1</f>
        <v>8.5678395719847256E-2</v>
      </c>
    </row>
    <row r="27" spans="1:14" x14ac:dyDescent="0.3">
      <c r="A27" s="3" t="s">
        <v>23</v>
      </c>
    </row>
    <row r="28" spans="1:14" x14ac:dyDescent="0.3">
      <c r="A28" t="s">
        <v>6</v>
      </c>
      <c r="B28" s="1">
        <v>45072</v>
      </c>
      <c r="I28" t="s">
        <v>6</v>
      </c>
      <c r="J28" s="1">
        <v>45266</v>
      </c>
    </row>
    <row r="29" spans="1:14" x14ac:dyDescent="0.3">
      <c r="A29" t="s">
        <v>10</v>
      </c>
      <c r="B29" s="1">
        <v>55087</v>
      </c>
      <c r="I29" t="s">
        <v>10</v>
      </c>
      <c r="J29" s="1">
        <v>55087</v>
      </c>
    </row>
    <row r="30" spans="1:14" x14ac:dyDescent="0.3">
      <c r="A30" t="s">
        <v>11</v>
      </c>
      <c r="B30" s="7">
        <v>7.2499999999999995E-2</v>
      </c>
      <c r="C30" t="s">
        <v>12</v>
      </c>
      <c r="I30" t="s">
        <v>11</v>
      </c>
      <c r="J30" s="7">
        <v>7.2499999999999995E-2</v>
      </c>
      <c r="K30" t="s">
        <v>12</v>
      </c>
    </row>
    <row r="31" spans="1:14" x14ac:dyDescent="0.3">
      <c r="A31" t="s">
        <v>0</v>
      </c>
      <c r="B31" s="7">
        <v>0.11557000000000001</v>
      </c>
      <c r="I31" t="s">
        <v>0</v>
      </c>
      <c r="J31" s="7">
        <f>B31-1.25%</f>
        <v>0.10307000000000001</v>
      </c>
    </row>
    <row r="33" spans="1:13" x14ac:dyDescent="0.3">
      <c r="A33" t="s">
        <v>2</v>
      </c>
      <c r="B33" s="2">
        <v>1</v>
      </c>
      <c r="I33" t="s">
        <v>2</v>
      </c>
      <c r="J33" s="2">
        <v>1</v>
      </c>
    </row>
    <row r="34" spans="1:13" x14ac:dyDescent="0.3">
      <c r="A34" t="s">
        <v>3</v>
      </c>
      <c r="B34" s="4">
        <v>1000000000</v>
      </c>
      <c r="I34" t="s">
        <v>3</v>
      </c>
      <c r="J34" s="4">
        <v>1000000000</v>
      </c>
    </row>
    <row r="35" spans="1:13" x14ac:dyDescent="0.3">
      <c r="A35" t="s">
        <v>13</v>
      </c>
      <c r="B35">
        <v>365</v>
      </c>
      <c r="I35" t="s">
        <v>13</v>
      </c>
      <c r="J35">
        <v>365</v>
      </c>
    </row>
    <row r="37" spans="1:13" x14ac:dyDescent="0.3">
      <c r="A37" s="9" t="s">
        <v>14</v>
      </c>
      <c r="B37" s="9" t="s">
        <v>24</v>
      </c>
      <c r="C37" s="9" t="s">
        <v>15</v>
      </c>
      <c r="D37" s="9" t="s">
        <v>16</v>
      </c>
      <c r="E37" s="9" t="s">
        <v>1</v>
      </c>
      <c r="I37" s="9" t="s">
        <v>14</v>
      </c>
      <c r="J37" s="9" t="s">
        <v>24</v>
      </c>
      <c r="K37" s="9" t="s">
        <v>15</v>
      </c>
      <c r="L37" s="9" t="s">
        <v>16</v>
      </c>
      <c r="M37" s="9" t="s">
        <v>1</v>
      </c>
    </row>
    <row r="38" spans="1:13" x14ac:dyDescent="0.3">
      <c r="A38" s="1">
        <v>44860</v>
      </c>
      <c r="C38">
        <f>A39-A38</f>
        <v>212</v>
      </c>
      <c r="I38" s="1">
        <v>45225</v>
      </c>
      <c r="K38">
        <f>I39-I38</f>
        <v>41</v>
      </c>
    </row>
    <row r="39" spans="1:13" x14ac:dyDescent="0.3">
      <c r="A39" s="1">
        <f>B28</f>
        <v>45072</v>
      </c>
      <c r="I39" s="1">
        <f>J28</f>
        <v>45266</v>
      </c>
    </row>
    <row r="40" spans="1:13" x14ac:dyDescent="0.3">
      <c r="A40" s="1">
        <v>45225</v>
      </c>
      <c r="B40" s="7">
        <f>$B$30</f>
        <v>7.2499999999999995E-2</v>
      </c>
      <c r="C40">
        <f>A40-A39</f>
        <v>153</v>
      </c>
      <c r="D40" s="6">
        <f>C40/$B$35</f>
        <v>0.41917808219178082</v>
      </c>
      <c r="E40" s="7">
        <f>B40/(1+$B$31)^D40</f>
        <v>6.925137133750979E-2</v>
      </c>
      <c r="I40" s="1">
        <v>45591</v>
      </c>
      <c r="J40" s="7">
        <f>$J$30</f>
        <v>7.2499999999999995E-2</v>
      </c>
      <c r="K40">
        <f>I40-I39-1</f>
        <v>324</v>
      </c>
      <c r="L40" s="6">
        <f>K40/$J$35</f>
        <v>0.88767123287671235</v>
      </c>
      <c r="M40" s="7">
        <f>J40/(1+$J$31)^L40</f>
        <v>6.6453901584677191E-2</v>
      </c>
    </row>
    <row r="41" spans="1:13" x14ac:dyDescent="0.3">
      <c r="A41" s="1">
        <f>EDATE(A40,12)</f>
        <v>45591</v>
      </c>
      <c r="B41" s="7">
        <f t="shared" ref="B41:B66" si="5">$B$30</f>
        <v>7.2499999999999995E-2</v>
      </c>
      <c r="C41">
        <f>C40+365</f>
        <v>518</v>
      </c>
      <c r="D41" s="6">
        <f t="shared" ref="D41:D67" si="6">C41/$B$35</f>
        <v>1.4191780821917808</v>
      </c>
      <c r="E41" s="7">
        <f t="shared" ref="E41:E67" si="7">B41/(1+$B$31)^D41</f>
        <v>6.2077118726310138E-2</v>
      </c>
      <c r="I41" s="1">
        <f>EDATE(I40,12)</f>
        <v>45956</v>
      </c>
      <c r="J41" s="7">
        <f t="shared" ref="J41:J65" si="8">$J$30</f>
        <v>7.2499999999999995E-2</v>
      </c>
      <c r="K41">
        <f>K40+365</f>
        <v>689</v>
      </c>
      <c r="L41" s="6">
        <f t="shared" ref="L41:L66" si="9">K41/$J$35</f>
        <v>1.8876712328767122</v>
      </c>
      <c r="M41" s="7">
        <f t="shared" ref="M41:M66" si="10">J41/(1+$J$31)^L41</f>
        <v>6.0244500879071308E-2</v>
      </c>
    </row>
    <row r="42" spans="1:13" x14ac:dyDescent="0.3">
      <c r="A42" s="1">
        <f>EDATE(A41,12)</f>
        <v>45956</v>
      </c>
      <c r="B42" s="7">
        <f t="shared" si="5"/>
        <v>7.2499999999999995E-2</v>
      </c>
      <c r="C42">
        <f>C41+365</f>
        <v>883</v>
      </c>
      <c r="D42" s="6">
        <f t="shared" si="6"/>
        <v>2.419178082191781</v>
      </c>
      <c r="E42" s="7">
        <f t="shared" si="7"/>
        <v>5.5646099058158725E-2</v>
      </c>
      <c r="I42" s="1">
        <f>EDATE(I41,12)</f>
        <v>46321</v>
      </c>
      <c r="J42" s="7">
        <f t="shared" si="8"/>
        <v>7.2499999999999995E-2</v>
      </c>
      <c r="K42">
        <f>K41+365</f>
        <v>1054</v>
      </c>
      <c r="L42" s="6">
        <f t="shared" si="9"/>
        <v>2.8876712328767122</v>
      </c>
      <c r="M42" s="7">
        <f t="shared" si="10"/>
        <v>5.4615301729782614E-2</v>
      </c>
    </row>
    <row r="43" spans="1:13" x14ac:dyDescent="0.3">
      <c r="A43" s="1">
        <f t="shared" ref="A43" si="11">EDATE(A42,12)</f>
        <v>46321</v>
      </c>
      <c r="B43" s="7">
        <f t="shared" si="5"/>
        <v>7.2499999999999995E-2</v>
      </c>
      <c r="C43">
        <f t="shared" ref="C43" si="12">C42+365</f>
        <v>1248</v>
      </c>
      <c r="D43" s="6">
        <f t="shared" si="6"/>
        <v>3.419178082191781</v>
      </c>
      <c r="E43" s="7">
        <f t="shared" si="7"/>
        <v>4.988131543350819E-2</v>
      </c>
      <c r="I43" s="1">
        <f t="shared" ref="I43:I66" si="13">EDATE(I42,12)</f>
        <v>46686</v>
      </c>
      <c r="J43" s="7">
        <f t="shared" si="8"/>
        <v>7.2499999999999995E-2</v>
      </c>
      <c r="K43">
        <f t="shared" ref="K43:K66" si="14">K42+365</f>
        <v>1419</v>
      </c>
      <c r="L43" s="6">
        <f t="shared" si="9"/>
        <v>3.8876712328767122</v>
      </c>
      <c r="M43" s="7">
        <f t="shared" si="10"/>
        <v>4.9512090556159273E-2</v>
      </c>
    </row>
    <row r="44" spans="1:13" x14ac:dyDescent="0.3">
      <c r="A44" s="1">
        <f t="shared" ref="A44:A67" si="15">EDATE(A43,12)</f>
        <v>46686</v>
      </c>
      <c r="B44" s="7">
        <f t="shared" si="5"/>
        <v>7.2499999999999995E-2</v>
      </c>
      <c r="C44">
        <f t="shared" ref="C44:C67" si="16">C43+365</f>
        <v>1613</v>
      </c>
      <c r="D44" s="6">
        <f t="shared" si="6"/>
        <v>4.419178082191781</v>
      </c>
      <c r="E44" s="7">
        <f t="shared" si="7"/>
        <v>4.4713747620954487E-2</v>
      </c>
      <c r="I44" s="1">
        <f t="shared" si="13"/>
        <v>47052</v>
      </c>
      <c r="J44" s="7">
        <f t="shared" si="8"/>
        <v>7.2499999999999995E-2</v>
      </c>
      <c r="K44">
        <f t="shared" si="14"/>
        <v>1784</v>
      </c>
      <c r="L44" s="6">
        <f t="shared" si="9"/>
        <v>4.8876712328767127</v>
      </c>
      <c r="M44" s="7">
        <f t="shared" si="10"/>
        <v>4.4885719452219058E-2</v>
      </c>
    </row>
    <row r="45" spans="1:13" x14ac:dyDescent="0.3">
      <c r="A45" s="1">
        <f t="shared" si="15"/>
        <v>47052</v>
      </c>
      <c r="B45" s="7">
        <f t="shared" si="5"/>
        <v>7.2499999999999995E-2</v>
      </c>
      <c r="C45">
        <f t="shared" si="16"/>
        <v>1978</v>
      </c>
      <c r="D45" s="6">
        <f t="shared" si="6"/>
        <v>5.419178082191781</v>
      </c>
      <c r="E45" s="7">
        <f t="shared" si="7"/>
        <v>4.0081525696240024E-2</v>
      </c>
      <c r="I45" s="1">
        <f t="shared" si="13"/>
        <v>47417</v>
      </c>
      <c r="J45" s="7">
        <f t="shared" si="8"/>
        <v>7.2499999999999995E-2</v>
      </c>
      <c r="K45">
        <f t="shared" si="14"/>
        <v>2149</v>
      </c>
      <c r="L45" s="6">
        <f t="shared" si="9"/>
        <v>5.8876712328767127</v>
      </c>
      <c r="M45" s="7">
        <f t="shared" si="10"/>
        <v>4.0691632853961275E-2</v>
      </c>
    </row>
    <row r="46" spans="1:13" x14ac:dyDescent="0.3">
      <c r="A46" s="1">
        <f t="shared" si="15"/>
        <v>47417</v>
      </c>
      <c r="B46" s="7">
        <f t="shared" si="5"/>
        <v>7.2499999999999995E-2</v>
      </c>
      <c r="C46">
        <f t="shared" si="16"/>
        <v>2343</v>
      </c>
      <c r="D46" s="6">
        <f t="shared" si="6"/>
        <v>6.419178082191781</v>
      </c>
      <c r="E46" s="7">
        <f t="shared" si="7"/>
        <v>3.5929189289995271E-2</v>
      </c>
      <c r="I46" s="1">
        <f t="shared" si="13"/>
        <v>47782</v>
      </c>
      <c r="J46" s="7">
        <f t="shared" si="8"/>
        <v>7.2499999999999995E-2</v>
      </c>
      <c r="K46">
        <f t="shared" si="14"/>
        <v>2514</v>
      </c>
      <c r="L46" s="6">
        <f t="shared" si="9"/>
        <v>6.8876712328767127</v>
      </c>
      <c r="M46" s="7">
        <f t="shared" si="10"/>
        <v>3.6889438434515733E-2</v>
      </c>
    </row>
    <row r="47" spans="1:13" x14ac:dyDescent="0.3">
      <c r="A47" s="1">
        <f t="shared" si="15"/>
        <v>47782</v>
      </c>
      <c r="B47" s="7">
        <f t="shared" si="5"/>
        <v>7.2499999999999995E-2</v>
      </c>
      <c r="C47">
        <f t="shared" si="16"/>
        <v>2708</v>
      </c>
      <c r="D47" s="6">
        <f t="shared" si="6"/>
        <v>7.419178082191781</v>
      </c>
      <c r="E47" s="7">
        <f t="shared" si="7"/>
        <v>3.2207023575387718E-2</v>
      </c>
      <c r="I47" s="1">
        <f t="shared" si="13"/>
        <v>48147</v>
      </c>
      <c r="J47" s="7">
        <f t="shared" si="8"/>
        <v>7.2499999999999995E-2</v>
      </c>
      <c r="K47">
        <f t="shared" si="14"/>
        <v>2879</v>
      </c>
      <c r="L47" s="6">
        <f t="shared" si="9"/>
        <v>7.8876712328767127</v>
      </c>
      <c r="M47" s="7">
        <f t="shared" si="10"/>
        <v>3.3442518094514158E-2</v>
      </c>
    </row>
    <row r="48" spans="1:13" x14ac:dyDescent="0.3">
      <c r="A48" s="1">
        <f t="shared" si="15"/>
        <v>48147</v>
      </c>
      <c r="B48" s="7">
        <f t="shared" si="5"/>
        <v>7.2499999999999995E-2</v>
      </c>
      <c r="C48">
        <f t="shared" si="16"/>
        <v>3073</v>
      </c>
      <c r="D48" s="6">
        <f t="shared" si="6"/>
        <v>8.419178082191781</v>
      </c>
      <c r="E48" s="7">
        <f t="shared" si="7"/>
        <v>2.8870464045633818E-2</v>
      </c>
      <c r="I48" s="1">
        <f t="shared" si="13"/>
        <v>48513</v>
      </c>
      <c r="J48" s="7">
        <f t="shared" si="8"/>
        <v>7.2499999999999995E-2</v>
      </c>
      <c r="K48">
        <f t="shared" si="14"/>
        <v>3244</v>
      </c>
      <c r="L48" s="6">
        <f t="shared" si="9"/>
        <v>8.8876712328767127</v>
      </c>
      <c r="M48" s="7">
        <f t="shared" si="10"/>
        <v>3.0317675301217654E-2</v>
      </c>
    </row>
    <row r="49" spans="1:14" x14ac:dyDescent="0.3">
      <c r="A49" s="1">
        <f t="shared" si="15"/>
        <v>48513</v>
      </c>
      <c r="B49" s="7">
        <f t="shared" si="5"/>
        <v>7.2499999999999995E-2</v>
      </c>
      <c r="C49">
        <f t="shared" si="16"/>
        <v>3438</v>
      </c>
      <c r="D49" s="6">
        <f t="shared" si="6"/>
        <v>9.419178082191781</v>
      </c>
      <c r="E49" s="7">
        <f t="shared" si="7"/>
        <v>2.5879562954932291E-2</v>
      </c>
      <c r="G49" s="10"/>
      <c r="I49" s="1">
        <f t="shared" si="13"/>
        <v>48878</v>
      </c>
      <c r="J49" s="7">
        <f t="shared" si="8"/>
        <v>7.2499999999999995E-2</v>
      </c>
      <c r="K49">
        <f t="shared" si="14"/>
        <v>3609</v>
      </c>
      <c r="L49" s="6">
        <f t="shared" si="9"/>
        <v>9.8876712328767127</v>
      </c>
      <c r="M49" s="7">
        <f t="shared" si="10"/>
        <v>2.7484815380000957E-2</v>
      </c>
    </row>
    <row r="50" spans="1:14" x14ac:dyDescent="0.3">
      <c r="A50" s="1">
        <f t="shared" si="15"/>
        <v>48878</v>
      </c>
      <c r="B50" s="7">
        <f t="shared" si="5"/>
        <v>7.2499999999999995E-2</v>
      </c>
      <c r="C50">
        <f t="shared" si="16"/>
        <v>3803</v>
      </c>
      <c r="D50" s="6">
        <f t="shared" si="6"/>
        <v>10.419178082191781</v>
      </c>
      <c r="E50" s="7">
        <f t="shared" si="7"/>
        <v>2.3198511034656991E-2</v>
      </c>
      <c r="I50" s="1">
        <f t="shared" si="13"/>
        <v>49243</v>
      </c>
      <c r="J50" s="7">
        <f t="shared" si="8"/>
        <v>7.2499999999999995E-2</v>
      </c>
      <c r="K50">
        <f t="shared" si="14"/>
        <v>3974</v>
      </c>
      <c r="L50" s="6">
        <f t="shared" si="9"/>
        <v>10.887671232876713</v>
      </c>
      <c r="M50" s="7">
        <f t="shared" si="10"/>
        <v>2.4916655679150874E-2</v>
      </c>
      <c r="N50" s="8"/>
    </row>
    <row r="51" spans="1:14" x14ac:dyDescent="0.3">
      <c r="A51" s="1">
        <f t="shared" si="15"/>
        <v>49243</v>
      </c>
      <c r="B51" s="7">
        <f t="shared" si="5"/>
        <v>7.2499999999999995E-2</v>
      </c>
      <c r="C51">
        <f t="shared" si="16"/>
        <v>4168</v>
      </c>
      <c r="D51" s="6">
        <f t="shared" si="6"/>
        <v>11.419178082191781</v>
      </c>
      <c r="E51" s="7">
        <f t="shared" si="7"/>
        <v>2.0795208758443654E-2</v>
      </c>
      <c r="I51" s="1">
        <f t="shared" si="13"/>
        <v>49608</v>
      </c>
      <c r="J51" s="7">
        <f t="shared" si="8"/>
        <v>7.2499999999999995E-2</v>
      </c>
      <c r="K51">
        <f t="shared" si="14"/>
        <v>4339</v>
      </c>
      <c r="L51" s="6">
        <f t="shared" si="9"/>
        <v>11.887671232876713</v>
      </c>
      <c r="M51" s="7">
        <f t="shared" si="10"/>
        <v>2.2588462816639808E-2</v>
      </c>
    </row>
    <row r="52" spans="1:14" x14ac:dyDescent="0.3">
      <c r="A52" s="1">
        <f t="shared" si="15"/>
        <v>49608</v>
      </c>
      <c r="B52" s="7">
        <f t="shared" si="5"/>
        <v>7.2499999999999995E-2</v>
      </c>
      <c r="C52">
        <f t="shared" si="16"/>
        <v>4533</v>
      </c>
      <c r="D52" s="6">
        <f t="shared" si="6"/>
        <v>12.419178082191781</v>
      </c>
      <c r="E52" s="7">
        <f t="shared" si="7"/>
        <v>1.8640882023040827E-2</v>
      </c>
      <c r="I52" s="1">
        <f t="shared" si="13"/>
        <v>49974</v>
      </c>
      <c r="J52" s="7">
        <f t="shared" si="8"/>
        <v>7.2499999999999995E-2</v>
      </c>
      <c r="K52">
        <f t="shared" si="14"/>
        <v>4704</v>
      </c>
      <c r="L52" s="6">
        <f t="shared" si="9"/>
        <v>12.887671232876713</v>
      </c>
      <c r="M52" s="7">
        <f t="shared" si="10"/>
        <v>2.0477814478355692E-2</v>
      </c>
    </row>
    <row r="53" spans="1:14" x14ac:dyDescent="0.3">
      <c r="A53" s="1">
        <f t="shared" si="15"/>
        <v>49974</v>
      </c>
      <c r="B53" s="7">
        <f t="shared" si="5"/>
        <v>7.2499999999999995E-2</v>
      </c>
      <c r="C53">
        <f t="shared" si="16"/>
        <v>4898</v>
      </c>
      <c r="D53" s="6">
        <f t="shared" si="6"/>
        <v>13.419178082191781</v>
      </c>
      <c r="E53" s="7">
        <f t="shared" si="7"/>
        <v>1.6709737643573086E-2</v>
      </c>
      <c r="I53" s="1">
        <f t="shared" si="13"/>
        <v>50339</v>
      </c>
      <c r="J53" s="7">
        <f t="shared" si="8"/>
        <v>7.2499999999999995E-2</v>
      </c>
      <c r="K53">
        <f t="shared" si="14"/>
        <v>5069</v>
      </c>
      <c r="L53" s="6">
        <f t="shared" si="9"/>
        <v>13.887671232876713</v>
      </c>
      <c r="M53" s="7">
        <f t="shared" si="10"/>
        <v>1.8564383473719429E-2</v>
      </c>
    </row>
    <row r="54" spans="1:14" x14ac:dyDescent="0.3">
      <c r="A54" s="1">
        <f t="shared" si="15"/>
        <v>50339</v>
      </c>
      <c r="B54" s="7">
        <f t="shared" si="5"/>
        <v>7.2499999999999995E-2</v>
      </c>
      <c r="C54">
        <f t="shared" si="16"/>
        <v>5263</v>
      </c>
      <c r="D54" s="6">
        <f t="shared" si="6"/>
        <v>14.419178082191781</v>
      </c>
      <c r="E54" s="7">
        <f t="shared" si="7"/>
        <v>1.4978654538552566E-2</v>
      </c>
      <c r="I54" s="1">
        <f t="shared" si="13"/>
        <v>50704</v>
      </c>
      <c r="J54" s="7">
        <f t="shared" si="8"/>
        <v>7.2499999999999995E-2</v>
      </c>
      <c r="K54">
        <f t="shared" si="14"/>
        <v>5434</v>
      </c>
      <c r="L54" s="6">
        <f t="shared" si="9"/>
        <v>14.887671232876713</v>
      </c>
      <c r="M54" s="7">
        <f t="shared" si="10"/>
        <v>1.682974196897697E-2</v>
      </c>
    </row>
    <row r="55" spans="1:14" x14ac:dyDescent="0.3">
      <c r="A55" s="1">
        <f t="shared" si="15"/>
        <v>50704</v>
      </c>
      <c r="B55" s="7">
        <f t="shared" si="5"/>
        <v>7.2499999999999995E-2</v>
      </c>
      <c r="C55">
        <f t="shared" si="16"/>
        <v>5628</v>
      </c>
      <c r="D55" s="6">
        <f t="shared" si="6"/>
        <v>15.419178082191781</v>
      </c>
      <c r="E55" s="7">
        <f t="shared" si="7"/>
        <v>1.3426906907278404E-2</v>
      </c>
      <c r="I55" s="1">
        <f t="shared" si="13"/>
        <v>51069</v>
      </c>
      <c r="J55" s="7">
        <f t="shared" si="8"/>
        <v>7.2499999999999995E-2</v>
      </c>
      <c r="K55">
        <f t="shared" si="14"/>
        <v>5799</v>
      </c>
      <c r="L55" s="6">
        <f t="shared" si="9"/>
        <v>15.887671232876713</v>
      </c>
      <c r="M55" s="7">
        <f t="shared" si="10"/>
        <v>1.525718401277976E-2</v>
      </c>
    </row>
    <row r="56" spans="1:14" x14ac:dyDescent="0.3">
      <c r="A56" s="1">
        <f t="shared" si="15"/>
        <v>51069</v>
      </c>
      <c r="B56" s="7">
        <f t="shared" si="5"/>
        <v>7.2499999999999995E-2</v>
      </c>
      <c r="C56">
        <f t="shared" si="16"/>
        <v>5993</v>
      </c>
      <c r="D56" s="6">
        <f t="shared" si="6"/>
        <v>16.419178082191781</v>
      </c>
      <c r="E56" s="7">
        <f t="shared" si="7"/>
        <v>1.2035916085300254E-2</v>
      </c>
      <c r="I56" s="1">
        <f t="shared" si="13"/>
        <v>51435</v>
      </c>
      <c r="J56" s="7">
        <f t="shared" si="8"/>
        <v>7.2499999999999995E-2</v>
      </c>
      <c r="K56">
        <f t="shared" si="14"/>
        <v>6164</v>
      </c>
      <c r="L56" s="6">
        <f t="shared" si="9"/>
        <v>16.887671232876713</v>
      </c>
      <c r="M56" s="7">
        <f t="shared" si="10"/>
        <v>1.3831564644836467E-2</v>
      </c>
    </row>
    <row r="57" spans="1:14" x14ac:dyDescent="0.3">
      <c r="A57" s="1">
        <f t="shared" si="15"/>
        <v>51435</v>
      </c>
      <c r="B57" s="7">
        <f t="shared" si="5"/>
        <v>7.2499999999999995E-2</v>
      </c>
      <c r="C57">
        <f t="shared" si="16"/>
        <v>6358</v>
      </c>
      <c r="D57" s="6">
        <f t="shared" si="6"/>
        <v>17.419178082191781</v>
      </c>
      <c r="E57" s="7">
        <f t="shared" si="7"/>
        <v>1.078902810697693E-2</v>
      </c>
      <c r="I57" s="1">
        <f t="shared" si="13"/>
        <v>51800</v>
      </c>
      <c r="J57" s="7">
        <f t="shared" si="8"/>
        <v>7.2499999999999995E-2</v>
      </c>
      <c r="K57">
        <f t="shared" si="14"/>
        <v>6529</v>
      </c>
      <c r="L57" s="6">
        <f t="shared" si="9"/>
        <v>17.887671232876713</v>
      </c>
      <c r="M57" s="7">
        <f t="shared" si="10"/>
        <v>1.2539154038126745E-2</v>
      </c>
    </row>
    <row r="58" spans="1:14" x14ac:dyDescent="0.3">
      <c r="A58" s="1">
        <f t="shared" si="15"/>
        <v>51800</v>
      </c>
      <c r="B58" s="7">
        <f t="shared" si="5"/>
        <v>7.2499999999999995E-2</v>
      </c>
      <c r="C58">
        <f t="shared" si="16"/>
        <v>6723</v>
      </c>
      <c r="D58" s="6">
        <f t="shared" si="6"/>
        <v>18.419178082191781</v>
      </c>
      <c r="E58" s="7">
        <f t="shared" si="7"/>
        <v>9.6713143119454004E-3</v>
      </c>
      <c r="I58" s="1">
        <f t="shared" si="13"/>
        <v>52165</v>
      </c>
      <c r="J58" s="7">
        <f t="shared" si="8"/>
        <v>7.2499999999999995E-2</v>
      </c>
      <c r="K58">
        <f t="shared" si="14"/>
        <v>6894</v>
      </c>
      <c r="L58" s="6">
        <f t="shared" si="9"/>
        <v>18.887671232876713</v>
      </c>
      <c r="M58" s="7">
        <f t="shared" si="10"/>
        <v>1.1367505269952716E-2</v>
      </c>
    </row>
    <row r="59" spans="1:14" x14ac:dyDescent="0.3">
      <c r="A59" s="1">
        <f t="shared" si="15"/>
        <v>52165</v>
      </c>
      <c r="B59" s="7">
        <f t="shared" si="5"/>
        <v>7.2499999999999995E-2</v>
      </c>
      <c r="C59">
        <f t="shared" si="16"/>
        <v>7088</v>
      </c>
      <c r="D59" s="6">
        <f t="shared" si="6"/>
        <v>19.419178082191781</v>
      </c>
      <c r="E59" s="7">
        <f t="shared" si="7"/>
        <v>8.6693926082140986E-3</v>
      </c>
      <c r="I59" s="1">
        <f t="shared" si="13"/>
        <v>52530</v>
      </c>
      <c r="J59" s="7">
        <f t="shared" si="8"/>
        <v>7.2499999999999995E-2</v>
      </c>
      <c r="K59">
        <f t="shared" si="14"/>
        <v>7259</v>
      </c>
      <c r="L59" s="6">
        <f t="shared" si="9"/>
        <v>19.887671232876713</v>
      </c>
      <c r="M59" s="7">
        <f t="shared" si="10"/>
        <v>1.0305334448360228E-2</v>
      </c>
    </row>
    <row r="60" spans="1:14" x14ac:dyDescent="0.3">
      <c r="A60" s="1">
        <f t="shared" si="15"/>
        <v>52530</v>
      </c>
      <c r="B60" s="7">
        <f t="shared" si="5"/>
        <v>7.2499999999999995E-2</v>
      </c>
      <c r="C60">
        <f t="shared" si="16"/>
        <v>7453</v>
      </c>
      <c r="D60" s="6">
        <f t="shared" si="6"/>
        <v>20.419178082191781</v>
      </c>
      <c r="E60" s="7">
        <f t="shared" si="7"/>
        <v>7.7712672519107693E-3</v>
      </c>
      <c r="I60" s="1">
        <f t="shared" si="13"/>
        <v>52896</v>
      </c>
      <c r="J60" s="7">
        <f t="shared" si="8"/>
        <v>7.2499999999999995E-2</v>
      </c>
      <c r="K60">
        <f t="shared" si="14"/>
        <v>7624</v>
      </c>
      <c r="L60" s="6">
        <f t="shared" si="9"/>
        <v>20.887671232876713</v>
      </c>
      <c r="M60" s="7">
        <f t="shared" si="10"/>
        <v>9.3424120394537333E-3</v>
      </c>
    </row>
    <row r="61" spans="1:14" x14ac:dyDescent="0.3">
      <c r="A61" s="1">
        <f t="shared" si="15"/>
        <v>52896</v>
      </c>
      <c r="B61" s="7">
        <f t="shared" si="5"/>
        <v>7.2499999999999995E-2</v>
      </c>
      <c r="C61">
        <f t="shared" si="16"/>
        <v>7818</v>
      </c>
      <c r="D61" s="6">
        <f t="shared" si="6"/>
        <v>21.419178082191781</v>
      </c>
      <c r="E61" s="7">
        <f t="shared" si="7"/>
        <v>6.9661852254101235E-3</v>
      </c>
      <c r="I61" s="1">
        <f t="shared" si="13"/>
        <v>53261</v>
      </c>
      <c r="J61" s="7">
        <f t="shared" si="8"/>
        <v>7.2499999999999995E-2</v>
      </c>
      <c r="K61">
        <f t="shared" si="14"/>
        <v>7989</v>
      </c>
      <c r="L61" s="6">
        <f t="shared" si="9"/>
        <v>21.887671232876713</v>
      </c>
      <c r="M61" s="7">
        <f t="shared" si="10"/>
        <v>8.4694643490020888E-3</v>
      </c>
    </row>
    <row r="62" spans="1:14" x14ac:dyDescent="0.3">
      <c r="A62" s="1">
        <f t="shared" si="15"/>
        <v>53261</v>
      </c>
      <c r="B62" s="7">
        <f t="shared" si="5"/>
        <v>7.2499999999999995E-2</v>
      </c>
      <c r="C62">
        <f t="shared" si="16"/>
        <v>8183</v>
      </c>
      <c r="D62" s="6">
        <f t="shared" si="6"/>
        <v>22.419178082191781</v>
      </c>
      <c r="E62" s="7">
        <f t="shared" si="7"/>
        <v>6.2445074942945062E-3</v>
      </c>
      <c r="I62" s="1">
        <f t="shared" si="13"/>
        <v>53626</v>
      </c>
      <c r="J62" s="7">
        <f t="shared" si="8"/>
        <v>7.2499999999999995E-2</v>
      </c>
      <c r="K62">
        <f t="shared" si="14"/>
        <v>8354</v>
      </c>
      <c r="L62" s="6">
        <f t="shared" si="9"/>
        <v>22.887671232876713</v>
      </c>
      <c r="M62" s="7">
        <f t="shared" si="10"/>
        <v>7.6780842095262192E-3</v>
      </c>
    </row>
    <row r="63" spans="1:14" x14ac:dyDescent="0.3">
      <c r="A63" s="1">
        <f t="shared" si="15"/>
        <v>53626</v>
      </c>
      <c r="B63" s="7">
        <f t="shared" si="5"/>
        <v>7.2499999999999995E-2</v>
      </c>
      <c r="C63">
        <f t="shared" si="16"/>
        <v>8548</v>
      </c>
      <c r="D63" s="6">
        <f t="shared" si="6"/>
        <v>23.419178082191781</v>
      </c>
      <c r="E63" s="7">
        <f t="shared" si="7"/>
        <v>5.5975936017412685E-3</v>
      </c>
      <c r="I63" s="1">
        <f t="shared" si="13"/>
        <v>53991</v>
      </c>
      <c r="J63" s="7">
        <f t="shared" si="8"/>
        <v>7.2499999999999995E-2</v>
      </c>
      <c r="K63">
        <f t="shared" si="14"/>
        <v>8719</v>
      </c>
      <c r="L63" s="6">
        <f t="shared" si="9"/>
        <v>23.887671232876713</v>
      </c>
      <c r="M63" s="7">
        <f t="shared" si="10"/>
        <v>6.9606500127156207E-3</v>
      </c>
    </row>
    <row r="64" spans="1:14" x14ac:dyDescent="0.3">
      <c r="A64" s="1">
        <f t="shared" si="15"/>
        <v>53991</v>
      </c>
      <c r="B64" s="7">
        <f t="shared" si="5"/>
        <v>7.2499999999999995E-2</v>
      </c>
      <c r="C64">
        <f t="shared" si="16"/>
        <v>8913</v>
      </c>
      <c r="D64" s="6">
        <f t="shared" si="6"/>
        <v>24.419178082191781</v>
      </c>
      <c r="E64" s="7">
        <f t="shared" si="7"/>
        <v>5.0176982186158374E-3</v>
      </c>
      <c r="I64" s="1">
        <f t="shared" si="13"/>
        <v>54357</v>
      </c>
      <c r="J64" s="7">
        <f t="shared" si="8"/>
        <v>7.2499999999999995E-2</v>
      </c>
      <c r="K64">
        <f t="shared" si="14"/>
        <v>9084</v>
      </c>
      <c r="L64" s="6">
        <f t="shared" si="9"/>
        <v>24.887671232876713</v>
      </c>
      <c r="M64" s="7">
        <f t="shared" si="10"/>
        <v>6.3102523073926588E-3</v>
      </c>
    </row>
    <row r="65" spans="1:14" x14ac:dyDescent="0.3">
      <c r="A65" s="1">
        <f t="shared" si="15"/>
        <v>54357</v>
      </c>
      <c r="B65" s="7">
        <f t="shared" si="5"/>
        <v>7.2499999999999995E-2</v>
      </c>
      <c r="C65">
        <f t="shared" si="16"/>
        <v>9278</v>
      </c>
      <c r="D65" s="6">
        <f t="shared" si="6"/>
        <v>25.419178082191781</v>
      </c>
      <c r="E65" s="7">
        <f t="shared" si="7"/>
        <v>4.4978784106921446E-3</v>
      </c>
      <c r="I65" s="1">
        <f t="shared" si="13"/>
        <v>54722</v>
      </c>
      <c r="J65" s="7">
        <f t="shared" si="8"/>
        <v>7.2499999999999995E-2</v>
      </c>
      <c r="K65">
        <f t="shared" si="14"/>
        <v>9449</v>
      </c>
      <c r="L65" s="6">
        <f t="shared" si="9"/>
        <v>25.887671232876713</v>
      </c>
      <c r="M65" s="7">
        <f t="shared" si="10"/>
        <v>5.7206272561058308E-3</v>
      </c>
    </row>
    <row r="66" spans="1:14" x14ac:dyDescent="0.3">
      <c r="A66" s="1">
        <f t="shared" si="15"/>
        <v>54722</v>
      </c>
      <c r="B66" s="7">
        <f t="shared" si="5"/>
        <v>7.2499999999999995E-2</v>
      </c>
      <c r="C66">
        <f t="shared" si="16"/>
        <v>9643</v>
      </c>
      <c r="D66" s="6">
        <f t="shared" si="6"/>
        <v>26.419178082191781</v>
      </c>
      <c r="E66" s="7">
        <f t="shared" si="7"/>
        <v>4.0319105127353243E-3</v>
      </c>
      <c r="I66" s="1">
        <f t="shared" si="13"/>
        <v>55087</v>
      </c>
      <c r="J66" s="7">
        <f>$J$30+1</f>
        <v>1.0725</v>
      </c>
      <c r="K66">
        <f t="shared" si="14"/>
        <v>9814</v>
      </c>
      <c r="L66" s="6">
        <f t="shared" si="9"/>
        <v>26.887671232876713</v>
      </c>
      <c r="M66" s="7">
        <f t="shared" si="10"/>
        <v>7.6718459198962932E-2</v>
      </c>
    </row>
    <row r="67" spans="1:14" x14ac:dyDescent="0.3">
      <c r="A67" s="1">
        <f t="shared" si="15"/>
        <v>55087</v>
      </c>
      <c r="B67" s="7">
        <f>$B$30+1</f>
        <v>1.0725</v>
      </c>
      <c r="C67">
        <f t="shared" si="16"/>
        <v>10008</v>
      </c>
      <c r="D67" s="6">
        <f t="shared" si="6"/>
        <v>27.419178082191781</v>
      </c>
      <c r="E67" s="7">
        <f t="shared" si="7"/>
        <v>5.3465465465264053E-2</v>
      </c>
      <c r="L67" s="3" t="s">
        <v>17</v>
      </c>
      <c r="M67" s="7">
        <f>SUM(M40:M66)</f>
        <v>0.73241534447017698</v>
      </c>
      <c r="N67" s="8">
        <f>J34*M67</f>
        <v>732415344.47017694</v>
      </c>
    </row>
    <row r="68" spans="1:14" ht="15" thickBot="1" x14ac:dyDescent="0.35">
      <c r="A68" s="1"/>
      <c r="B68" s="7"/>
      <c r="D68" s="3" t="s">
        <v>17</v>
      </c>
      <c r="E68" s="7">
        <f>SUM(E40:E67)</f>
        <v>0.68704547593727672</v>
      </c>
      <c r="F68" s="8">
        <f>B34*E68</f>
        <v>687045475.93727672</v>
      </c>
      <c r="L68" s="3" t="s">
        <v>18</v>
      </c>
      <c r="M68" s="7">
        <f>(J30/J35)*K38</f>
        <v>8.1438356164383555E-3</v>
      </c>
      <c r="N68" s="8">
        <f>J34*M68</f>
        <v>8143835.6164383553</v>
      </c>
    </row>
    <row r="69" spans="1:14" x14ac:dyDescent="0.3">
      <c r="A69" s="1"/>
      <c r="B69" s="7"/>
      <c r="D69" s="3" t="s">
        <v>18</v>
      </c>
      <c r="E69" s="7">
        <f>(B30/B35)*C38</f>
        <v>4.2109589041095886E-2</v>
      </c>
      <c r="F69" s="8">
        <f>B34*E69</f>
        <v>42109589.04109589</v>
      </c>
      <c r="H69" s="16" t="s">
        <v>5</v>
      </c>
      <c r="I69" s="17"/>
      <c r="J69" s="18"/>
      <c r="L69" s="3" t="s">
        <v>4</v>
      </c>
      <c r="M69" s="7">
        <f>M67-M68</f>
        <v>0.72427150885373859</v>
      </c>
      <c r="N69" s="8">
        <f>J34*M69</f>
        <v>724271508.85373855</v>
      </c>
    </row>
    <row r="70" spans="1:14" x14ac:dyDescent="0.3">
      <c r="A70" s="1"/>
      <c r="B70" s="7"/>
      <c r="D70" s="3" t="s">
        <v>4</v>
      </c>
      <c r="E70" s="7">
        <f>E68-E69</f>
        <v>0.64493588689618087</v>
      </c>
      <c r="F70" s="8">
        <f>B34*E70</f>
        <v>644935886.89618087</v>
      </c>
      <c r="H70" s="11">
        <f>B28</f>
        <v>45072</v>
      </c>
      <c r="I70" s="8">
        <f>-F68</f>
        <v>-687045475.93727672</v>
      </c>
      <c r="J70" s="12" t="s">
        <v>8</v>
      </c>
      <c r="L70" s="3" t="s">
        <v>19</v>
      </c>
      <c r="M70" s="6">
        <f>M71/(1+J31)</f>
        <v>9.361775068806919</v>
      </c>
    </row>
    <row r="71" spans="1:14" x14ac:dyDescent="0.3">
      <c r="A71" s="1"/>
      <c r="B71" s="7"/>
      <c r="D71" s="3" t="s">
        <v>19</v>
      </c>
      <c r="E71" s="6">
        <f>E72/(1+B31)</f>
        <v>8.1829850543736722</v>
      </c>
      <c r="H71" s="11">
        <f>A40</f>
        <v>45225</v>
      </c>
      <c r="I71" s="8">
        <f>B40*B34</f>
        <v>72500000</v>
      </c>
      <c r="J71" s="12" t="s">
        <v>24</v>
      </c>
      <c r="L71" s="3" t="s">
        <v>20</v>
      </c>
      <c r="M71" s="6">
        <f>SUMPRODUCT(M40:M66,L40:L66)/M67</f>
        <v>10.326693225148848</v>
      </c>
    </row>
    <row r="72" spans="1:14" x14ac:dyDescent="0.3">
      <c r="A72" s="1"/>
      <c r="B72" s="7"/>
      <c r="D72" s="3" t="s">
        <v>20</v>
      </c>
      <c r="E72" s="6">
        <f>SUMPRODUCT(E40:E67,D40:D67)/E68</f>
        <v>9.1286926371076369</v>
      </c>
      <c r="H72" s="11">
        <f>J28</f>
        <v>45266</v>
      </c>
      <c r="I72" s="8">
        <f>N67</f>
        <v>732415344.47017694</v>
      </c>
      <c r="J72" s="12" t="s">
        <v>7</v>
      </c>
      <c r="L72" s="3" t="s">
        <v>21</v>
      </c>
      <c r="M72" s="8">
        <f>N67*M70*0.01%</f>
        <v>685670.77118725341</v>
      </c>
    </row>
    <row r="73" spans="1:14" ht="15" thickBot="1" x14ac:dyDescent="0.35">
      <c r="A73" s="1"/>
      <c r="B73" s="7"/>
      <c r="D73" s="3" t="s">
        <v>21</v>
      </c>
      <c r="E73" s="8">
        <f>F68*E71*0.01%</f>
        <v>562208.28612697823</v>
      </c>
      <c r="H73" s="13" t="s">
        <v>5</v>
      </c>
      <c r="I73" s="14">
        <f>XIRR(I70:I72,H70:H72)</f>
        <v>0.35496357083320618</v>
      </c>
      <c r="J73" s="15" t="s">
        <v>9</v>
      </c>
    </row>
    <row r="74" spans="1:14" x14ac:dyDescent="0.3">
      <c r="A74" s="1"/>
      <c r="B74" s="7"/>
      <c r="D74" s="6"/>
      <c r="E74" s="7"/>
    </row>
    <row r="75" spans="1:14" x14ac:dyDescent="0.3">
      <c r="A75" s="1"/>
      <c r="B75" s="7"/>
      <c r="D75" s="6"/>
      <c r="E75" s="7"/>
    </row>
    <row r="76" spans="1:14" x14ac:dyDescent="0.3">
      <c r="A76" s="1"/>
      <c r="B76" s="7"/>
      <c r="D76" s="6"/>
      <c r="E76" s="7"/>
    </row>
    <row r="77" spans="1:14" x14ac:dyDescent="0.3">
      <c r="A77" s="1"/>
      <c r="B77" s="7"/>
      <c r="D77" s="6"/>
      <c r="E77" s="7"/>
    </row>
    <row r="78" spans="1:14" x14ac:dyDescent="0.3">
      <c r="A78" s="1"/>
      <c r="B78" s="7"/>
      <c r="D78" s="6"/>
      <c r="E78" s="7"/>
    </row>
    <row r="79" spans="1:14" x14ac:dyDescent="0.3">
      <c r="A79" s="1"/>
      <c r="B79" s="7"/>
      <c r="D79" s="6"/>
      <c r="E79" s="7"/>
    </row>
    <row r="80" spans="1:14" x14ac:dyDescent="0.3">
      <c r="A80" s="1"/>
      <c r="B80" s="7"/>
      <c r="D80" s="6"/>
      <c r="E80" s="7"/>
    </row>
    <row r="81" spans="1:5" x14ac:dyDescent="0.3">
      <c r="A81" s="1"/>
      <c r="B81" s="7"/>
      <c r="D81" s="6"/>
      <c r="E81" s="7"/>
    </row>
    <row r="82" spans="1:5" x14ac:dyDescent="0.3">
      <c r="A82" s="1"/>
      <c r="B82" s="7"/>
      <c r="D82" s="6"/>
      <c r="E82" s="7"/>
    </row>
    <row r="83" spans="1:5" x14ac:dyDescent="0.3">
      <c r="A83" s="1"/>
      <c r="B83" s="7"/>
      <c r="D83" s="6"/>
      <c r="E83" s="7"/>
    </row>
  </sheetData>
  <mergeCells count="4">
    <mergeCell ref="H20:J20"/>
    <mergeCell ref="H69:J69"/>
    <mergeCell ref="A2:F2"/>
    <mergeCell ref="I2:N2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 Flujos Intermedios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dcterms:created xsi:type="dcterms:W3CDTF">2015-06-05T18:19:34Z</dcterms:created>
  <dcterms:modified xsi:type="dcterms:W3CDTF">2023-05-27T16:29:37Z</dcterms:modified>
</cp:coreProperties>
</file>