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Operación Bursátil e Instituciones Financieras\"/>
    </mc:Choice>
  </mc:AlternateContent>
  <xr:revisionPtr revIDLastSave="0" documentId="8_{0BE55829-F95E-489A-B4FF-E5F5949AF6B6}" xr6:coauthVersionLast="47" xr6:coauthVersionMax="47" xr10:uidLastSave="{00000000-0000-0000-0000-000000000000}"/>
  <bookViews>
    <workbookView xWindow="-108" yWindow="-108" windowWidth="23256" windowHeight="12456" xr2:uid="{6F63CE52-E508-41E3-B06E-FA881825A4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K25" i="1"/>
  <c r="K24" i="1"/>
  <c r="K23" i="1"/>
  <c r="K22" i="1"/>
  <c r="K21" i="1"/>
  <c r="K20" i="1"/>
  <c r="K19" i="1"/>
  <c r="K18" i="1"/>
  <c r="K17" i="1"/>
  <c r="K16" i="1"/>
  <c r="K15" i="1"/>
  <c r="K14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13" i="1"/>
  <c r="L12" i="1" s="1"/>
  <c r="L14" i="1" l="1"/>
  <c r="N27" i="1"/>
  <c r="O27" i="1" s="1"/>
  <c r="M14" i="1" l="1"/>
  <c r="N14" i="1" s="1"/>
  <c r="L15" i="1"/>
  <c r="L16" i="1" l="1"/>
  <c r="M15" i="1"/>
  <c r="N15" i="1" s="1"/>
  <c r="L17" i="1" l="1"/>
  <c r="M16" i="1"/>
  <c r="N16" i="1" s="1"/>
  <c r="L18" i="1" l="1"/>
  <c r="M17" i="1"/>
  <c r="N17" i="1" s="1"/>
  <c r="L19" i="1" l="1"/>
  <c r="M18" i="1"/>
  <c r="N18" i="1" s="1"/>
  <c r="L20" i="1" l="1"/>
  <c r="M19" i="1"/>
  <c r="N19" i="1" s="1"/>
  <c r="L21" i="1" l="1"/>
  <c r="M20" i="1"/>
  <c r="N20" i="1" s="1"/>
  <c r="L22" i="1" l="1"/>
  <c r="M21" i="1"/>
  <c r="N21" i="1" s="1"/>
  <c r="L23" i="1" l="1"/>
  <c r="M22" i="1"/>
  <c r="N22" i="1" s="1"/>
  <c r="L24" i="1" l="1"/>
  <c r="M23" i="1"/>
  <c r="N23" i="1" s="1"/>
  <c r="L25" i="1" l="1"/>
  <c r="M25" i="1" s="1"/>
  <c r="N25" i="1" s="1"/>
  <c r="M24" i="1"/>
  <c r="N24" i="1" s="1"/>
  <c r="N26" i="1"/>
  <c r="N28" i="1" l="1"/>
  <c r="O28" i="1" s="1"/>
  <c r="O26" i="1"/>
  <c r="J29" i="1" s="1"/>
  <c r="N30" i="1"/>
  <c r="N29" i="1" s="1"/>
  <c r="N31" i="1" s="1"/>
  <c r="C25" i="1" l="1"/>
  <c r="C15" i="1"/>
  <c r="C16" i="1"/>
  <c r="C17" i="1"/>
  <c r="C18" i="1"/>
  <c r="C19" i="1"/>
  <c r="C20" i="1"/>
  <c r="C21" i="1"/>
  <c r="C22" i="1"/>
  <c r="C23" i="1"/>
  <c r="C24" i="1"/>
  <c r="C14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13" i="1"/>
  <c r="D12" i="1" s="1"/>
  <c r="F27" i="1" s="1"/>
  <c r="G27" i="1" s="1"/>
  <c r="D14" i="1" l="1"/>
  <c r="D15" i="1" l="1"/>
  <c r="E14" i="1"/>
  <c r="F14" i="1" l="1"/>
  <c r="E15" i="1"/>
  <c r="F15" i="1" s="1"/>
  <c r="D16" i="1"/>
  <c r="E16" i="1" l="1"/>
  <c r="F16" i="1" s="1"/>
  <c r="D17" i="1"/>
  <c r="E17" i="1" l="1"/>
  <c r="D18" i="1"/>
  <c r="E18" i="1" l="1"/>
  <c r="F18" i="1" s="1"/>
  <c r="D19" i="1"/>
  <c r="F17" i="1"/>
  <c r="D20" i="1" l="1"/>
  <c r="E19" i="1"/>
  <c r="F19" i="1" l="1"/>
  <c r="D21" i="1"/>
  <c r="E20" i="1"/>
  <c r="F20" i="1" s="1"/>
  <c r="E21" i="1" l="1"/>
  <c r="F21" i="1" s="1"/>
  <c r="D22" i="1"/>
  <c r="D23" i="1" l="1"/>
  <c r="E22" i="1"/>
  <c r="F22" i="1" s="1"/>
  <c r="D24" i="1" l="1"/>
  <c r="E23" i="1"/>
  <c r="F23" i="1" s="1"/>
  <c r="D25" i="1" l="1"/>
  <c r="E25" i="1" s="1"/>
  <c r="E24" i="1"/>
  <c r="F24" i="1" s="1"/>
  <c r="F25" i="1" l="1"/>
  <c r="F26" i="1" s="1"/>
  <c r="F30" i="1"/>
  <c r="F29" i="1" s="1"/>
  <c r="F31" i="1" s="1"/>
  <c r="G26" i="1" l="1"/>
  <c r="J28" i="1" s="1"/>
  <c r="J30" i="1" s="1"/>
  <c r="F28" i="1"/>
  <c r="G28" i="1" s="1"/>
</calcChain>
</file>

<file path=xl/sharedStrings.xml><?xml version="1.0" encoding="utf-8"?>
<sst xmlns="http://schemas.openxmlformats.org/spreadsheetml/2006/main" count="41" uniqueCount="22">
  <si>
    <t>Fecha de Vencimiento</t>
  </si>
  <si>
    <t>Fecha de Negociacion</t>
  </si>
  <si>
    <t>Facial</t>
  </si>
  <si>
    <t>TIR</t>
  </si>
  <si>
    <t>Nominal Base 100%</t>
  </si>
  <si>
    <t>Nominal $</t>
  </si>
  <si>
    <t xml:space="preserve">Base </t>
  </si>
  <si>
    <t>Fechas Flujo</t>
  </si>
  <si>
    <t>Cupón</t>
  </si>
  <si>
    <t>Días</t>
  </si>
  <si>
    <t>Días Acumulados</t>
  </si>
  <si>
    <t>VP</t>
  </si>
  <si>
    <t xml:space="preserve">Precio Sucio </t>
  </si>
  <si>
    <t xml:space="preserve">Cupón Corrido </t>
  </si>
  <si>
    <t>Precio Limpio</t>
  </si>
  <si>
    <t>Duracion Modificada</t>
  </si>
  <si>
    <t>Duracion de Macaulay</t>
  </si>
  <si>
    <t>DV01</t>
  </si>
  <si>
    <t>TIR de Tenencia</t>
  </si>
  <si>
    <t>Compra</t>
  </si>
  <si>
    <t>Venta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</si>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</sst>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73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4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/>
    <xf numFmtId="0" fontId="0" fillId="0" borderId="5" xfId="0" applyBorder="1"/>
    <xf numFmtId="173" fontId="0" fillId="0" borderId="6" xfId="0" applyNumberFormat="1" applyBorder="1"/>
    <xf numFmtId="10" fontId="0" fillId="0" borderId="7" xfId="2" applyNumberFormat="1" applyFont="1" applyBorder="1"/>
    <xf numFmtId="0" fontId="0" fillId="0" borderId="8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7415-D496-4796-A319-22FDA10A47BD}">
  <dimension ref="B2:O33"/>
  <sheetViews>
    <sheetView tabSelected="1" topLeftCell="A5" workbookViewId="0">
      <selection activeCell="H19" sqref="H19"/>
    </sheetView>
  </sheetViews>
  <sheetFormatPr baseColWidth="10" defaultRowHeight="14.4" x14ac:dyDescent="0.3"/>
  <cols>
    <col min="2" max="2" width="19" bestFit="1" customWidth="1"/>
    <col min="3" max="3" width="15.44140625" bestFit="1" customWidth="1"/>
    <col min="4" max="4" width="19.21875" bestFit="1" customWidth="1"/>
    <col min="5" max="5" width="14.77734375" bestFit="1" customWidth="1"/>
    <col min="6" max="6" width="12.77734375" bestFit="1" customWidth="1"/>
    <col min="7" max="7" width="13.88671875" bestFit="1" customWidth="1"/>
    <col min="9" max="9" width="13.88671875" bestFit="1" customWidth="1"/>
    <col min="10" max="10" width="19" bestFit="1" customWidth="1"/>
    <col min="11" max="11" width="15.44140625" bestFit="1" customWidth="1"/>
    <col min="12" max="12" width="5" bestFit="1" customWidth="1"/>
    <col min="13" max="13" width="19.21875" bestFit="1" customWidth="1"/>
    <col min="14" max="14" width="12.77734375" bestFit="1" customWidth="1"/>
    <col min="15" max="15" width="13.88671875" bestFit="1" customWidth="1"/>
  </cols>
  <sheetData>
    <row r="2" spans="2:14" x14ac:dyDescent="0.3">
      <c r="B2" t="s">
        <v>1</v>
      </c>
      <c r="C2" s="1">
        <v>44991</v>
      </c>
      <c r="J2" t="s">
        <v>1</v>
      </c>
      <c r="K2" s="1">
        <v>45044</v>
      </c>
    </row>
    <row r="3" spans="2:14" x14ac:dyDescent="0.3">
      <c r="B3" t="s">
        <v>0</v>
      </c>
      <c r="C3" s="1">
        <v>49235</v>
      </c>
      <c r="J3" t="s">
        <v>0</v>
      </c>
      <c r="K3" s="1">
        <v>49235</v>
      </c>
    </row>
    <row r="4" spans="2:14" x14ac:dyDescent="0.3">
      <c r="B4" t="s">
        <v>2</v>
      </c>
      <c r="C4" s="2">
        <v>7.2499999999999995E-2</v>
      </c>
      <c r="J4" t="s">
        <v>2</v>
      </c>
      <c r="K4" s="2">
        <v>7.2499999999999995E-2</v>
      </c>
    </row>
    <row r="5" spans="2:14" x14ac:dyDescent="0.3">
      <c r="B5" t="s">
        <v>3</v>
      </c>
      <c r="C5" s="2">
        <v>0.1235</v>
      </c>
      <c r="J5" t="s">
        <v>3</v>
      </c>
      <c r="K5" s="2">
        <v>0.12</v>
      </c>
    </row>
    <row r="7" spans="2:14" x14ac:dyDescent="0.3">
      <c r="B7" t="s">
        <v>4</v>
      </c>
      <c r="C7" s="3">
        <v>1</v>
      </c>
      <c r="J7" t="s">
        <v>4</v>
      </c>
      <c r="K7" s="3">
        <v>1</v>
      </c>
    </row>
    <row r="8" spans="2:14" x14ac:dyDescent="0.3">
      <c r="B8" t="s">
        <v>5</v>
      </c>
      <c r="C8" s="4">
        <v>1000000000</v>
      </c>
      <c r="J8" t="s">
        <v>5</v>
      </c>
      <c r="K8" s="4">
        <v>1000000000</v>
      </c>
    </row>
    <row r="9" spans="2:14" x14ac:dyDescent="0.3">
      <c r="B9" t="s">
        <v>6</v>
      </c>
      <c r="C9">
        <v>365</v>
      </c>
      <c r="J9" t="s">
        <v>6</v>
      </c>
      <c r="K9">
        <v>365</v>
      </c>
    </row>
    <row r="11" spans="2:14" x14ac:dyDescent="0.3">
      <c r="B11" t="s">
        <v>7</v>
      </c>
      <c r="C11" t="s">
        <v>8</v>
      </c>
      <c r="D11" t="s">
        <v>9</v>
      </c>
      <c r="E11" t="s">
        <v>10</v>
      </c>
      <c r="F11" t="s">
        <v>11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</row>
    <row r="12" spans="2:14" x14ac:dyDescent="0.3">
      <c r="B12" s="1">
        <v>44852</v>
      </c>
      <c r="D12">
        <f>B13-B12</f>
        <v>139</v>
      </c>
      <c r="J12" s="1">
        <v>44852</v>
      </c>
      <c r="L12">
        <f>J13-J12</f>
        <v>192</v>
      </c>
    </row>
    <row r="13" spans="2:14" x14ac:dyDescent="0.3">
      <c r="B13" s="1">
        <f>C2</f>
        <v>44991</v>
      </c>
      <c r="J13" s="1">
        <f>K2</f>
        <v>45044</v>
      </c>
    </row>
    <row r="14" spans="2:14" x14ac:dyDescent="0.3">
      <c r="B14" s="1">
        <v>45217</v>
      </c>
      <c r="C14" s="2">
        <f>$C$4</f>
        <v>7.2499999999999995E-2</v>
      </c>
      <c r="D14">
        <f>B14-B13</f>
        <v>226</v>
      </c>
      <c r="E14" s="5">
        <f>D14/$C$9</f>
        <v>0.61917808219178083</v>
      </c>
      <c r="F14" s="6">
        <f>C14/(1+$C$5)^E14</f>
        <v>6.7456571752452232E-2</v>
      </c>
      <c r="J14" s="1">
        <v>45217</v>
      </c>
      <c r="K14" s="2">
        <f>$K$4</f>
        <v>7.2499999999999995E-2</v>
      </c>
      <c r="L14">
        <f>J14-J13</f>
        <v>173</v>
      </c>
      <c r="M14" s="5">
        <f>L14/$K$9</f>
        <v>0.47397260273972602</v>
      </c>
      <c r="N14" s="6">
        <f>K14/(1+$K$5)^M14</f>
        <v>6.8708427993483909E-2</v>
      </c>
    </row>
    <row r="15" spans="2:14" x14ac:dyDescent="0.3">
      <c r="B15" s="1">
        <f>EDATE(B14,12)</f>
        <v>45583</v>
      </c>
      <c r="C15" s="2">
        <f t="shared" ref="C15:C24" si="0">$C$4</f>
        <v>7.2499999999999995E-2</v>
      </c>
      <c r="D15">
        <f>D14+365</f>
        <v>591</v>
      </c>
      <c r="E15" s="5">
        <f t="shared" ref="E15:E25" si="1">D15/$C$9</f>
        <v>1.6191780821917807</v>
      </c>
      <c r="F15" s="6">
        <f t="shared" ref="F15:F25" si="2">C15/(1+$C$5)^E15</f>
        <v>6.0041452383135054E-2</v>
      </c>
      <c r="J15" s="1">
        <f>EDATE(J14,12)</f>
        <v>45583</v>
      </c>
      <c r="K15" s="2">
        <f>$K$4</f>
        <v>7.2499999999999995E-2</v>
      </c>
      <c r="L15">
        <f>L14+365</f>
        <v>538</v>
      </c>
      <c r="M15" s="5">
        <f t="shared" ref="M15:M25" si="3">L15/$K$9</f>
        <v>1.473972602739726</v>
      </c>
      <c r="N15" s="6">
        <f t="shared" ref="N15:N25" si="4">K15/(1+$K$5)^M15</f>
        <v>6.1346810708467765E-2</v>
      </c>
    </row>
    <row r="16" spans="2:14" x14ac:dyDescent="0.3">
      <c r="B16" s="1">
        <f t="shared" ref="B16:B25" si="5">EDATE(B15,12)</f>
        <v>45948</v>
      </c>
      <c r="C16" s="2">
        <f t="shared" si="0"/>
        <v>7.2499999999999995E-2</v>
      </c>
      <c r="D16">
        <f t="shared" ref="D16:D25" si="6">D15+365</f>
        <v>956</v>
      </c>
      <c r="E16" s="5">
        <f t="shared" si="1"/>
        <v>2.6191780821917807</v>
      </c>
      <c r="F16" s="6">
        <f t="shared" si="2"/>
        <v>5.3441435142977355E-2</v>
      </c>
      <c r="J16" s="1">
        <f>EDATE(J15,12)</f>
        <v>45948</v>
      </c>
      <c r="K16" s="2">
        <f>$K$4</f>
        <v>7.2499999999999995E-2</v>
      </c>
      <c r="L16">
        <f t="shared" ref="L16:L25" si="7">L15+365</f>
        <v>903</v>
      </c>
      <c r="M16" s="5">
        <f t="shared" si="3"/>
        <v>2.473972602739726</v>
      </c>
      <c r="N16" s="6">
        <f t="shared" si="4"/>
        <v>5.4773938132560505E-2</v>
      </c>
    </row>
    <row r="17" spans="2:15" x14ac:dyDescent="0.3">
      <c r="B17" s="1">
        <f t="shared" si="5"/>
        <v>46313</v>
      </c>
      <c r="C17" s="2">
        <f t="shared" si="0"/>
        <v>7.2499999999999995E-2</v>
      </c>
      <c r="D17">
        <f t="shared" si="6"/>
        <v>1321</v>
      </c>
      <c r="E17" s="5">
        <f t="shared" si="1"/>
        <v>3.6191780821917807</v>
      </c>
      <c r="F17" s="6">
        <f t="shared" si="2"/>
        <v>4.7566920465489416E-2</v>
      </c>
      <c r="J17" s="1">
        <f t="shared" ref="J17:J25" si="8">EDATE(J16,12)</f>
        <v>46313</v>
      </c>
      <c r="K17" s="2">
        <f>$K$4</f>
        <v>7.2499999999999995E-2</v>
      </c>
      <c r="L17">
        <f t="shared" si="7"/>
        <v>1268</v>
      </c>
      <c r="M17" s="5">
        <f t="shared" si="3"/>
        <v>3.473972602739726</v>
      </c>
      <c r="N17" s="6">
        <f t="shared" si="4"/>
        <v>4.8905301904071871E-2</v>
      </c>
    </row>
    <row r="18" spans="2:15" x14ac:dyDescent="0.3">
      <c r="B18" s="1">
        <f t="shared" si="5"/>
        <v>46678</v>
      </c>
      <c r="C18" s="2">
        <f t="shared" si="0"/>
        <v>7.2499999999999995E-2</v>
      </c>
      <c r="D18">
        <f t="shared" si="6"/>
        <v>1686</v>
      </c>
      <c r="E18" s="5">
        <f t="shared" si="1"/>
        <v>4.6191780821917812</v>
      </c>
      <c r="F18" s="6">
        <f t="shared" si="2"/>
        <v>4.2338157957711987E-2</v>
      </c>
      <c r="J18" s="1">
        <f t="shared" si="8"/>
        <v>46678</v>
      </c>
      <c r="K18" s="2">
        <f>$K$4</f>
        <v>7.2499999999999995E-2</v>
      </c>
      <c r="L18">
        <f t="shared" si="7"/>
        <v>1633</v>
      </c>
      <c r="M18" s="5">
        <f t="shared" si="3"/>
        <v>4.4739726027397264</v>
      </c>
      <c r="N18" s="6">
        <f t="shared" si="4"/>
        <v>4.3665448128635591E-2</v>
      </c>
    </row>
    <row r="19" spans="2:15" x14ac:dyDescent="0.3">
      <c r="B19" s="1">
        <f t="shared" si="5"/>
        <v>47044</v>
      </c>
      <c r="C19" s="2">
        <f t="shared" si="0"/>
        <v>7.2499999999999995E-2</v>
      </c>
      <c r="D19">
        <f t="shared" si="6"/>
        <v>2051</v>
      </c>
      <c r="E19" s="5">
        <f t="shared" si="1"/>
        <v>5.6191780821917812</v>
      </c>
      <c r="F19" s="6">
        <f t="shared" si="2"/>
        <v>3.7684163736281251E-2</v>
      </c>
      <c r="J19" s="1">
        <f t="shared" si="8"/>
        <v>47044</v>
      </c>
      <c r="K19" s="2">
        <f>$K$4</f>
        <v>7.2499999999999995E-2</v>
      </c>
      <c r="L19">
        <f t="shared" si="7"/>
        <v>1998</v>
      </c>
      <c r="M19" s="5">
        <f t="shared" si="3"/>
        <v>5.4739726027397264</v>
      </c>
      <c r="N19" s="6">
        <f t="shared" si="4"/>
        <v>3.898700725771035E-2</v>
      </c>
    </row>
    <row r="20" spans="2:15" x14ac:dyDescent="0.3">
      <c r="B20" s="1">
        <f>EDATE(B19,12)</f>
        <v>47409</v>
      </c>
      <c r="C20" s="2">
        <f t="shared" si="0"/>
        <v>7.2499999999999995E-2</v>
      </c>
      <c r="D20">
        <f t="shared" si="6"/>
        <v>2416</v>
      </c>
      <c r="E20" s="5">
        <f t="shared" si="1"/>
        <v>6.6191780821917812</v>
      </c>
      <c r="F20" s="6">
        <f t="shared" si="2"/>
        <v>3.3541756774616162E-2</v>
      </c>
      <c r="J20" s="1">
        <f t="shared" si="8"/>
        <v>47409</v>
      </c>
      <c r="K20" s="2">
        <f>$K$4</f>
        <v>7.2499999999999995E-2</v>
      </c>
      <c r="L20">
        <f t="shared" si="7"/>
        <v>2363</v>
      </c>
      <c r="M20" s="5">
        <f t="shared" si="3"/>
        <v>6.4739726027397264</v>
      </c>
      <c r="N20" s="6">
        <f t="shared" si="4"/>
        <v>3.4809827908669953E-2</v>
      </c>
    </row>
    <row r="21" spans="2:15" x14ac:dyDescent="0.3">
      <c r="B21" s="1">
        <f t="shared" si="5"/>
        <v>47774</v>
      </c>
      <c r="C21" s="2">
        <f t="shared" si="0"/>
        <v>7.2499999999999995E-2</v>
      </c>
      <c r="D21">
        <f t="shared" si="6"/>
        <v>2781</v>
      </c>
      <c r="E21" s="5">
        <f t="shared" si="1"/>
        <v>7.6191780821917812</v>
      </c>
      <c r="F21" s="6">
        <f t="shared" si="2"/>
        <v>2.9854701179008597E-2</v>
      </c>
      <c r="J21" s="1">
        <f t="shared" si="8"/>
        <v>47774</v>
      </c>
      <c r="K21" s="2">
        <f>$K$4</f>
        <v>7.2499999999999995E-2</v>
      </c>
      <c r="L21">
        <f t="shared" si="7"/>
        <v>2728</v>
      </c>
      <c r="M21" s="5">
        <f t="shared" si="3"/>
        <v>7.4739726027397264</v>
      </c>
      <c r="N21" s="6">
        <f t="shared" si="4"/>
        <v>3.1080203489883881E-2</v>
      </c>
    </row>
    <row r="22" spans="2:15" x14ac:dyDescent="0.3">
      <c r="B22" s="1">
        <f t="shared" si="5"/>
        <v>48139</v>
      </c>
      <c r="C22" s="2">
        <f t="shared" si="0"/>
        <v>7.2499999999999995E-2</v>
      </c>
      <c r="D22">
        <f t="shared" si="6"/>
        <v>3146</v>
      </c>
      <c r="E22" s="5">
        <f t="shared" si="1"/>
        <v>8.6191780821917803</v>
      </c>
      <c r="F22" s="6">
        <f t="shared" si="2"/>
        <v>2.6572942749451361E-2</v>
      </c>
      <c r="J22" s="1">
        <f t="shared" si="8"/>
        <v>48139</v>
      </c>
      <c r="K22" s="2">
        <f>$K$4</f>
        <v>7.2499999999999995E-2</v>
      </c>
      <c r="L22">
        <f t="shared" si="7"/>
        <v>3093</v>
      </c>
      <c r="M22" s="5">
        <f t="shared" si="3"/>
        <v>8.4739726027397264</v>
      </c>
      <c r="N22" s="6">
        <f t="shared" si="4"/>
        <v>2.7750181687396319E-2</v>
      </c>
    </row>
    <row r="23" spans="2:15" x14ac:dyDescent="0.3">
      <c r="B23" s="1">
        <f>EDATE(B22,12)</f>
        <v>48505</v>
      </c>
      <c r="C23" s="2">
        <f t="shared" si="0"/>
        <v>7.2499999999999995E-2</v>
      </c>
      <c r="D23">
        <f t="shared" si="6"/>
        <v>3511</v>
      </c>
      <c r="E23" s="5">
        <f t="shared" si="1"/>
        <v>9.6191780821917803</v>
      </c>
      <c r="F23" s="6">
        <f t="shared" si="2"/>
        <v>2.3651929461015898E-2</v>
      </c>
      <c r="J23" s="1">
        <f t="shared" si="8"/>
        <v>48505</v>
      </c>
      <c r="K23" s="2">
        <f>$K$4</f>
        <v>7.2499999999999995E-2</v>
      </c>
      <c r="L23">
        <f t="shared" si="7"/>
        <v>3458</v>
      </c>
      <c r="M23" s="5">
        <f t="shared" si="3"/>
        <v>9.4739726027397264</v>
      </c>
      <c r="N23" s="6">
        <f t="shared" si="4"/>
        <v>2.4776947935175285E-2</v>
      </c>
    </row>
    <row r="24" spans="2:15" x14ac:dyDescent="0.3">
      <c r="B24" s="1">
        <f t="shared" si="5"/>
        <v>48870</v>
      </c>
      <c r="C24" s="2">
        <f t="shared" si="0"/>
        <v>7.2499999999999995E-2</v>
      </c>
      <c r="D24">
        <f t="shared" si="6"/>
        <v>3876</v>
      </c>
      <c r="E24" s="5">
        <f t="shared" si="1"/>
        <v>10.61917808219178</v>
      </c>
      <c r="F24" s="6">
        <f t="shared" si="2"/>
        <v>2.1052006640868624E-2</v>
      </c>
      <c r="J24" s="1">
        <f t="shared" si="8"/>
        <v>48870</v>
      </c>
      <c r="K24" s="2">
        <f>$K$4</f>
        <v>7.2499999999999995E-2</v>
      </c>
      <c r="L24">
        <f t="shared" si="7"/>
        <v>3823</v>
      </c>
      <c r="M24" s="5">
        <f t="shared" si="3"/>
        <v>10.473972602739726</v>
      </c>
      <c r="N24" s="6">
        <f t="shared" si="4"/>
        <v>2.2122274942120788E-2</v>
      </c>
    </row>
    <row r="25" spans="2:15" x14ac:dyDescent="0.3">
      <c r="B25" s="1">
        <f t="shared" si="5"/>
        <v>49235</v>
      </c>
      <c r="C25" s="2">
        <f>$C$4+1</f>
        <v>1.0725</v>
      </c>
      <c r="D25">
        <f t="shared" si="6"/>
        <v>4241</v>
      </c>
      <c r="E25" s="5">
        <f t="shared" si="1"/>
        <v>11.61917808219178</v>
      </c>
      <c r="F25" s="6">
        <f t="shared" si="2"/>
        <v>0.27719137697566532</v>
      </c>
      <c r="J25" s="1">
        <f t="shared" si="8"/>
        <v>49235</v>
      </c>
      <c r="K25" s="2">
        <f>$K$4+1</f>
        <v>1.0725</v>
      </c>
      <c r="L25">
        <f t="shared" si="7"/>
        <v>4188</v>
      </c>
      <c r="M25" s="5">
        <f t="shared" si="3"/>
        <v>11.473972602739726</v>
      </c>
      <c r="N25" s="6">
        <f t="shared" si="4"/>
        <v>0.29219384083035149</v>
      </c>
    </row>
    <row r="26" spans="2:15" ht="15" thickBot="1" x14ac:dyDescent="0.35">
      <c r="E26" t="s">
        <v>12</v>
      </c>
      <c r="F26" s="6">
        <f>SUM(F14:F25)</f>
        <v>0.72039341521867328</v>
      </c>
      <c r="G26" s="8">
        <f>$C$8*F26</f>
        <v>720393415.21867323</v>
      </c>
      <c r="M26" t="s">
        <v>12</v>
      </c>
      <c r="N26" s="6">
        <f>SUM(N14:N25)</f>
        <v>0.74912021091852776</v>
      </c>
      <c r="O26" s="8">
        <f>$C$8*N26</f>
        <v>749120210.91852772</v>
      </c>
    </row>
    <row r="27" spans="2:15" x14ac:dyDescent="0.3">
      <c r="E27" t="s">
        <v>13</v>
      </c>
      <c r="F27" s="6">
        <f>(C4/C9)*D12</f>
        <v>2.7609589041095887E-2</v>
      </c>
      <c r="G27" s="8">
        <f t="shared" ref="G27:G28" si="9">$C$8*F27</f>
        <v>27609589.041095886</v>
      </c>
      <c r="I27" s="9" t="s">
        <v>18</v>
      </c>
      <c r="J27" s="10"/>
      <c r="K27" s="11"/>
      <c r="M27" t="s">
        <v>13</v>
      </c>
      <c r="N27" s="6">
        <f>(K4/K9)*L12</f>
        <v>3.8136986301369857E-2</v>
      </c>
      <c r="O27" s="8">
        <f t="shared" ref="O27:O28" si="10">$C$8*N27</f>
        <v>38136986.301369861</v>
      </c>
    </row>
    <row r="28" spans="2:15" x14ac:dyDescent="0.3">
      <c r="E28" t="s">
        <v>14</v>
      </c>
      <c r="F28" s="6">
        <f>F26-F27</f>
        <v>0.69278382617757739</v>
      </c>
      <c r="G28" s="8">
        <f t="shared" si="9"/>
        <v>692783826.17757738</v>
      </c>
      <c r="I28" s="12">
        <f>C2</f>
        <v>44991</v>
      </c>
      <c r="J28" s="8">
        <f>-G26</f>
        <v>-720393415.21867323</v>
      </c>
      <c r="K28" s="13" t="s">
        <v>19</v>
      </c>
      <c r="M28" t="s">
        <v>14</v>
      </c>
      <c r="N28" s="6">
        <f>N26-N27</f>
        <v>0.71098322461715791</v>
      </c>
      <c r="O28" s="8">
        <f t="shared" si="10"/>
        <v>710983224.61715794</v>
      </c>
    </row>
    <row r="29" spans="2:15" x14ac:dyDescent="0.3">
      <c r="E29" t="s">
        <v>15</v>
      </c>
      <c r="F29" s="5">
        <f>F30/(1+C5)</f>
        <v>6.4356368400832462</v>
      </c>
      <c r="I29" s="12">
        <f>K2</f>
        <v>45044</v>
      </c>
      <c r="J29" s="8">
        <f>O26</f>
        <v>749120210.91852772</v>
      </c>
      <c r="K29" s="13" t="s">
        <v>20</v>
      </c>
      <c r="M29" t="s">
        <v>15</v>
      </c>
      <c r="N29" s="5">
        <f>N30/(1+K5)</f>
        <v>6.3753825285075703</v>
      </c>
    </row>
    <row r="30" spans="2:15" ht="15" thickBot="1" x14ac:dyDescent="0.35">
      <c r="E30" t="s">
        <v>16</v>
      </c>
      <c r="F30" s="5">
        <f>SUMPRODUCT(E14:E25,F14:F25)/F26</f>
        <v>7.2304379898335265</v>
      </c>
      <c r="I30" s="14" t="s">
        <v>18</v>
      </c>
      <c r="J30" s="15">
        <f>XIRR(J28:J29,I28:I29)</f>
        <v>0.30903118252754214</v>
      </c>
      <c r="K30" s="16" t="s">
        <v>21</v>
      </c>
      <c r="M30" t="s">
        <v>16</v>
      </c>
      <c r="N30" s="5">
        <f>SUMPRODUCT(M14:M25,N14:N25)/N26</f>
        <v>7.1404284319284796</v>
      </c>
    </row>
    <row r="31" spans="2:15" x14ac:dyDescent="0.3">
      <c r="E31" t="s">
        <v>17</v>
      </c>
      <c r="F31" s="7">
        <f>F29*F26*C8*0.01%</f>
        <v>463619.04023346805</v>
      </c>
      <c r="M31" t="s">
        <v>17</v>
      </c>
      <c r="N31" s="7">
        <f>N29*N26*K8*0.01%</f>
        <v>477592.79044418881</v>
      </c>
    </row>
    <row r="32" spans="2:15" x14ac:dyDescent="0.3">
      <c r="I32" s="8"/>
    </row>
    <row r="33" spans="9:9" x14ac:dyDescent="0.3">
      <c r="I33" s="8"/>
    </row>
  </sheetData>
  <mergeCells count="1">
    <mergeCell ref="I27:K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</cp:lastModifiedBy>
  <dcterms:created xsi:type="dcterms:W3CDTF">2023-05-27T16:46:31Z</dcterms:created>
  <dcterms:modified xsi:type="dcterms:W3CDTF">2023-05-27T17:07:57Z</dcterms:modified>
</cp:coreProperties>
</file>