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2\Operación Bursátil e Instituciones Financieras\"/>
    </mc:Choice>
  </mc:AlternateContent>
  <xr:revisionPtr revIDLastSave="0" documentId="13_ncr:1_{61617A89-BF8F-4B07-A334-6F08801AD75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in Flujos Intermedios" sheetId="1" r:id="rId1"/>
    <sheet name="Con Flujos Intermed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2" i="2" l="1"/>
  <c r="I71" i="2"/>
  <c r="I70" i="2"/>
  <c r="I69" i="2"/>
  <c r="H71" i="2"/>
  <c r="H70" i="2"/>
  <c r="H6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M39" i="2"/>
  <c r="L39" i="2"/>
  <c r="J30" i="2"/>
  <c r="E70" i="2"/>
  <c r="E68" i="2"/>
  <c r="D40" i="2"/>
  <c r="E40" i="2" s="1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 s="1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 s="1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 s="1"/>
  <c r="D65" i="2"/>
  <c r="E65" i="2"/>
  <c r="D66" i="2"/>
  <c r="E66" i="2"/>
  <c r="E39" i="2"/>
  <c r="E67" i="2" s="1"/>
  <c r="E69" i="2" s="1"/>
  <c r="D39" i="2"/>
  <c r="C39" i="2"/>
  <c r="M69" i="2"/>
  <c r="M70" i="2"/>
  <c r="J65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39" i="2"/>
  <c r="B66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39" i="2"/>
  <c r="A38" i="2"/>
  <c r="E71" i="2"/>
  <c r="I40" i="2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A40" i="2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I38" i="2"/>
  <c r="K37" i="2" s="1"/>
  <c r="M67" i="2" s="1"/>
  <c r="H21" i="2"/>
  <c r="H22" i="2"/>
  <c r="H20" i="2"/>
  <c r="E21" i="2"/>
  <c r="J16" i="2"/>
  <c r="J5" i="2"/>
  <c r="M20" i="2" s="1"/>
  <c r="J15" i="2"/>
  <c r="I15" i="2"/>
  <c r="I16" i="2" s="1"/>
  <c r="J14" i="2"/>
  <c r="I13" i="2"/>
  <c r="K14" i="2" s="1"/>
  <c r="E22" i="2"/>
  <c r="A15" i="2"/>
  <c r="A16" i="2" s="1"/>
  <c r="A17" i="2" s="1"/>
  <c r="B14" i="2"/>
  <c r="B15" i="2"/>
  <c r="I21" i="2" s="1"/>
  <c r="B17" i="2"/>
  <c r="A13" i="2"/>
  <c r="C14" i="2" s="1"/>
  <c r="B16" i="2"/>
  <c r="K27" i="1"/>
  <c r="K26" i="1"/>
  <c r="J13" i="1"/>
  <c r="F13" i="1"/>
  <c r="B13" i="1"/>
  <c r="J33" i="1"/>
  <c r="I33" i="1"/>
  <c r="J32" i="1"/>
  <c r="J34" i="1" s="1"/>
  <c r="I32" i="1"/>
  <c r="F33" i="1"/>
  <c r="E33" i="1"/>
  <c r="F32" i="1"/>
  <c r="E32" i="1"/>
  <c r="F34" i="1" s="1"/>
  <c r="A32" i="1"/>
  <c r="A33" i="1"/>
  <c r="B32" i="1"/>
  <c r="C27" i="1"/>
  <c r="B33" i="1" s="1"/>
  <c r="J28" i="1"/>
  <c r="K28" i="1" s="1"/>
  <c r="J27" i="1"/>
  <c r="J29" i="1" s="1"/>
  <c r="F28" i="1"/>
  <c r="G28" i="1" s="1"/>
  <c r="F27" i="1"/>
  <c r="F29" i="1" s="1"/>
  <c r="B28" i="1"/>
  <c r="C28" i="1" s="1"/>
  <c r="B27" i="1"/>
  <c r="K39" i="2" l="1"/>
  <c r="K40" i="2" s="1"/>
  <c r="N67" i="2"/>
  <c r="C37" i="2"/>
  <c r="F68" i="2" s="1"/>
  <c r="C40" i="2"/>
  <c r="M21" i="2"/>
  <c r="K12" i="2"/>
  <c r="K15" i="2"/>
  <c r="L14" i="2"/>
  <c r="M14" i="2" s="1"/>
  <c r="D14" i="2"/>
  <c r="E14" i="2" s="1"/>
  <c r="C15" i="2"/>
  <c r="C16" i="2" s="1"/>
  <c r="C12" i="2"/>
  <c r="E19" i="2" s="1"/>
  <c r="F19" i="2" s="1"/>
  <c r="D16" i="2"/>
  <c r="E16" i="2" s="1"/>
  <c r="D15" i="2"/>
  <c r="E15" i="2" s="1"/>
  <c r="B34" i="1"/>
  <c r="G27" i="1"/>
  <c r="B29" i="1"/>
  <c r="K41" i="2" l="1"/>
  <c r="C41" i="2"/>
  <c r="M18" i="2"/>
  <c r="N18" i="2" s="1"/>
  <c r="K16" i="2"/>
  <c r="L15" i="2"/>
  <c r="M15" i="2" s="1"/>
  <c r="C17" i="2"/>
  <c r="D17" i="2" s="1"/>
  <c r="E17" i="2" s="1"/>
  <c r="E18" i="2" s="1"/>
  <c r="E20" i="2" s="1"/>
  <c r="K42" i="2" l="1"/>
  <c r="C42" i="2"/>
  <c r="L16" i="2"/>
  <c r="M16" i="2" s="1"/>
  <c r="M17" i="2" s="1"/>
  <c r="M19" i="2" s="1"/>
  <c r="F20" i="2"/>
  <c r="F18" i="2"/>
  <c r="K43" i="2" l="1"/>
  <c r="C43" i="2"/>
  <c r="I20" i="2"/>
  <c r="E23" i="2"/>
  <c r="N19" i="2"/>
  <c r="N17" i="2"/>
  <c r="K44" i="2" l="1"/>
  <c r="C44" i="2"/>
  <c r="M22" i="2"/>
  <c r="I22" i="2"/>
  <c r="I23" i="2" s="1"/>
  <c r="K45" i="2" l="1"/>
  <c r="C45" i="2"/>
  <c r="K46" i="2" l="1"/>
  <c r="C46" i="2"/>
  <c r="K47" i="2" l="1"/>
  <c r="C47" i="2"/>
  <c r="K48" i="2" l="1"/>
  <c r="C48" i="2"/>
  <c r="K49" i="2" l="1"/>
  <c r="C49" i="2"/>
  <c r="K50" i="2" l="1"/>
  <c r="C50" i="2"/>
  <c r="K51" i="2" l="1"/>
  <c r="C51" i="2"/>
  <c r="K52" i="2" l="1"/>
  <c r="C52" i="2"/>
  <c r="K53" i="2" l="1"/>
  <c r="C53" i="2"/>
  <c r="K54" i="2" l="1"/>
  <c r="C54" i="2"/>
  <c r="K55" i="2" l="1"/>
  <c r="C55" i="2"/>
  <c r="K56" i="2" l="1"/>
  <c r="C56" i="2"/>
  <c r="K57" i="2" l="1"/>
  <c r="C57" i="2"/>
  <c r="K58" i="2" l="1"/>
  <c r="C58" i="2"/>
  <c r="K59" i="2" l="1"/>
  <c r="C59" i="2"/>
  <c r="K60" i="2" l="1"/>
  <c r="C60" i="2"/>
  <c r="K61" i="2" l="1"/>
  <c r="C61" i="2"/>
  <c r="K62" i="2" l="1"/>
  <c r="C62" i="2"/>
  <c r="K63" i="2" l="1"/>
  <c r="C63" i="2"/>
  <c r="K64" i="2" l="1"/>
  <c r="C64" i="2"/>
  <c r="K65" i="2" l="1"/>
  <c r="M66" i="2" s="1"/>
  <c r="M68" i="2" s="1"/>
  <c r="C65" i="2"/>
  <c r="C66" i="2" l="1"/>
  <c r="N68" i="2"/>
  <c r="N66" i="2"/>
  <c r="M71" i="2" s="1"/>
  <c r="F69" i="2" l="1"/>
  <c r="F67" i="2"/>
  <c r="E7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tc={E7E81827-32CB-4AF0-ABBC-FEB2C83ABB5F}</author>
    <author>tc={E20E001F-6028-4582-A220-3A2A808CA368}</author>
    <author>tc={839FF3F9-5A8F-445F-9647-49624611ECA9}</author>
    <author>tc={14D7E6B1-8F4C-40E4-86EA-429646421E03}</author>
    <author>tc={02FB778B-1638-48D0-B0F1-3973CB5E9161}</author>
    <author>tc={CDFCA081-FB08-4B7B-BE63-515AAFFCD2F6}</author>
    <author>tc={C3CD2906-D8BF-4D2C-9D5A-12126BAB695E}</author>
    <author>tc={9E2C40B8-EBFA-40AF-A962-5BAD7664B8D5}</author>
  </authors>
  <commentList>
    <comment ref="N17" authorId="0" shapeId="0" xr:uid="{E7E81827-32CB-4AF0-ABBC-FEB2C83ABB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Valor de Giro</t>
      </text>
    </comment>
    <comment ref="F18" authorId="1" shapeId="0" xr:uid="{E20E001F-6028-4582-A220-3A2A808CA36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Valor de Giro</t>
      </text>
    </comment>
    <comment ref="M22" authorId="2" shapeId="0" xr:uid="{839FF3F9-5A8F-445F-9647-49624611ECA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 dice cuanto vale un punto básico.</t>
      </text>
    </comment>
    <comment ref="E23" authorId="3" shapeId="0" xr:uid="{14D7E6B1-8F4C-40E4-86EA-429646421E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 dice cuanto vale un punto básico.</t>
      </text>
    </comment>
    <comment ref="N66" authorId="4" shapeId="0" xr:uid="{02FB778B-1638-48D0-B0F1-3973CB5E91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Valor de Giro</t>
      </text>
    </comment>
    <comment ref="F67" authorId="5" shapeId="0" xr:uid="{CDFCA081-FB08-4B7B-BE63-515AAFFCD2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Valor de Giro</t>
      </text>
    </comment>
    <comment ref="M71" authorId="6" shapeId="0" xr:uid="{C3CD2906-D8BF-4D2C-9D5A-12126BAB695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 dice cuanto vale un punto básico.</t>
      </text>
    </comment>
    <comment ref="E72" authorId="7" shapeId="0" xr:uid="{9E2C40B8-EBFA-40AF-A962-5BAD7664B8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 dice cuanto vale un punto básico.</t>
      </text>
    </comment>
  </commentList>
</comments>
</file>

<file path=xl/sharedStrings.xml><?xml version="1.0" encoding="utf-8"?>
<sst xmlns="http://schemas.openxmlformats.org/spreadsheetml/2006/main" count="173" uniqueCount="38">
  <si>
    <t>F. Emision</t>
  </si>
  <si>
    <t>F. Vencimiento</t>
  </si>
  <si>
    <t>F. Negociacion</t>
  </si>
  <si>
    <t>i. Facial</t>
  </si>
  <si>
    <t>TIR</t>
  </si>
  <si>
    <t>a</t>
  </si>
  <si>
    <t>b</t>
  </si>
  <si>
    <t>VP</t>
  </si>
  <si>
    <t>c</t>
  </si>
  <si>
    <t>2.2</t>
  </si>
  <si>
    <t>2.1</t>
  </si>
  <si>
    <t>Nominal Base 100%</t>
  </si>
  <si>
    <t>Nominal $</t>
  </si>
  <si>
    <t xml:space="preserve">Base </t>
  </si>
  <si>
    <t>Precio Sucio</t>
  </si>
  <si>
    <t>Cupon Corrido</t>
  </si>
  <si>
    <t>Precio Limpio</t>
  </si>
  <si>
    <t>TIR de Tenencia</t>
  </si>
  <si>
    <t>Fecha de Negociacion</t>
  </si>
  <si>
    <t>Venta</t>
  </si>
  <si>
    <t>Compra</t>
  </si>
  <si>
    <t>EA</t>
  </si>
  <si>
    <t xml:space="preserve">Fecha de Vencimiento </t>
  </si>
  <si>
    <t>Facial</t>
  </si>
  <si>
    <t>AV</t>
  </si>
  <si>
    <t>Base</t>
  </si>
  <si>
    <t>Fechas del Flujo</t>
  </si>
  <si>
    <t>Cupon</t>
  </si>
  <si>
    <t>Días</t>
  </si>
  <si>
    <t>Días Anualizados</t>
  </si>
  <si>
    <t xml:space="preserve">Precio Sucio </t>
  </si>
  <si>
    <t xml:space="preserve">Cupón Corrido </t>
  </si>
  <si>
    <t>Duracion Modificada</t>
  </si>
  <si>
    <t>Duracion de Macaulay</t>
  </si>
  <si>
    <t>DV01</t>
  </si>
  <si>
    <t>COLTES 26</t>
  </si>
  <si>
    <t>COLTES 50</t>
  </si>
  <si>
    <t>Cupón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</si>
</sst>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0.000"/>
    <numFmt numFmtId="171" formatCode="_-&quot;$&quot;\ * #,##0_-;\-&quot;$&quot;\ * #,##0_-;_-&quot;$&quot;\ * &quot;-&quot;??_-;_-@_-"/>
    <numFmt numFmtId="182" formatCode="0.0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171" fontId="0" fillId="0" borderId="0" xfId="1" applyNumberFormat="1" applyFont="1"/>
    <xf numFmtId="10" fontId="0" fillId="0" borderId="0" xfId="2" applyNumberFormat="1" applyFont="1"/>
    <xf numFmtId="2" fontId="0" fillId="0" borderId="0" xfId="0" applyNumberFormat="1"/>
    <xf numFmtId="10" fontId="0" fillId="0" borderId="0" xfId="0" applyNumberFormat="1"/>
    <xf numFmtId="17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8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4" xfId="0" applyNumberFormat="1" applyBorder="1"/>
    <xf numFmtId="171" fontId="0" fillId="0" borderId="0" xfId="0" applyNumberFormat="1" applyBorder="1"/>
    <xf numFmtId="0" fontId="0" fillId="0" borderId="5" xfId="0" applyBorder="1"/>
    <xf numFmtId="164" fontId="0" fillId="0" borderId="6" xfId="0" applyNumberFormat="1" applyBorder="1"/>
    <xf numFmtId="10" fontId="0" fillId="0" borderId="7" xfId="2" applyNumberFormat="1" applyFont="1" applyBorder="1"/>
    <xf numFmtId="0" fontId="0" fillId="0" borderId="8" xfId="0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s Gonzalez Jaramillo" id="{6E781478-ECD8-4F1B-BB24-698B8D12F29E}" userId="S::nicolas.gonzalez07@est.uexternado.edu.co::abdeb7d9-3002-4d20-92a0-0ced1f3a571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7" dT="2023-05-20T02:03:20.30" personId="{6E781478-ECD8-4F1B-BB24-698B8D12F29E}" id="{E7E81827-32CB-4AF0-ABBC-FEB2C83ABB5F}">
    <text>Valor de Giro</text>
  </threadedComment>
  <threadedComment ref="F18" dT="2023-05-20T02:03:20.30" personId="{6E781478-ECD8-4F1B-BB24-698B8D12F29E}" id="{E20E001F-6028-4582-A220-3A2A808CA368}">
    <text>Valor de Giro</text>
  </threadedComment>
  <threadedComment ref="M22" dT="2023-05-27T13:50:14.50" personId="{6E781478-ECD8-4F1B-BB24-698B8D12F29E}" id="{839FF3F9-5A8F-445F-9647-49624611ECA9}">
    <text>Me dice cuanto vale un punto básico.</text>
  </threadedComment>
  <threadedComment ref="E23" dT="2023-05-27T13:50:14.50" personId="{6E781478-ECD8-4F1B-BB24-698B8D12F29E}" id="{14D7E6B1-8F4C-40E4-86EA-429646421E03}">
    <text>Me dice cuanto vale un punto básico.</text>
  </threadedComment>
  <threadedComment ref="N66" dT="2023-05-20T02:03:20.30" personId="{6E781478-ECD8-4F1B-BB24-698B8D12F29E}" id="{02FB778B-1638-48D0-B0F1-3973CB5E9161}">
    <text>Valor de Giro</text>
  </threadedComment>
  <threadedComment ref="F67" dT="2023-05-20T02:03:20.30" personId="{6E781478-ECD8-4F1B-BB24-698B8D12F29E}" id="{CDFCA081-FB08-4B7B-BE63-515AAFFCD2F6}">
    <text>Valor de Giro</text>
  </threadedComment>
  <threadedComment ref="M71" dT="2023-05-27T13:50:14.50" personId="{6E781478-ECD8-4F1B-BB24-698B8D12F29E}" id="{C3CD2906-D8BF-4D2C-9D5A-12126BAB695E}">
    <text>Me dice cuanto vale un punto básico.</text>
  </threadedComment>
  <threadedComment ref="E72" dT="2023-05-27T13:50:14.50" personId="{6E781478-ECD8-4F1B-BB24-698B8D12F29E}" id="{9E2C40B8-EBFA-40AF-A962-5BAD7664B8D5}">
    <text>Me dice cuanto vale un punto básico.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opLeftCell="A12" workbookViewId="0">
      <selection activeCell="B32" sqref="B32"/>
    </sheetView>
  </sheetViews>
  <sheetFormatPr baseColWidth="10" defaultColWidth="8.88671875" defaultRowHeight="14.4" x14ac:dyDescent="0.3"/>
  <cols>
    <col min="1" max="1" width="17.21875" bestFit="1" customWidth="1"/>
    <col min="2" max="2" width="15.44140625" bestFit="1" customWidth="1"/>
    <col min="3" max="3" width="13.88671875" bestFit="1" customWidth="1"/>
    <col min="5" max="5" width="13.109375" bestFit="1" customWidth="1"/>
    <col min="6" max="6" width="15.44140625" bestFit="1" customWidth="1"/>
    <col min="7" max="7" width="13.88671875" bestFit="1" customWidth="1"/>
    <col min="9" max="9" width="13.109375" bestFit="1" customWidth="1"/>
    <col min="10" max="10" width="15.44140625" bestFit="1" customWidth="1"/>
    <col min="11" max="11" width="13.88671875" bestFit="1" customWidth="1"/>
  </cols>
  <sheetData>
    <row r="1" spans="1:10" x14ac:dyDescent="0.3">
      <c r="A1" s="4" t="s">
        <v>10</v>
      </c>
    </row>
    <row r="2" spans="1:10" x14ac:dyDescent="0.3">
      <c r="A2" t="s">
        <v>5</v>
      </c>
      <c r="E2" t="s">
        <v>6</v>
      </c>
      <c r="I2" t="s">
        <v>8</v>
      </c>
    </row>
    <row r="3" spans="1:10" x14ac:dyDescent="0.3">
      <c r="A3" t="s">
        <v>0</v>
      </c>
      <c r="B3" s="1">
        <v>44590</v>
      </c>
      <c r="E3" t="s">
        <v>0</v>
      </c>
      <c r="F3" s="1">
        <v>44590</v>
      </c>
      <c r="I3" t="s">
        <v>0</v>
      </c>
      <c r="J3" s="1">
        <v>44590</v>
      </c>
    </row>
    <row r="4" spans="1:10" x14ac:dyDescent="0.3">
      <c r="A4" t="s">
        <v>1</v>
      </c>
      <c r="B4" s="1">
        <v>44955</v>
      </c>
      <c r="E4" t="s">
        <v>1</v>
      </c>
      <c r="F4" s="1">
        <v>44955</v>
      </c>
      <c r="I4" t="s">
        <v>1</v>
      </c>
      <c r="J4" s="1">
        <v>44955</v>
      </c>
    </row>
    <row r="5" spans="1:10" x14ac:dyDescent="0.3">
      <c r="A5" t="s">
        <v>2</v>
      </c>
      <c r="B5" s="1">
        <v>44590</v>
      </c>
      <c r="E5" t="s">
        <v>2</v>
      </c>
      <c r="F5" s="1">
        <v>44590</v>
      </c>
      <c r="I5" t="s">
        <v>2</v>
      </c>
      <c r="J5" s="1">
        <v>44590</v>
      </c>
    </row>
    <row r="6" spans="1:10" x14ac:dyDescent="0.3">
      <c r="A6" t="s">
        <v>3</v>
      </c>
      <c r="B6" s="2">
        <v>0.1</v>
      </c>
      <c r="E6" t="s">
        <v>3</v>
      </c>
      <c r="F6" s="2">
        <v>0.1</v>
      </c>
      <c r="I6" t="s">
        <v>3</v>
      </c>
      <c r="J6" s="2">
        <v>0.1</v>
      </c>
    </row>
    <row r="7" spans="1:10" x14ac:dyDescent="0.3">
      <c r="A7" t="s">
        <v>4</v>
      </c>
      <c r="B7" s="2">
        <v>0.1</v>
      </c>
      <c r="E7" t="s">
        <v>4</v>
      </c>
      <c r="F7" s="2">
        <v>8.5000000000000006E-2</v>
      </c>
      <c r="I7" t="s">
        <v>4</v>
      </c>
      <c r="J7" s="2">
        <v>0.13</v>
      </c>
    </row>
    <row r="8" spans="1:10" x14ac:dyDescent="0.3">
      <c r="B8" s="2"/>
      <c r="F8" s="2"/>
      <c r="J8" s="2"/>
    </row>
    <row r="9" spans="1:10" x14ac:dyDescent="0.3">
      <c r="A9" t="s">
        <v>11</v>
      </c>
      <c r="B9" s="2">
        <v>1</v>
      </c>
      <c r="E9" t="s">
        <v>11</v>
      </c>
      <c r="F9" s="2">
        <v>1</v>
      </c>
      <c r="I9" t="s">
        <v>11</v>
      </c>
      <c r="J9" s="2">
        <v>1</v>
      </c>
    </row>
    <row r="10" spans="1:10" x14ac:dyDescent="0.3">
      <c r="A10" t="s">
        <v>12</v>
      </c>
      <c r="B10" s="5">
        <v>1000000</v>
      </c>
      <c r="E10" t="s">
        <v>12</v>
      </c>
      <c r="F10" s="5">
        <v>1000000</v>
      </c>
      <c r="I10" t="s">
        <v>12</v>
      </c>
      <c r="J10" s="5">
        <v>1000000</v>
      </c>
    </row>
    <row r="11" spans="1:10" x14ac:dyDescent="0.3">
      <c r="A11" s="3" t="s">
        <v>13</v>
      </c>
      <c r="B11" s="3">
        <v>365</v>
      </c>
      <c r="C11" s="3"/>
      <c r="D11" s="3"/>
      <c r="E11" s="3" t="s">
        <v>13</v>
      </c>
      <c r="F11" s="3">
        <v>365</v>
      </c>
      <c r="G11" s="3"/>
      <c r="H11" s="3"/>
      <c r="I11" s="3" t="s">
        <v>13</v>
      </c>
      <c r="J11" s="3">
        <v>365</v>
      </c>
    </row>
    <row r="12" spans="1:10" x14ac:dyDescent="0.3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3">
      <c r="A13" s="3" t="s">
        <v>14</v>
      </c>
      <c r="B13" s="6">
        <f>(B9+B6)/(1+B7)^((B4-B5)/B11)</f>
        <v>1</v>
      </c>
      <c r="C13" s="3"/>
      <c r="D13" s="3"/>
      <c r="E13" s="3" t="s">
        <v>14</v>
      </c>
      <c r="F13" s="6">
        <f>(F9+F6)/(1+F7)^((F4-F5)/F11)</f>
        <v>1.0138248847926268</v>
      </c>
      <c r="G13" s="3"/>
      <c r="H13" s="3"/>
      <c r="I13" s="3" t="s">
        <v>14</v>
      </c>
      <c r="J13" s="6">
        <f>(J9+J6)/(1+J7)^((J4-J5)/J11)</f>
        <v>0.9734513274336285</v>
      </c>
    </row>
    <row r="15" spans="1:10" x14ac:dyDescent="0.3">
      <c r="A15" s="4" t="s">
        <v>9</v>
      </c>
    </row>
    <row r="16" spans="1:10" x14ac:dyDescent="0.3">
      <c r="A16" t="s">
        <v>5</v>
      </c>
      <c r="E16" t="s">
        <v>6</v>
      </c>
      <c r="I16" t="s">
        <v>8</v>
      </c>
    </row>
    <row r="17" spans="1:11" x14ac:dyDescent="0.3">
      <c r="A17" t="s">
        <v>0</v>
      </c>
      <c r="B17" s="1">
        <v>44590</v>
      </c>
      <c r="E17" t="s">
        <v>0</v>
      </c>
      <c r="F17" s="1">
        <v>44590</v>
      </c>
      <c r="I17" t="s">
        <v>0</v>
      </c>
      <c r="J17" s="1">
        <v>44590</v>
      </c>
    </row>
    <row r="18" spans="1:11" x14ac:dyDescent="0.3">
      <c r="A18" t="s">
        <v>1</v>
      </c>
      <c r="B18" s="1">
        <v>44955</v>
      </c>
      <c r="E18" t="s">
        <v>1</v>
      </c>
      <c r="F18" s="1">
        <v>44955</v>
      </c>
      <c r="I18" t="s">
        <v>1</v>
      </c>
      <c r="J18" s="1">
        <v>44955</v>
      </c>
    </row>
    <row r="19" spans="1:11" x14ac:dyDescent="0.3">
      <c r="A19" t="s">
        <v>2</v>
      </c>
      <c r="B19" s="1">
        <v>44728</v>
      </c>
      <c r="E19" t="s">
        <v>2</v>
      </c>
      <c r="F19" s="1">
        <v>44728</v>
      </c>
      <c r="I19" t="s">
        <v>2</v>
      </c>
      <c r="J19" s="1">
        <v>44728</v>
      </c>
    </row>
    <row r="20" spans="1:11" x14ac:dyDescent="0.3">
      <c r="A20" t="s">
        <v>3</v>
      </c>
      <c r="B20" s="2">
        <v>0.1</v>
      </c>
      <c r="E20" t="s">
        <v>3</v>
      </c>
      <c r="F20" s="2">
        <v>0.1</v>
      </c>
      <c r="I20" t="s">
        <v>3</v>
      </c>
      <c r="J20" s="2">
        <v>0.1</v>
      </c>
    </row>
    <row r="21" spans="1:11" x14ac:dyDescent="0.3">
      <c r="A21" t="s">
        <v>4</v>
      </c>
      <c r="B21" s="2">
        <v>0.1</v>
      </c>
      <c r="E21" t="s">
        <v>4</v>
      </c>
      <c r="F21" s="2">
        <v>8.5000000000000006E-2</v>
      </c>
      <c r="I21" t="s">
        <v>4</v>
      </c>
      <c r="J21" s="2">
        <v>0.13</v>
      </c>
    </row>
    <row r="23" spans="1:11" x14ac:dyDescent="0.3">
      <c r="A23" t="s">
        <v>11</v>
      </c>
      <c r="B23" s="2">
        <v>1</v>
      </c>
      <c r="E23" t="s">
        <v>11</v>
      </c>
      <c r="F23" s="2">
        <v>1</v>
      </c>
      <c r="I23" t="s">
        <v>11</v>
      </c>
      <c r="J23" s="2">
        <v>1</v>
      </c>
    </row>
    <row r="24" spans="1:11" x14ac:dyDescent="0.3">
      <c r="A24" t="s">
        <v>12</v>
      </c>
      <c r="B24" s="5">
        <v>100000000</v>
      </c>
      <c r="E24" t="s">
        <v>12</v>
      </c>
      <c r="F24" s="5">
        <v>100000000</v>
      </c>
      <c r="I24" t="s">
        <v>12</v>
      </c>
      <c r="J24" s="5">
        <v>100000000</v>
      </c>
    </row>
    <row r="25" spans="1:11" x14ac:dyDescent="0.3">
      <c r="A25" s="3" t="s">
        <v>13</v>
      </c>
      <c r="B25" s="3">
        <v>365</v>
      </c>
      <c r="E25" s="3" t="s">
        <v>13</v>
      </c>
      <c r="F25" s="3">
        <v>365</v>
      </c>
      <c r="I25" s="3" t="s">
        <v>13</v>
      </c>
      <c r="J25" s="3">
        <v>365</v>
      </c>
    </row>
    <row r="26" spans="1:11" x14ac:dyDescent="0.3">
      <c r="A26" s="3"/>
      <c r="B26" s="3"/>
      <c r="E26" s="3"/>
      <c r="F26" s="3"/>
      <c r="I26" s="3"/>
      <c r="J26" s="3"/>
      <c r="K26" s="9">
        <f>PV(J21,227/365,,-(J24*(1+J20)))</f>
        <v>101948832.32260166</v>
      </c>
    </row>
    <row r="27" spans="1:11" x14ac:dyDescent="0.3">
      <c r="A27" s="3" t="s">
        <v>14</v>
      </c>
      <c r="B27" s="6">
        <f>(B23+B20)/(1+B21)^((B18-B19)/B25)</f>
        <v>1.0366922147569497</v>
      </c>
      <c r="C27" s="9">
        <f>B27*B24</f>
        <v>103669221.47569497</v>
      </c>
      <c r="E27" s="3" t="s">
        <v>14</v>
      </c>
      <c r="F27" s="6">
        <f>(F23+F20)/(1+F21)^((F18-F19)/F25)</f>
        <v>1.045582486107838</v>
      </c>
      <c r="G27" s="9">
        <f>F27*F24</f>
        <v>104558248.6107838</v>
      </c>
      <c r="I27" s="3" t="s">
        <v>14</v>
      </c>
      <c r="J27" s="6">
        <f>(J23+J20)/(1+J21)^((J18-J19)/J25)</f>
        <v>1.0194883232260166</v>
      </c>
      <c r="K27" s="9">
        <f>J27*J24</f>
        <v>101948832.32260166</v>
      </c>
    </row>
    <row r="28" spans="1:11" x14ac:dyDescent="0.3">
      <c r="A28" s="3" t="s">
        <v>15</v>
      </c>
      <c r="B28" s="6">
        <f>((1+B20)^((B19-B17)/B25))-1</f>
        <v>3.6692214756949726E-2</v>
      </c>
      <c r="C28" s="9">
        <f>B28*B24</f>
        <v>3669221.4756949726</v>
      </c>
      <c r="E28" s="3" t="s">
        <v>15</v>
      </c>
      <c r="F28" s="6">
        <f>((1+F20)^((F19-F17)/F25))-1</f>
        <v>3.6692214756949726E-2</v>
      </c>
      <c r="G28" s="9">
        <f>F28*F24</f>
        <v>3669221.4756949726</v>
      </c>
      <c r="I28" s="3" t="s">
        <v>15</v>
      </c>
      <c r="J28" s="6">
        <f>((1+J20)^((J19-J17)/J25))-1</f>
        <v>3.6692214756949726E-2</v>
      </c>
      <c r="K28" s="9">
        <f>J28*J24</f>
        <v>3669221.4756949726</v>
      </c>
    </row>
    <row r="29" spans="1:11" x14ac:dyDescent="0.3">
      <c r="A29" s="3" t="s">
        <v>16</v>
      </c>
      <c r="B29" s="8">
        <f>B27-B28</f>
        <v>1</v>
      </c>
      <c r="C29" s="9"/>
      <c r="E29" s="3" t="s">
        <v>16</v>
      </c>
      <c r="F29" s="8">
        <f>F27-F28</f>
        <v>1.0088902713508883</v>
      </c>
      <c r="I29" s="3" t="s">
        <v>16</v>
      </c>
      <c r="J29" s="8">
        <f>J27-J28</f>
        <v>0.98279610846906684</v>
      </c>
    </row>
    <row r="31" spans="1:11" x14ac:dyDescent="0.3">
      <c r="A31" s="11" t="s">
        <v>17</v>
      </c>
      <c r="B31" s="11"/>
      <c r="C31" s="11"/>
      <c r="E31" s="11" t="s">
        <v>17</v>
      </c>
      <c r="F31" s="11"/>
      <c r="G31" s="11"/>
      <c r="I31" s="11" t="s">
        <v>17</v>
      </c>
      <c r="J31" s="11"/>
      <c r="K31" s="11"/>
    </row>
    <row r="32" spans="1:11" x14ac:dyDescent="0.3">
      <c r="A32" s="1">
        <f>B17</f>
        <v>44590</v>
      </c>
      <c r="B32" s="9">
        <f>-B24</f>
        <v>-100000000</v>
      </c>
      <c r="C32" t="s">
        <v>20</v>
      </c>
      <c r="E32" s="1">
        <f>F17</f>
        <v>44590</v>
      </c>
      <c r="F32" s="9">
        <f>-F24</f>
        <v>-100000000</v>
      </c>
      <c r="G32" t="s">
        <v>20</v>
      </c>
      <c r="I32" s="1">
        <f>J17</f>
        <v>44590</v>
      </c>
      <c r="J32" s="9">
        <f>-J24</f>
        <v>-100000000</v>
      </c>
      <c r="K32" t="s">
        <v>20</v>
      </c>
    </row>
    <row r="33" spans="1:11" x14ac:dyDescent="0.3">
      <c r="A33" s="1">
        <f>B19</f>
        <v>44728</v>
      </c>
      <c r="B33" s="9">
        <f>C27</f>
        <v>103669221.47569497</v>
      </c>
      <c r="C33" t="s">
        <v>19</v>
      </c>
      <c r="E33" s="1">
        <f>F19</f>
        <v>44728</v>
      </c>
      <c r="F33" s="9">
        <f>G27</f>
        <v>104558248.6107838</v>
      </c>
      <c r="G33" t="s">
        <v>19</v>
      </c>
      <c r="I33" s="1">
        <f>J19</f>
        <v>44728</v>
      </c>
      <c r="J33" s="9">
        <f>K27</f>
        <v>101948832.32260166</v>
      </c>
      <c r="K33" t="s">
        <v>19</v>
      </c>
    </row>
    <row r="34" spans="1:11" x14ac:dyDescent="0.3">
      <c r="A34" s="3" t="s">
        <v>17</v>
      </c>
      <c r="B34" s="6">
        <f>XIRR(B32:B33,A32:A33)</f>
        <v>9.9999994039535522E-2</v>
      </c>
      <c r="C34" t="s">
        <v>21</v>
      </c>
      <c r="E34" s="3" t="s">
        <v>17</v>
      </c>
      <c r="F34" s="6">
        <f>XIRR(F32:F33,E32:E33)</f>
        <v>0.12512636780738831</v>
      </c>
      <c r="G34" t="s">
        <v>21</v>
      </c>
      <c r="I34" s="3" t="s">
        <v>17</v>
      </c>
      <c r="J34" s="6">
        <f>XIRR(J32:J33,I32:I33)</f>
        <v>5.2374848723411568E-2</v>
      </c>
      <c r="K34" t="s">
        <v>21</v>
      </c>
    </row>
  </sheetData>
  <mergeCells count="3">
    <mergeCell ref="A31:C31"/>
    <mergeCell ref="E31:G31"/>
    <mergeCell ref="I31:K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1B9F-8CB4-4E2B-94BC-F6B909E7AA6D}">
  <dimension ref="A1:N82"/>
  <sheetViews>
    <sheetView tabSelected="1" topLeftCell="B1" zoomScale="90" zoomScaleNormal="90" workbookViewId="0">
      <selection activeCell="I73" sqref="I73"/>
    </sheetView>
  </sheetViews>
  <sheetFormatPr baseColWidth="10" defaultRowHeight="14.4" x14ac:dyDescent="0.3"/>
  <cols>
    <col min="1" max="1" width="19.44140625" bestFit="1" customWidth="1"/>
    <col min="2" max="2" width="16.5546875" bestFit="1" customWidth="1"/>
    <col min="4" max="4" width="20.44140625" bestFit="1" customWidth="1"/>
    <col min="6" max="6" width="14.88671875" bestFit="1" customWidth="1"/>
    <col min="8" max="8" width="14.33203125" bestFit="1" customWidth="1"/>
    <col min="9" max="9" width="20.5546875" bestFit="1" customWidth="1"/>
    <col min="10" max="10" width="16.5546875" bestFit="1" customWidth="1"/>
    <col min="12" max="12" width="20.44140625" bestFit="1" customWidth="1"/>
    <col min="14" max="14" width="14.88671875" bestFit="1" customWidth="1"/>
  </cols>
  <sheetData>
    <row r="1" spans="1:13" x14ac:dyDescent="0.3">
      <c r="A1" s="4" t="s">
        <v>35</v>
      </c>
    </row>
    <row r="2" spans="1:13" x14ac:dyDescent="0.3">
      <c r="A2" t="s">
        <v>18</v>
      </c>
      <c r="B2" s="1">
        <v>45072</v>
      </c>
      <c r="I2" t="s">
        <v>18</v>
      </c>
      <c r="J2" s="1">
        <v>45266</v>
      </c>
    </row>
    <row r="3" spans="1:13" x14ac:dyDescent="0.3">
      <c r="A3" t="s">
        <v>22</v>
      </c>
      <c r="B3" s="1">
        <v>46260</v>
      </c>
      <c r="I3" t="s">
        <v>22</v>
      </c>
      <c r="J3" s="1">
        <v>46260</v>
      </c>
    </row>
    <row r="4" spans="1:13" x14ac:dyDescent="0.3">
      <c r="A4" t="s">
        <v>23</v>
      </c>
      <c r="B4" s="8">
        <v>7.4999999999999997E-2</v>
      </c>
      <c r="C4" t="s">
        <v>24</v>
      </c>
      <c r="I4" t="s">
        <v>23</v>
      </c>
      <c r="J4" s="8">
        <v>7.4999999999999997E-2</v>
      </c>
      <c r="K4" t="s">
        <v>24</v>
      </c>
    </row>
    <row r="5" spans="1:13" x14ac:dyDescent="0.3">
      <c r="A5" t="s">
        <v>4</v>
      </c>
      <c r="B5" s="8">
        <v>0.1086</v>
      </c>
      <c r="I5" t="s">
        <v>4</v>
      </c>
      <c r="J5" s="8">
        <f>10.86%-1.25%</f>
        <v>9.6099999999999991E-2</v>
      </c>
    </row>
    <row r="7" spans="1:13" x14ac:dyDescent="0.3">
      <c r="A7" t="s">
        <v>11</v>
      </c>
      <c r="B7" s="2">
        <v>1</v>
      </c>
      <c r="I7" t="s">
        <v>11</v>
      </c>
      <c r="J7" s="2">
        <v>1</v>
      </c>
    </row>
    <row r="8" spans="1:13" x14ac:dyDescent="0.3">
      <c r="A8" t="s">
        <v>12</v>
      </c>
      <c r="B8" s="5">
        <v>1000000000</v>
      </c>
      <c r="I8" t="s">
        <v>12</v>
      </c>
      <c r="J8" s="5">
        <v>1000000000</v>
      </c>
    </row>
    <row r="9" spans="1:13" x14ac:dyDescent="0.3">
      <c r="A9" t="s">
        <v>25</v>
      </c>
      <c r="B9">
        <v>365</v>
      </c>
      <c r="I9" t="s">
        <v>25</v>
      </c>
      <c r="J9">
        <v>365</v>
      </c>
    </row>
    <row r="11" spans="1:13" x14ac:dyDescent="0.3">
      <c r="A11" s="10" t="s">
        <v>26</v>
      </c>
      <c r="B11" s="10" t="s">
        <v>27</v>
      </c>
      <c r="C11" s="10" t="s">
        <v>28</v>
      </c>
      <c r="D11" s="10" t="s">
        <v>29</v>
      </c>
      <c r="E11" s="10" t="s">
        <v>7</v>
      </c>
      <c r="I11" s="10" t="s">
        <v>26</v>
      </c>
      <c r="J11" s="10" t="s">
        <v>27</v>
      </c>
      <c r="K11" s="10" t="s">
        <v>28</v>
      </c>
      <c r="L11" s="10" t="s">
        <v>29</v>
      </c>
      <c r="M11" s="10" t="s">
        <v>7</v>
      </c>
    </row>
    <row r="12" spans="1:13" x14ac:dyDescent="0.3">
      <c r="A12" s="1">
        <v>44799</v>
      </c>
      <c r="C12">
        <f>A13-A12</f>
        <v>273</v>
      </c>
      <c r="I12" s="1">
        <v>45164</v>
      </c>
      <c r="K12">
        <f>I13-I12</f>
        <v>102</v>
      </c>
    </row>
    <row r="13" spans="1:13" x14ac:dyDescent="0.3">
      <c r="A13" s="1">
        <f>B2</f>
        <v>45072</v>
      </c>
      <c r="I13" s="1">
        <f>J2</f>
        <v>45266</v>
      </c>
    </row>
    <row r="14" spans="1:13" x14ac:dyDescent="0.3">
      <c r="A14" s="1">
        <v>45164</v>
      </c>
      <c r="B14" s="8">
        <f>$B$4</f>
        <v>7.4999999999999997E-2</v>
      </c>
      <c r="C14">
        <f>A14-A13</f>
        <v>92</v>
      </c>
      <c r="D14" s="7">
        <f>C14/$B$9</f>
        <v>0.25205479452054796</v>
      </c>
      <c r="E14" s="8">
        <f>B14/(1+$B$5)^D14</f>
        <v>7.3076130326917219E-2</v>
      </c>
      <c r="I14" s="1">
        <v>45530</v>
      </c>
      <c r="J14" s="8">
        <f>$B$4</f>
        <v>7.4999999999999997E-2</v>
      </c>
      <c r="K14">
        <f>I14-I13</f>
        <v>264</v>
      </c>
      <c r="L14" s="7">
        <f>K14/$B$9</f>
        <v>0.72328767123287674</v>
      </c>
      <c r="M14" s="8">
        <f>J14/(1+$J$5)^L14</f>
        <v>7.0184000772215205E-2</v>
      </c>
    </row>
    <row r="15" spans="1:13" x14ac:dyDescent="0.3">
      <c r="A15" s="1">
        <f>EDATE(A14,12)</f>
        <v>45530</v>
      </c>
      <c r="B15" s="8">
        <f>$B$4</f>
        <v>7.4999999999999997E-2</v>
      </c>
      <c r="C15">
        <f>C14+365-1</f>
        <v>456</v>
      </c>
      <c r="D15" s="7">
        <f>C15/$B$9</f>
        <v>1.2493150684931507</v>
      </c>
      <c r="E15" s="8">
        <f>B15/(1+$B$5)^D15</f>
        <v>6.5936112518239401E-2</v>
      </c>
      <c r="I15" s="1">
        <f>EDATE(I14,12)</f>
        <v>45895</v>
      </c>
      <c r="J15" s="8">
        <f>$B$4</f>
        <v>7.4999999999999997E-2</v>
      </c>
      <c r="K15">
        <f>K14+365-1</f>
        <v>628</v>
      </c>
      <c r="L15" s="7">
        <f>K15/$B$9</f>
        <v>1.7205479452054795</v>
      </c>
      <c r="M15" s="8">
        <f t="shared" ref="M15:M16" si="0">J15/(1+$J$5)^L15</f>
        <v>6.4046753720341465E-2</v>
      </c>
    </row>
    <row r="16" spans="1:13" x14ac:dyDescent="0.3">
      <c r="A16" s="1">
        <f>EDATE(A15,12)</f>
        <v>45895</v>
      </c>
      <c r="B16" s="8">
        <f>$B$4</f>
        <v>7.4999999999999997E-2</v>
      </c>
      <c r="C16">
        <f>C15+365</f>
        <v>821</v>
      </c>
      <c r="D16" s="7">
        <f t="shared" ref="D16:D17" si="1">C16/$B$9</f>
        <v>2.2493150684931509</v>
      </c>
      <c r="E16" s="8">
        <f t="shared" ref="E16:E17" si="2">B16/(1+$B$5)^D16</f>
        <v>5.9476919103589564E-2</v>
      </c>
      <c r="I16" s="1">
        <f>EDATE(I15,12)</f>
        <v>46260</v>
      </c>
      <c r="J16" s="8">
        <f>$B$4+1</f>
        <v>1.075</v>
      </c>
      <c r="K16">
        <f>K15+365</f>
        <v>993</v>
      </c>
      <c r="L16" s="7">
        <f t="shared" ref="L16" si="3">K16/$B$9</f>
        <v>2.7205479452054795</v>
      </c>
      <c r="M16" s="8">
        <f t="shared" si="0"/>
        <v>0.83751799105151081</v>
      </c>
    </row>
    <row r="17" spans="1:14" x14ac:dyDescent="0.3">
      <c r="A17" s="1">
        <f t="shared" ref="A17" si="4">EDATE(A16,12)</f>
        <v>46260</v>
      </c>
      <c r="B17" s="8">
        <f>1+$B$4</f>
        <v>1.075</v>
      </c>
      <c r="C17">
        <f t="shared" ref="C17" si="5">C16+365</f>
        <v>1186</v>
      </c>
      <c r="D17" s="7">
        <f t="shared" si="1"/>
        <v>3.2493150684931509</v>
      </c>
      <c r="E17" s="8">
        <f t="shared" si="2"/>
        <v>0.76899017423006533</v>
      </c>
      <c r="I17" s="1"/>
      <c r="L17" s="4" t="s">
        <v>30</v>
      </c>
      <c r="M17" s="8">
        <f>SUM(M14:M16)</f>
        <v>0.97174874554406743</v>
      </c>
      <c r="N17" s="9">
        <f>J8*M17</f>
        <v>971748745.54406738</v>
      </c>
    </row>
    <row r="18" spans="1:14" ht="15" thickBot="1" x14ac:dyDescent="0.35">
      <c r="A18" s="1"/>
      <c r="D18" s="4" t="s">
        <v>30</v>
      </c>
      <c r="E18" s="8">
        <f>SUM(E14:E17)</f>
        <v>0.96747933617881154</v>
      </c>
      <c r="F18" s="9">
        <f>B8*E18</f>
        <v>967479336.17881155</v>
      </c>
      <c r="L18" s="4" t="s">
        <v>31</v>
      </c>
      <c r="M18" s="8">
        <f>(J4/J9)*K12</f>
        <v>2.095890410958904E-2</v>
      </c>
      <c r="N18" s="9">
        <f>J8*M18</f>
        <v>20958904.10958904</v>
      </c>
    </row>
    <row r="19" spans="1:14" x14ac:dyDescent="0.3">
      <c r="D19" s="4" t="s">
        <v>31</v>
      </c>
      <c r="E19" s="8">
        <f>(B4/B9)*C12</f>
        <v>5.6095890410958901E-2</v>
      </c>
      <c r="F19" s="9">
        <f>B8*E19</f>
        <v>56095890.410958901</v>
      </c>
      <c r="H19" s="13" t="s">
        <v>17</v>
      </c>
      <c r="I19" s="14"/>
      <c r="J19" s="15"/>
      <c r="L19" s="4" t="s">
        <v>16</v>
      </c>
      <c r="M19" s="8">
        <f>M17-M18</f>
        <v>0.95078984143447842</v>
      </c>
      <c r="N19" s="9">
        <f>J8*M19</f>
        <v>950789841.4344784</v>
      </c>
    </row>
    <row r="20" spans="1:14" x14ac:dyDescent="0.3">
      <c r="D20" s="4" t="s">
        <v>16</v>
      </c>
      <c r="E20" s="8">
        <f>E18-E19</f>
        <v>0.91138344576785268</v>
      </c>
      <c r="F20" s="9">
        <f>B8*E20</f>
        <v>911383445.76785266</v>
      </c>
      <c r="H20" s="16">
        <f>B2</f>
        <v>45072</v>
      </c>
      <c r="I20" s="17">
        <f>-F18</f>
        <v>-967479336.17881155</v>
      </c>
      <c r="J20" s="18" t="s">
        <v>20</v>
      </c>
      <c r="L20" s="4" t="s">
        <v>32</v>
      </c>
      <c r="M20" s="7">
        <f>DURATION(J2,J3,J4,J5,1,3)</f>
        <v>2.5101578257187489</v>
      </c>
    </row>
    <row r="21" spans="1:14" x14ac:dyDescent="0.3">
      <c r="D21" s="4" t="s">
        <v>32</v>
      </c>
      <c r="E21" s="7">
        <f>DURATION(B2,B3,B4,B5,1,3)</f>
        <v>2.8276212280487951</v>
      </c>
      <c r="H21" s="16">
        <f>A14</f>
        <v>45164</v>
      </c>
      <c r="I21" s="17">
        <f>B15*B8</f>
        <v>75000000</v>
      </c>
      <c r="J21" s="18" t="s">
        <v>37</v>
      </c>
      <c r="L21" s="4" t="s">
        <v>33</v>
      </c>
      <c r="M21" s="7">
        <f>MDURATION(J2,J3,J4,J5,1,3)</f>
        <v>2.2900810379698466</v>
      </c>
    </row>
    <row r="22" spans="1:14" x14ac:dyDescent="0.3">
      <c r="D22" s="4" t="s">
        <v>33</v>
      </c>
      <c r="E22" s="7">
        <f>MDURATION(B2,B3,B4,B5,1,3)</f>
        <v>2.5506235143864289</v>
      </c>
      <c r="H22" s="16">
        <f>J2</f>
        <v>45266</v>
      </c>
      <c r="I22" s="17">
        <f>N17</f>
        <v>971748745.54406738</v>
      </c>
      <c r="J22" s="18" t="s">
        <v>19</v>
      </c>
      <c r="L22" s="4" t="s">
        <v>34</v>
      </c>
      <c r="M22" s="9">
        <f>N17*M20*0.01%</f>
        <v>243924.27182598182</v>
      </c>
    </row>
    <row r="23" spans="1:14" ht="15" thickBot="1" x14ac:dyDescent="0.35">
      <c r="D23" s="4" t="s">
        <v>34</v>
      </c>
      <c r="E23" s="9">
        <f>F18*E21*0.01%</f>
        <v>273566.51086777647</v>
      </c>
      <c r="G23" s="12"/>
      <c r="H23" s="19" t="s">
        <v>17</v>
      </c>
      <c r="I23" s="20">
        <f>XIRR(I20:I22,H20:H22)</f>
        <v>0.16659131646156314</v>
      </c>
      <c r="J23" s="21" t="s">
        <v>21</v>
      </c>
    </row>
    <row r="24" spans="1:14" x14ac:dyDescent="0.3">
      <c r="H24" s="12"/>
    </row>
    <row r="26" spans="1:14" x14ac:dyDescent="0.3">
      <c r="A26" s="4" t="s">
        <v>36</v>
      </c>
    </row>
    <row r="27" spans="1:14" x14ac:dyDescent="0.3">
      <c r="A27" t="s">
        <v>18</v>
      </c>
      <c r="B27" s="1">
        <v>45072</v>
      </c>
      <c r="I27" t="s">
        <v>18</v>
      </c>
      <c r="J27" s="1">
        <v>45266</v>
      </c>
    </row>
    <row r="28" spans="1:14" x14ac:dyDescent="0.3">
      <c r="A28" t="s">
        <v>22</v>
      </c>
      <c r="B28" s="1">
        <v>55087</v>
      </c>
      <c r="I28" t="s">
        <v>22</v>
      </c>
      <c r="J28" s="1">
        <v>55087</v>
      </c>
    </row>
    <row r="29" spans="1:14" x14ac:dyDescent="0.3">
      <c r="A29" t="s">
        <v>23</v>
      </c>
      <c r="B29" s="8">
        <v>7.2499999999999995E-2</v>
      </c>
      <c r="C29" t="s">
        <v>24</v>
      </c>
      <c r="I29" t="s">
        <v>23</v>
      </c>
      <c r="J29" s="8">
        <v>7.2499999999999995E-2</v>
      </c>
      <c r="K29" t="s">
        <v>24</v>
      </c>
    </row>
    <row r="30" spans="1:14" x14ac:dyDescent="0.3">
      <c r="A30" t="s">
        <v>4</v>
      </c>
      <c r="B30" s="8">
        <v>0.11557000000000001</v>
      </c>
      <c r="I30" t="s">
        <v>4</v>
      </c>
      <c r="J30" s="8">
        <f>11.557%-1.25%</f>
        <v>0.10307000000000001</v>
      </c>
    </row>
    <row r="32" spans="1:14" x14ac:dyDescent="0.3">
      <c r="A32" t="s">
        <v>11</v>
      </c>
      <c r="B32" s="2">
        <v>1</v>
      </c>
      <c r="I32" t="s">
        <v>11</v>
      </c>
      <c r="J32" s="2">
        <v>1</v>
      </c>
    </row>
    <row r="33" spans="1:13" x14ac:dyDescent="0.3">
      <c r="A33" t="s">
        <v>12</v>
      </c>
      <c r="B33" s="5">
        <v>1000000000</v>
      </c>
      <c r="I33" t="s">
        <v>12</v>
      </c>
      <c r="J33" s="5">
        <v>1000000000</v>
      </c>
    </row>
    <row r="34" spans="1:13" x14ac:dyDescent="0.3">
      <c r="A34" t="s">
        <v>25</v>
      </c>
      <c r="B34">
        <v>365</v>
      </c>
      <c r="I34" t="s">
        <v>25</v>
      </c>
      <c r="J34">
        <v>365</v>
      </c>
    </row>
    <row r="36" spans="1:13" x14ac:dyDescent="0.3">
      <c r="A36" s="10" t="s">
        <v>26</v>
      </c>
      <c r="B36" s="10" t="s">
        <v>27</v>
      </c>
      <c r="C36" s="10" t="s">
        <v>28</v>
      </c>
      <c r="D36" s="10" t="s">
        <v>29</v>
      </c>
      <c r="E36" s="10" t="s">
        <v>7</v>
      </c>
      <c r="I36" s="10" t="s">
        <v>26</v>
      </c>
      <c r="J36" s="10" t="s">
        <v>27</v>
      </c>
      <c r="K36" s="10" t="s">
        <v>28</v>
      </c>
      <c r="L36" s="10" t="s">
        <v>29</v>
      </c>
      <c r="M36" s="10" t="s">
        <v>7</v>
      </c>
    </row>
    <row r="37" spans="1:13" x14ac:dyDescent="0.3">
      <c r="A37" s="1">
        <v>44860</v>
      </c>
      <c r="C37">
        <f>A38-A37</f>
        <v>212</v>
      </c>
      <c r="I37" s="1">
        <v>45225</v>
      </c>
      <c r="K37">
        <f>I38-I37</f>
        <v>41</v>
      </c>
    </row>
    <row r="38" spans="1:13" x14ac:dyDescent="0.3">
      <c r="A38" s="1">
        <f>B27</f>
        <v>45072</v>
      </c>
      <c r="I38" s="1">
        <f>J27</f>
        <v>45266</v>
      </c>
    </row>
    <row r="39" spans="1:13" x14ac:dyDescent="0.3">
      <c r="A39" s="1">
        <v>45225</v>
      </c>
      <c r="B39" s="8">
        <f>$B$29</f>
        <v>7.2499999999999995E-2</v>
      </c>
      <c r="C39">
        <f>A39-A38</f>
        <v>153</v>
      </c>
      <c r="D39" s="7">
        <f>C39/$B$34</f>
        <v>0.41917808219178082</v>
      </c>
      <c r="E39" s="8">
        <f>B39/(1+$B$30)^D39</f>
        <v>6.925137133750979E-2</v>
      </c>
      <c r="I39" s="1">
        <v>45591</v>
      </c>
      <c r="J39" s="8">
        <f>$J$29</f>
        <v>7.2499999999999995E-2</v>
      </c>
      <c r="K39">
        <f>I39-I38-1</f>
        <v>324</v>
      </c>
      <c r="L39" s="7">
        <f>K39/$J$34</f>
        <v>0.88767123287671235</v>
      </c>
      <c r="M39" s="8">
        <f>J39/(1+$J$30)^L39</f>
        <v>6.6453901584677191E-2</v>
      </c>
    </row>
    <row r="40" spans="1:13" x14ac:dyDescent="0.3">
      <c r="A40" s="1">
        <f>EDATE(A39,12)</f>
        <v>45591</v>
      </c>
      <c r="B40" s="8">
        <f t="shared" ref="B40:B65" si="6">$B$29</f>
        <v>7.2499999999999995E-2</v>
      </c>
      <c r="C40">
        <f>C39+365-1</f>
        <v>517</v>
      </c>
      <c r="D40" s="7">
        <f t="shared" ref="D40:D66" si="7">C40/$B$34</f>
        <v>1.4164383561643836</v>
      </c>
      <c r="E40" s="8">
        <f t="shared" ref="E40:E66" si="8">B40/(1+$B$30)^D40</f>
        <v>6.2095721771282107E-2</v>
      </c>
      <c r="I40" s="1">
        <f>EDATE(I39,12)</f>
        <v>45956</v>
      </c>
      <c r="J40" s="8">
        <f t="shared" ref="J40:J64" si="9">$J$29</f>
        <v>7.2499999999999995E-2</v>
      </c>
      <c r="K40">
        <f>K39+365</f>
        <v>689</v>
      </c>
      <c r="L40" s="7">
        <f t="shared" ref="L40:L65" si="10">K40/$J$34</f>
        <v>1.8876712328767122</v>
      </c>
      <c r="M40" s="8">
        <f t="shared" ref="M40:M65" si="11">J40/(1+$J$30)^L40</f>
        <v>6.0244500879071308E-2</v>
      </c>
    </row>
    <row r="41" spans="1:13" x14ac:dyDescent="0.3">
      <c r="A41" s="1">
        <f>EDATE(A40,12)</f>
        <v>45956</v>
      </c>
      <c r="B41" s="8">
        <f t="shared" si="6"/>
        <v>7.2499999999999995E-2</v>
      </c>
      <c r="C41">
        <f>C40+365</f>
        <v>882</v>
      </c>
      <c r="D41" s="7">
        <f t="shared" si="7"/>
        <v>2.4164383561643836</v>
      </c>
      <c r="E41" s="8">
        <f t="shared" si="8"/>
        <v>5.5662774878566218E-2</v>
      </c>
      <c r="I41" s="1">
        <f>EDATE(I40,12)</f>
        <v>46321</v>
      </c>
      <c r="J41" s="8">
        <f t="shared" si="9"/>
        <v>7.2499999999999995E-2</v>
      </c>
      <c r="K41">
        <f>K40+365</f>
        <v>1054</v>
      </c>
      <c r="L41" s="7">
        <f t="shared" si="10"/>
        <v>2.8876712328767122</v>
      </c>
      <c r="M41" s="8">
        <f t="shared" si="11"/>
        <v>5.4615301729782614E-2</v>
      </c>
    </row>
    <row r="42" spans="1:13" x14ac:dyDescent="0.3">
      <c r="A42" s="1">
        <f t="shared" ref="A42" si="12">EDATE(A41,12)</f>
        <v>46321</v>
      </c>
      <c r="B42" s="8">
        <f t="shared" si="6"/>
        <v>7.2499999999999995E-2</v>
      </c>
      <c r="C42">
        <f t="shared" ref="C42" si="13">C41+365</f>
        <v>1247</v>
      </c>
      <c r="D42" s="7">
        <f t="shared" si="7"/>
        <v>3.4164383561643836</v>
      </c>
      <c r="E42" s="8">
        <f t="shared" si="8"/>
        <v>4.9896263684543522E-2</v>
      </c>
      <c r="I42" s="1">
        <f t="shared" ref="I42:I65" si="14">EDATE(I41,12)</f>
        <v>46686</v>
      </c>
      <c r="J42" s="8">
        <f t="shared" si="9"/>
        <v>7.2499999999999995E-2</v>
      </c>
      <c r="K42">
        <f t="shared" ref="K42:K65" si="15">K41+365</f>
        <v>1419</v>
      </c>
      <c r="L42" s="7">
        <f t="shared" si="10"/>
        <v>3.8876712328767122</v>
      </c>
      <c r="M42" s="8">
        <f t="shared" si="11"/>
        <v>4.9512090556159273E-2</v>
      </c>
    </row>
    <row r="43" spans="1:13" x14ac:dyDescent="0.3">
      <c r="A43" s="1">
        <f t="shared" ref="A43:A66" si="16">EDATE(A42,12)</f>
        <v>46686</v>
      </c>
      <c r="B43" s="8">
        <f t="shared" si="6"/>
        <v>7.2499999999999995E-2</v>
      </c>
      <c r="C43">
        <f t="shared" ref="C43:C66" si="17">C42+365</f>
        <v>1612</v>
      </c>
      <c r="D43" s="7">
        <f t="shared" si="7"/>
        <v>4.4164383561643836</v>
      </c>
      <c r="E43" s="8">
        <f t="shared" si="8"/>
        <v>4.472714727407829E-2</v>
      </c>
      <c r="I43" s="1">
        <f t="shared" si="14"/>
        <v>47052</v>
      </c>
      <c r="J43" s="8">
        <f t="shared" si="9"/>
        <v>7.2499999999999995E-2</v>
      </c>
      <c r="K43">
        <f t="shared" si="15"/>
        <v>1784</v>
      </c>
      <c r="L43" s="7">
        <f t="shared" si="10"/>
        <v>4.8876712328767127</v>
      </c>
      <c r="M43" s="8">
        <f t="shared" si="11"/>
        <v>4.4885719452219058E-2</v>
      </c>
    </row>
    <row r="44" spans="1:13" x14ac:dyDescent="0.3">
      <c r="A44" s="1">
        <f t="shared" si="16"/>
        <v>47052</v>
      </c>
      <c r="B44" s="8">
        <f t="shared" si="6"/>
        <v>7.2499999999999995E-2</v>
      </c>
      <c r="C44">
        <f t="shared" si="17"/>
        <v>1977</v>
      </c>
      <c r="D44" s="7">
        <f t="shared" si="7"/>
        <v>5.4164383561643836</v>
      </c>
      <c r="E44" s="8">
        <f t="shared" si="8"/>
        <v>4.0093537181959266E-2</v>
      </c>
      <c r="I44" s="1">
        <f t="shared" si="14"/>
        <v>47417</v>
      </c>
      <c r="J44" s="8">
        <f t="shared" si="9"/>
        <v>7.2499999999999995E-2</v>
      </c>
      <c r="K44">
        <f t="shared" si="15"/>
        <v>2149</v>
      </c>
      <c r="L44" s="7">
        <f t="shared" si="10"/>
        <v>5.8876712328767127</v>
      </c>
      <c r="M44" s="8">
        <f t="shared" si="11"/>
        <v>4.0691632853961275E-2</v>
      </c>
    </row>
    <row r="45" spans="1:13" x14ac:dyDescent="0.3">
      <c r="A45" s="1">
        <f t="shared" si="16"/>
        <v>47417</v>
      </c>
      <c r="B45" s="8">
        <f t="shared" si="6"/>
        <v>7.2499999999999995E-2</v>
      </c>
      <c r="C45">
        <f t="shared" si="17"/>
        <v>2342</v>
      </c>
      <c r="D45" s="7">
        <f t="shared" si="7"/>
        <v>6.4164383561643836</v>
      </c>
      <c r="E45" s="8">
        <f t="shared" si="8"/>
        <v>3.5939956418655279E-2</v>
      </c>
      <c r="I45" s="1">
        <f t="shared" si="14"/>
        <v>47782</v>
      </c>
      <c r="J45" s="8">
        <f t="shared" si="9"/>
        <v>7.2499999999999995E-2</v>
      </c>
      <c r="K45">
        <f t="shared" si="15"/>
        <v>2514</v>
      </c>
      <c r="L45" s="7">
        <f t="shared" si="10"/>
        <v>6.8876712328767127</v>
      </c>
      <c r="M45" s="8">
        <f t="shared" si="11"/>
        <v>3.6889438434515733E-2</v>
      </c>
    </row>
    <row r="46" spans="1:13" x14ac:dyDescent="0.3">
      <c r="A46" s="1">
        <f t="shared" si="16"/>
        <v>47782</v>
      </c>
      <c r="B46" s="8">
        <f t="shared" si="6"/>
        <v>7.2499999999999995E-2</v>
      </c>
      <c r="C46">
        <f t="shared" si="17"/>
        <v>2707</v>
      </c>
      <c r="D46" s="7">
        <f t="shared" si="7"/>
        <v>7.4164383561643836</v>
      </c>
      <c r="E46" s="8">
        <f t="shared" si="8"/>
        <v>3.221667525897548E-2</v>
      </c>
      <c r="I46" s="1">
        <f t="shared" si="14"/>
        <v>48147</v>
      </c>
      <c r="J46" s="8">
        <f t="shared" si="9"/>
        <v>7.2499999999999995E-2</v>
      </c>
      <c r="K46">
        <f t="shared" si="15"/>
        <v>2879</v>
      </c>
      <c r="L46" s="7">
        <f t="shared" si="10"/>
        <v>7.8876712328767127</v>
      </c>
      <c r="M46" s="8">
        <f t="shared" si="11"/>
        <v>3.3442518094514158E-2</v>
      </c>
    </row>
    <row r="47" spans="1:13" x14ac:dyDescent="0.3">
      <c r="A47" s="1">
        <f t="shared" si="16"/>
        <v>48147</v>
      </c>
      <c r="B47" s="8">
        <f t="shared" si="6"/>
        <v>7.2499999999999995E-2</v>
      </c>
      <c r="C47">
        <f t="shared" si="17"/>
        <v>3072</v>
      </c>
      <c r="D47" s="7">
        <f t="shared" si="7"/>
        <v>8.4164383561643827</v>
      </c>
      <c r="E47" s="8">
        <f t="shared" si="8"/>
        <v>2.8879115841207174E-2</v>
      </c>
      <c r="I47" s="1">
        <f t="shared" si="14"/>
        <v>48513</v>
      </c>
      <c r="J47" s="8">
        <f t="shared" si="9"/>
        <v>7.2499999999999995E-2</v>
      </c>
      <c r="K47">
        <f t="shared" si="15"/>
        <v>3244</v>
      </c>
      <c r="L47" s="7">
        <f t="shared" si="10"/>
        <v>8.8876712328767127</v>
      </c>
      <c r="M47" s="8">
        <f t="shared" si="11"/>
        <v>3.0317675301217654E-2</v>
      </c>
    </row>
    <row r="48" spans="1:13" x14ac:dyDescent="0.3">
      <c r="A48" s="1">
        <f t="shared" si="16"/>
        <v>48513</v>
      </c>
      <c r="B48" s="8">
        <f t="shared" si="6"/>
        <v>7.2499999999999995E-2</v>
      </c>
      <c r="C48">
        <f t="shared" si="17"/>
        <v>3437</v>
      </c>
      <c r="D48" s="7">
        <f t="shared" si="7"/>
        <v>9.4164383561643827</v>
      </c>
      <c r="E48" s="8">
        <f t="shared" si="8"/>
        <v>2.5887318448154017E-2</v>
      </c>
      <c r="G48" s="12"/>
      <c r="I48" s="1">
        <f t="shared" si="14"/>
        <v>48878</v>
      </c>
      <c r="J48" s="8">
        <f t="shared" si="9"/>
        <v>7.2499999999999995E-2</v>
      </c>
      <c r="K48">
        <f t="shared" si="15"/>
        <v>3609</v>
      </c>
      <c r="L48" s="7">
        <f t="shared" si="10"/>
        <v>9.8876712328767127</v>
      </c>
      <c r="M48" s="8">
        <f t="shared" si="11"/>
        <v>2.7484815380000957E-2</v>
      </c>
    </row>
    <row r="49" spans="1:14" x14ac:dyDescent="0.3">
      <c r="A49" s="1">
        <f t="shared" si="16"/>
        <v>48878</v>
      </c>
      <c r="B49" s="8">
        <f t="shared" si="6"/>
        <v>7.2499999999999995E-2</v>
      </c>
      <c r="C49">
        <f t="shared" si="17"/>
        <v>3802</v>
      </c>
      <c r="D49" s="7">
        <f t="shared" si="7"/>
        <v>10.416438356164383</v>
      </c>
      <c r="E49" s="8">
        <f t="shared" si="8"/>
        <v>2.320546307999858E-2</v>
      </c>
      <c r="I49" s="1">
        <f t="shared" si="14"/>
        <v>49243</v>
      </c>
      <c r="J49" s="8">
        <f t="shared" si="9"/>
        <v>7.2499999999999995E-2</v>
      </c>
      <c r="K49">
        <f t="shared" si="15"/>
        <v>3974</v>
      </c>
      <c r="L49" s="7">
        <f t="shared" si="10"/>
        <v>10.887671232876713</v>
      </c>
      <c r="M49" s="8">
        <f t="shared" si="11"/>
        <v>2.4916655679150874E-2</v>
      </c>
      <c r="N49" s="9"/>
    </row>
    <row r="50" spans="1:14" x14ac:dyDescent="0.3">
      <c r="A50" s="1">
        <f t="shared" si="16"/>
        <v>49243</v>
      </c>
      <c r="B50" s="8">
        <f t="shared" si="6"/>
        <v>7.2499999999999995E-2</v>
      </c>
      <c r="C50">
        <f t="shared" si="17"/>
        <v>4167</v>
      </c>
      <c r="D50" s="7">
        <f t="shared" si="7"/>
        <v>11.416438356164383</v>
      </c>
      <c r="E50" s="8">
        <f t="shared" si="8"/>
        <v>2.0801440590907414E-2</v>
      </c>
      <c r="I50" s="1">
        <f t="shared" si="14"/>
        <v>49608</v>
      </c>
      <c r="J50" s="8">
        <f t="shared" si="9"/>
        <v>7.2499999999999995E-2</v>
      </c>
      <c r="K50">
        <f t="shared" si="15"/>
        <v>4339</v>
      </c>
      <c r="L50" s="7">
        <f t="shared" si="10"/>
        <v>11.887671232876713</v>
      </c>
      <c r="M50" s="8">
        <f t="shared" si="11"/>
        <v>2.2588462816639808E-2</v>
      </c>
    </row>
    <row r="51" spans="1:14" x14ac:dyDescent="0.3">
      <c r="A51" s="1">
        <f t="shared" si="16"/>
        <v>49608</v>
      </c>
      <c r="B51" s="8">
        <f t="shared" si="6"/>
        <v>7.2499999999999995E-2</v>
      </c>
      <c r="C51">
        <f t="shared" si="17"/>
        <v>4532</v>
      </c>
      <c r="D51" s="7">
        <f t="shared" si="7"/>
        <v>12.416438356164383</v>
      </c>
      <c r="E51" s="8">
        <f t="shared" si="8"/>
        <v>1.8646468254710519E-2</v>
      </c>
      <c r="I51" s="1">
        <f t="shared" si="14"/>
        <v>49974</v>
      </c>
      <c r="J51" s="8">
        <f t="shared" si="9"/>
        <v>7.2499999999999995E-2</v>
      </c>
      <c r="K51">
        <f t="shared" si="15"/>
        <v>4704</v>
      </c>
      <c r="L51" s="7">
        <f t="shared" si="10"/>
        <v>12.887671232876713</v>
      </c>
      <c r="M51" s="8">
        <f t="shared" si="11"/>
        <v>2.0477814478355692E-2</v>
      </c>
    </row>
    <row r="52" spans="1:14" x14ac:dyDescent="0.3">
      <c r="A52" s="1">
        <f t="shared" si="16"/>
        <v>49974</v>
      </c>
      <c r="B52" s="8">
        <f t="shared" si="6"/>
        <v>7.2499999999999995E-2</v>
      </c>
      <c r="C52">
        <f t="shared" si="17"/>
        <v>4897</v>
      </c>
      <c r="D52" s="7">
        <f t="shared" si="7"/>
        <v>13.416438356164383</v>
      </c>
      <c r="E52" s="8">
        <f t="shared" si="8"/>
        <v>1.6714745156924726E-2</v>
      </c>
      <c r="I52" s="1">
        <f t="shared" si="14"/>
        <v>50339</v>
      </c>
      <c r="J52" s="8">
        <f t="shared" si="9"/>
        <v>7.2499999999999995E-2</v>
      </c>
      <c r="K52">
        <f t="shared" si="15"/>
        <v>5069</v>
      </c>
      <c r="L52" s="7">
        <f t="shared" si="10"/>
        <v>13.887671232876713</v>
      </c>
      <c r="M52" s="8">
        <f t="shared" si="11"/>
        <v>1.8564383473719429E-2</v>
      </c>
    </row>
    <row r="53" spans="1:14" x14ac:dyDescent="0.3">
      <c r="A53" s="1">
        <f t="shared" si="16"/>
        <v>50339</v>
      </c>
      <c r="B53" s="8">
        <f t="shared" si="6"/>
        <v>7.2499999999999995E-2</v>
      </c>
      <c r="C53">
        <f t="shared" si="17"/>
        <v>5262</v>
      </c>
      <c r="D53" s="7">
        <f t="shared" si="7"/>
        <v>14.416438356164383</v>
      </c>
      <c r="E53" s="8">
        <f t="shared" si="8"/>
        <v>1.4983143287220639E-2</v>
      </c>
      <c r="I53" s="1">
        <f t="shared" si="14"/>
        <v>50704</v>
      </c>
      <c r="J53" s="8">
        <f t="shared" si="9"/>
        <v>7.2499999999999995E-2</v>
      </c>
      <c r="K53">
        <f t="shared" si="15"/>
        <v>5434</v>
      </c>
      <c r="L53" s="7">
        <f t="shared" si="10"/>
        <v>14.887671232876713</v>
      </c>
      <c r="M53" s="8">
        <f t="shared" si="11"/>
        <v>1.682974196897697E-2</v>
      </c>
    </row>
    <row r="54" spans="1:14" x14ac:dyDescent="0.3">
      <c r="A54" s="1">
        <f t="shared" si="16"/>
        <v>50704</v>
      </c>
      <c r="B54" s="8">
        <f t="shared" si="6"/>
        <v>7.2499999999999995E-2</v>
      </c>
      <c r="C54">
        <f t="shared" si="17"/>
        <v>5627</v>
      </c>
      <c r="D54" s="7">
        <f t="shared" si="7"/>
        <v>15.416438356164383</v>
      </c>
      <c r="E54" s="8">
        <f t="shared" si="8"/>
        <v>1.3430930633864874E-2</v>
      </c>
      <c r="I54" s="1">
        <f t="shared" si="14"/>
        <v>51069</v>
      </c>
      <c r="J54" s="8">
        <f t="shared" si="9"/>
        <v>7.2499999999999995E-2</v>
      </c>
      <c r="K54">
        <f t="shared" si="15"/>
        <v>5799</v>
      </c>
      <c r="L54" s="7">
        <f t="shared" si="10"/>
        <v>15.887671232876713</v>
      </c>
      <c r="M54" s="8">
        <f t="shared" si="11"/>
        <v>1.525718401277976E-2</v>
      </c>
    </row>
    <row r="55" spans="1:14" x14ac:dyDescent="0.3">
      <c r="A55" s="1">
        <f t="shared" si="16"/>
        <v>51069</v>
      </c>
      <c r="B55" s="8">
        <f t="shared" si="6"/>
        <v>7.2499999999999995E-2</v>
      </c>
      <c r="C55">
        <f t="shared" si="17"/>
        <v>5992</v>
      </c>
      <c r="D55" s="7">
        <f t="shared" si="7"/>
        <v>16.416438356164385</v>
      </c>
      <c r="E55" s="8">
        <f t="shared" si="8"/>
        <v>1.2039522964820562E-2</v>
      </c>
      <c r="I55" s="1">
        <f t="shared" si="14"/>
        <v>51435</v>
      </c>
      <c r="J55" s="8">
        <f t="shared" si="9"/>
        <v>7.2499999999999995E-2</v>
      </c>
      <c r="K55">
        <f t="shared" si="15"/>
        <v>6164</v>
      </c>
      <c r="L55" s="7">
        <f t="shared" si="10"/>
        <v>16.887671232876713</v>
      </c>
      <c r="M55" s="8">
        <f t="shared" si="11"/>
        <v>1.3831564644836467E-2</v>
      </c>
    </row>
    <row r="56" spans="1:14" x14ac:dyDescent="0.3">
      <c r="A56" s="1">
        <f t="shared" si="16"/>
        <v>51435</v>
      </c>
      <c r="B56" s="8">
        <f t="shared" si="6"/>
        <v>7.2499999999999995E-2</v>
      </c>
      <c r="C56">
        <f t="shared" si="17"/>
        <v>6357</v>
      </c>
      <c r="D56" s="7">
        <f t="shared" si="7"/>
        <v>17.416438356164385</v>
      </c>
      <c r="E56" s="8">
        <f t="shared" si="8"/>
        <v>1.0792261323646713E-2</v>
      </c>
      <c r="I56" s="1">
        <f t="shared" si="14"/>
        <v>51800</v>
      </c>
      <c r="J56" s="8">
        <f t="shared" si="9"/>
        <v>7.2499999999999995E-2</v>
      </c>
      <c r="K56">
        <f t="shared" si="15"/>
        <v>6529</v>
      </c>
      <c r="L56" s="7">
        <f t="shared" si="10"/>
        <v>17.887671232876713</v>
      </c>
      <c r="M56" s="8">
        <f t="shared" si="11"/>
        <v>1.2539154038126745E-2</v>
      </c>
    </row>
    <row r="57" spans="1:14" x14ac:dyDescent="0.3">
      <c r="A57" s="1">
        <f t="shared" si="16"/>
        <v>51800</v>
      </c>
      <c r="B57" s="8">
        <f t="shared" si="6"/>
        <v>7.2499999999999995E-2</v>
      </c>
      <c r="C57">
        <f t="shared" si="17"/>
        <v>6722</v>
      </c>
      <c r="D57" s="7">
        <f t="shared" si="7"/>
        <v>18.416438356164385</v>
      </c>
      <c r="E57" s="8">
        <f t="shared" si="8"/>
        <v>9.674212576213698E-3</v>
      </c>
      <c r="I57" s="1">
        <f t="shared" si="14"/>
        <v>52165</v>
      </c>
      <c r="J57" s="8">
        <f t="shared" si="9"/>
        <v>7.2499999999999995E-2</v>
      </c>
      <c r="K57">
        <f t="shared" si="15"/>
        <v>6894</v>
      </c>
      <c r="L57" s="7">
        <f t="shared" si="10"/>
        <v>18.887671232876713</v>
      </c>
      <c r="M57" s="8">
        <f t="shared" si="11"/>
        <v>1.1367505269952716E-2</v>
      </c>
    </row>
    <row r="58" spans="1:14" x14ac:dyDescent="0.3">
      <c r="A58" s="1">
        <f t="shared" si="16"/>
        <v>52165</v>
      </c>
      <c r="B58" s="8">
        <f t="shared" si="6"/>
        <v>7.2499999999999995E-2</v>
      </c>
      <c r="C58">
        <f t="shared" si="17"/>
        <v>7087</v>
      </c>
      <c r="D58" s="7">
        <f t="shared" si="7"/>
        <v>19.416438356164385</v>
      </c>
      <c r="E58" s="8">
        <f t="shared" si="8"/>
        <v>8.6719906202333292E-3</v>
      </c>
      <c r="I58" s="1">
        <f t="shared" si="14"/>
        <v>52530</v>
      </c>
      <c r="J58" s="8">
        <f t="shared" si="9"/>
        <v>7.2499999999999995E-2</v>
      </c>
      <c r="K58">
        <f t="shared" si="15"/>
        <v>7259</v>
      </c>
      <c r="L58" s="7">
        <f t="shared" si="10"/>
        <v>19.887671232876713</v>
      </c>
      <c r="M58" s="8">
        <f t="shared" si="11"/>
        <v>1.0305334448360228E-2</v>
      </c>
    </row>
    <row r="59" spans="1:14" x14ac:dyDescent="0.3">
      <c r="A59" s="1">
        <f t="shared" si="16"/>
        <v>52530</v>
      </c>
      <c r="B59" s="8">
        <f t="shared" si="6"/>
        <v>7.2499999999999995E-2</v>
      </c>
      <c r="C59">
        <f t="shared" si="17"/>
        <v>7452</v>
      </c>
      <c r="D59" s="7">
        <f t="shared" si="7"/>
        <v>20.416438356164385</v>
      </c>
      <c r="E59" s="8">
        <f t="shared" si="8"/>
        <v>7.7735961169925075E-3</v>
      </c>
      <c r="I59" s="1">
        <f t="shared" si="14"/>
        <v>52896</v>
      </c>
      <c r="J59" s="8">
        <f t="shared" si="9"/>
        <v>7.2499999999999995E-2</v>
      </c>
      <c r="K59">
        <f t="shared" si="15"/>
        <v>7624</v>
      </c>
      <c r="L59" s="7">
        <f t="shared" si="10"/>
        <v>20.887671232876713</v>
      </c>
      <c r="M59" s="8">
        <f t="shared" si="11"/>
        <v>9.3424120394537333E-3</v>
      </c>
    </row>
    <row r="60" spans="1:14" x14ac:dyDescent="0.3">
      <c r="A60" s="1">
        <f t="shared" si="16"/>
        <v>52896</v>
      </c>
      <c r="B60" s="8">
        <f t="shared" si="6"/>
        <v>7.2499999999999995E-2</v>
      </c>
      <c r="C60">
        <f t="shared" si="17"/>
        <v>7817</v>
      </c>
      <c r="D60" s="7">
        <f t="shared" si="7"/>
        <v>21.416438356164385</v>
      </c>
      <c r="E60" s="8">
        <f t="shared" si="8"/>
        <v>6.9682728264407485E-3</v>
      </c>
      <c r="I60" s="1">
        <f t="shared" si="14"/>
        <v>53261</v>
      </c>
      <c r="J60" s="8">
        <f t="shared" si="9"/>
        <v>7.2499999999999995E-2</v>
      </c>
      <c r="K60">
        <f t="shared" si="15"/>
        <v>7989</v>
      </c>
      <c r="L60" s="7">
        <f t="shared" si="10"/>
        <v>21.887671232876713</v>
      </c>
      <c r="M60" s="8">
        <f t="shared" si="11"/>
        <v>8.4694643490020888E-3</v>
      </c>
    </row>
    <row r="61" spans="1:14" x14ac:dyDescent="0.3">
      <c r="A61" s="1">
        <f t="shared" si="16"/>
        <v>53261</v>
      </c>
      <c r="B61" s="8">
        <f t="shared" si="6"/>
        <v>7.2499999999999995E-2</v>
      </c>
      <c r="C61">
        <f t="shared" si="17"/>
        <v>8182</v>
      </c>
      <c r="D61" s="7">
        <f t="shared" si="7"/>
        <v>22.416438356164385</v>
      </c>
      <c r="E61" s="8">
        <f t="shared" si="8"/>
        <v>6.2463788255696642E-3</v>
      </c>
      <c r="I61" s="1">
        <f t="shared" si="14"/>
        <v>53626</v>
      </c>
      <c r="J61" s="8">
        <f t="shared" si="9"/>
        <v>7.2499999999999995E-2</v>
      </c>
      <c r="K61">
        <f t="shared" si="15"/>
        <v>8354</v>
      </c>
      <c r="L61" s="7">
        <f t="shared" si="10"/>
        <v>22.887671232876713</v>
      </c>
      <c r="M61" s="8">
        <f t="shared" si="11"/>
        <v>7.6780842095262192E-3</v>
      </c>
    </row>
    <row r="62" spans="1:14" x14ac:dyDescent="0.3">
      <c r="A62" s="1">
        <f t="shared" si="16"/>
        <v>53626</v>
      </c>
      <c r="B62" s="8">
        <f t="shared" si="6"/>
        <v>7.2499999999999995E-2</v>
      </c>
      <c r="C62">
        <f t="shared" si="17"/>
        <v>8547</v>
      </c>
      <c r="D62" s="7">
        <f t="shared" si="7"/>
        <v>23.416438356164385</v>
      </c>
      <c r="E62" s="8">
        <f t="shared" si="8"/>
        <v>5.5992710682159462E-3</v>
      </c>
      <c r="I62" s="1">
        <f t="shared" si="14"/>
        <v>53991</v>
      </c>
      <c r="J62" s="8">
        <f t="shared" si="9"/>
        <v>7.2499999999999995E-2</v>
      </c>
      <c r="K62">
        <f t="shared" si="15"/>
        <v>8719</v>
      </c>
      <c r="L62" s="7">
        <f t="shared" si="10"/>
        <v>23.887671232876713</v>
      </c>
      <c r="M62" s="8">
        <f t="shared" si="11"/>
        <v>6.9606500127156207E-3</v>
      </c>
    </row>
    <row r="63" spans="1:14" x14ac:dyDescent="0.3">
      <c r="A63" s="1">
        <f t="shared" si="16"/>
        <v>53991</v>
      </c>
      <c r="B63" s="8">
        <f t="shared" si="6"/>
        <v>7.2499999999999995E-2</v>
      </c>
      <c r="C63">
        <f t="shared" si="17"/>
        <v>8912</v>
      </c>
      <c r="D63" s="7">
        <f t="shared" si="7"/>
        <v>24.416438356164385</v>
      </c>
      <c r="E63" s="8">
        <f t="shared" si="8"/>
        <v>5.0192019041529869E-3</v>
      </c>
      <c r="I63" s="1">
        <f t="shared" si="14"/>
        <v>54357</v>
      </c>
      <c r="J63" s="8">
        <f t="shared" si="9"/>
        <v>7.2499999999999995E-2</v>
      </c>
      <c r="K63">
        <f t="shared" si="15"/>
        <v>9084</v>
      </c>
      <c r="L63" s="7">
        <f t="shared" si="10"/>
        <v>24.887671232876713</v>
      </c>
      <c r="M63" s="8">
        <f t="shared" si="11"/>
        <v>6.3102523073926588E-3</v>
      </c>
    </row>
    <row r="64" spans="1:14" x14ac:dyDescent="0.3">
      <c r="A64" s="1">
        <f t="shared" si="16"/>
        <v>54357</v>
      </c>
      <c r="B64" s="8">
        <f t="shared" si="6"/>
        <v>7.2499999999999995E-2</v>
      </c>
      <c r="C64">
        <f t="shared" si="17"/>
        <v>9277</v>
      </c>
      <c r="D64" s="7">
        <f t="shared" si="7"/>
        <v>25.416438356164385</v>
      </c>
      <c r="E64" s="8">
        <f t="shared" si="8"/>
        <v>4.4992263185214621E-3</v>
      </c>
      <c r="I64" s="1">
        <f t="shared" si="14"/>
        <v>54722</v>
      </c>
      <c r="J64" s="8">
        <f t="shared" si="9"/>
        <v>7.2499999999999995E-2</v>
      </c>
      <c r="K64">
        <f t="shared" si="15"/>
        <v>9449</v>
      </c>
      <c r="L64" s="7">
        <f t="shared" si="10"/>
        <v>25.887671232876713</v>
      </c>
      <c r="M64" s="8">
        <f t="shared" si="11"/>
        <v>5.7206272561058308E-3</v>
      </c>
    </row>
    <row r="65" spans="1:14" x14ac:dyDescent="0.3">
      <c r="A65" s="1">
        <f t="shared" si="16"/>
        <v>54722</v>
      </c>
      <c r="B65" s="8">
        <f t="shared" si="6"/>
        <v>7.2499999999999995E-2</v>
      </c>
      <c r="C65">
        <f t="shared" si="17"/>
        <v>9642</v>
      </c>
      <c r="D65" s="7">
        <f t="shared" si="7"/>
        <v>26.416438356164385</v>
      </c>
      <c r="E65" s="8">
        <f t="shared" si="8"/>
        <v>4.0331187810011574E-3</v>
      </c>
      <c r="I65" s="1">
        <f t="shared" si="14"/>
        <v>55087</v>
      </c>
      <c r="J65" s="8">
        <f>$J$29+1</f>
        <v>1.0725</v>
      </c>
      <c r="K65">
        <f t="shared" si="15"/>
        <v>9814</v>
      </c>
      <c r="L65" s="7">
        <f t="shared" si="10"/>
        <v>26.887671232876713</v>
      </c>
      <c r="M65" s="8">
        <f t="shared" si="11"/>
        <v>7.6718459198962932E-2</v>
      </c>
    </row>
    <row r="66" spans="1:14" x14ac:dyDescent="0.3">
      <c r="A66" s="1">
        <f t="shared" si="16"/>
        <v>55087</v>
      </c>
      <c r="B66" s="8">
        <f>$B$29+1</f>
        <v>1.0725</v>
      </c>
      <c r="C66">
        <f t="shared" si="17"/>
        <v>10007</v>
      </c>
      <c r="D66" s="7">
        <f t="shared" si="7"/>
        <v>27.416438356164385</v>
      </c>
      <c r="E66" s="8">
        <f t="shared" si="8"/>
        <v>5.3481487801334188E-2</v>
      </c>
      <c r="L66" s="4" t="s">
        <v>30</v>
      </c>
      <c r="M66" s="8">
        <f>SUM(M39:M65)</f>
        <v>0.73241534447017698</v>
      </c>
      <c r="N66" s="9">
        <f>J33*M66</f>
        <v>732415344.47017694</v>
      </c>
    </row>
    <row r="67" spans="1:14" ht="15" thickBot="1" x14ac:dyDescent="0.35">
      <c r="A67" s="1"/>
      <c r="B67" s="8"/>
      <c r="D67" s="4" t="s">
        <v>30</v>
      </c>
      <c r="E67" s="8">
        <f>SUM(E39:E66)</f>
        <v>0.68723061422570098</v>
      </c>
      <c r="F67" s="9">
        <f>B33*E67</f>
        <v>687230614.22570097</v>
      </c>
      <c r="L67" s="4" t="s">
        <v>31</v>
      </c>
      <c r="M67" s="8">
        <f>(J29/J34)*K37</f>
        <v>8.1438356164383555E-3</v>
      </c>
      <c r="N67" s="9">
        <f>J33*M67</f>
        <v>8143835.6164383553</v>
      </c>
    </row>
    <row r="68" spans="1:14" x14ac:dyDescent="0.3">
      <c r="A68" s="1"/>
      <c r="B68" s="8"/>
      <c r="D68" s="4" t="s">
        <v>31</v>
      </c>
      <c r="E68" s="8">
        <f>(B29/B34)*C37</f>
        <v>4.2109589041095886E-2</v>
      </c>
      <c r="F68" s="9">
        <f>B33*E68</f>
        <v>42109589.04109589</v>
      </c>
      <c r="H68" s="13" t="s">
        <v>17</v>
      </c>
      <c r="I68" s="14"/>
      <c r="J68" s="15"/>
      <c r="L68" s="4" t="s">
        <v>16</v>
      </c>
      <c r="M68" s="8">
        <f>M66-M67</f>
        <v>0.72427150885373859</v>
      </c>
      <c r="N68" s="9">
        <f>J33*M68</f>
        <v>724271508.85373855</v>
      </c>
    </row>
    <row r="69" spans="1:14" x14ac:dyDescent="0.3">
      <c r="A69" s="1"/>
      <c r="B69" s="8"/>
      <c r="D69" s="4" t="s">
        <v>16</v>
      </c>
      <c r="E69" s="8">
        <f>E67-E68</f>
        <v>0.64512102518460512</v>
      </c>
      <c r="F69" s="9">
        <f>B33*E69</f>
        <v>645121025.18460512</v>
      </c>
      <c r="H69" s="16">
        <f>B27</f>
        <v>45072</v>
      </c>
      <c r="I69" s="17">
        <f>-F67</f>
        <v>-687230614.22570097</v>
      </c>
      <c r="J69" s="18" t="s">
        <v>20</v>
      </c>
      <c r="L69" s="4" t="s">
        <v>32</v>
      </c>
      <c r="M69" s="7">
        <f>DURATION(J27,J28,J29,J30,1,3)</f>
        <v>10.326693225148851</v>
      </c>
    </row>
    <row r="70" spans="1:14" x14ac:dyDescent="0.3">
      <c r="A70" s="1"/>
      <c r="B70" s="8"/>
      <c r="D70" s="4" t="s">
        <v>32</v>
      </c>
      <c r="E70" s="7">
        <f>DURATION(B27,B28,B29,B30,1,3)</f>
        <v>9.1286926371076387</v>
      </c>
      <c r="H70" s="16">
        <f>A39</f>
        <v>45225</v>
      </c>
      <c r="I70" s="17">
        <f>B39*B33</f>
        <v>72500000</v>
      </c>
      <c r="J70" s="18" t="s">
        <v>37</v>
      </c>
      <c r="L70" s="4" t="s">
        <v>33</v>
      </c>
      <c r="M70" s="7">
        <f>MDURATION(J27,J28,J29,J30,1,3)</f>
        <v>9.3617750688069226</v>
      </c>
    </row>
    <row r="71" spans="1:14" x14ac:dyDescent="0.3">
      <c r="A71" s="1"/>
      <c r="B71" s="8"/>
      <c r="D71" s="4" t="s">
        <v>33</v>
      </c>
      <c r="E71" s="7">
        <f>MDURATION(B27,B28,B29,B30,1,3)</f>
        <v>8.182985054373674</v>
      </c>
      <c r="H71" s="16">
        <f>J27</f>
        <v>45266</v>
      </c>
      <c r="I71" s="17">
        <f>N66</f>
        <v>732415344.47017694</v>
      </c>
      <c r="J71" s="18" t="s">
        <v>19</v>
      </c>
      <c r="L71" s="4" t="s">
        <v>34</v>
      </c>
      <c r="M71" s="9">
        <f>N66*M69*0.01%</f>
        <v>756342.85757352388</v>
      </c>
    </row>
    <row r="72" spans="1:14" ht="15" thickBot="1" x14ac:dyDescent="0.35">
      <c r="A72" s="1"/>
      <c r="B72" s="8"/>
      <c r="D72" s="4" t="s">
        <v>34</v>
      </c>
      <c r="E72" s="9">
        <f>F67*E70*0.01%</f>
        <v>627351.70480771177</v>
      </c>
      <c r="H72" s="19" t="s">
        <v>17</v>
      </c>
      <c r="I72" s="20">
        <f>XIRR(I69:I71,H69:H71)</f>
        <v>0.35426313281059274</v>
      </c>
      <c r="J72" s="21" t="s">
        <v>21</v>
      </c>
    </row>
    <row r="73" spans="1:14" x14ac:dyDescent="0.3">
      <c r="A73" s="1"/>
      <c r="B73" s="8"/>
      <c r="D73" s="7"/>
      <c r="E73" s="8"/>
    </row>
    <row r="74" spans="1:14" x14ac:dyDescent="0.3">
      <c r="A74" s="1"/>
      <c r="B74" s="8"/>
      <c r="D74" s="7"/>
      <c r="E74" s="8"/>
    </row>
    <row r="75" spans="1:14" x14ac:dyDescent="0.3">
      <c r="A75" s="1"/>
      <c r="B75" s="8"/>
      <c r="D75" s="7"/>
      <c r="E75" s="8"/>
    </row>
    <row r="76" spans="1:14" x14ac:dyDescent="0.3">
      <c r="A76" s="1"/>
      <c r="B76" s="8"/>
      <c r="D76" s="7"/>
      <c r="E76" s="8"/>
    </row>
    <row r="77" spans="1:14" x14ac:dyDescent="0.3">
      <c r="A77" s="1"/>
      <c r="B77" s="8"/>
      <c r="D77" s="7"/>
      <c r="E77" s="8"/>
    </row>
    <row r="78" spans="1:14" x14ac:dyDescent="0.3">
      <c r="A78" s="1"/>
      <c r="B78" s="8"/>
      <c r="D78" s="7"/>
      <c r="E78" s="8"/>
    </row>
    <row r="79" spans="1:14" x14ac:dyDescent="0.3">
      <c r="A79" s="1"/>
      <c r="B79" s="8"/>
      <c r="D79" s="7"/>
      <c r="E79" s="8"/>
    </row>
    <row r="80" spans="1:14" x14ac:dyDescent="0.3">
      <c r="A80" s="1"/>
      <c r="B80" s="8"/>
      <c r="D80" s="7"/>
      <c r="E80" s="8"/>
    </row>
    <row r="81" spans="1:5" x14ac:dyDescent="0.3">
      <c r="A81" s="1"/>
      <c r="B81" s="8"/>
      <c r="D81" s="7"/>
      <c r="E81" s="8"/>
    </row>
    <row r="82" spans="1:5" x14ac:dyDescent="0.3">
      <c r="A82" s="1"/>
      <c r="B82" s="8"/>
      <c r="D82" s="7"/>
      <c r="E82" s="8"/>
    </row>
  </sheetData>
  <mergeCells count="2">
    <mergeCell ref="H19:J19"/>
    <mergeCell ref="H68:J68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Sin Flujos Intermedios</vt:lpstr>
      <vt:lpstr>Con Flujos Intermedios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GONZÁLEZ</dc:creator>
  <cp:lastModifiedBy>NICOLÁS GONZÁLEZ</cp:lastModifiedBy>
  <dcterms:created xsi:type="dcterms:W3CDTF">2015-06-05T18:19:34Z</dcterms:created>
  <dcterms:modified xsi:type="dcterms:W3CDTF">2023-05-27T14:28:47Z</dcterms:modified>
</cp:coreProperties>
</file>