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2\Administración y Valoración Financiera\Trabajo Final\"/>
    </mc:Choice>
  </mc:AlternateContent>
  <xr:revisionPtr revIDLastSave="0" documentId="13_ncr:1_{6BF087E1-1695-4FE8-A2CF-DC11425BB9E6}" xr6:coauthVersionLast="47" xr6:coauthVersionMax="47" xr10:uidLastSave="{00000000-0000-0000-0000-000000000000}"/>
  <bookViews>
    <workbookView xWindow="-120" yWindow="-120" windowWidth="29040" windowHeight="15720" tabRatio="902" activeTab="6" xr2:uid="{3CF2CE5B-43D7-4358-B9B9-2D0E19DA167E}"/>
  </bookViews>
  <sheets>
    <sheet name="ESF 2021-2020" sheetId="2" r:id="rId1"/>
    <sheet name="ER 2021-2020 " sheetId="1" r:id="rId2"/>
    <sheet name="EVA 2021-2022" sheetId="5" r:id="rId3"/>
    <sheet name="ER PRUEBA" sheetId="9" r:id="rId4"/>
    <sheet name="ESF PRUEBA" sheetId="11" r:id="rId5"/>
    <sheet name="CF 2021-2022" sheetId="7" r:id="rId6"/>
    <sheet name="KPI's" sheetId="8" r:id="rId7"/>
    <sheet name="ESF 2022-2021" sheetId="3" r:id="rId8"/>
    <sheet name="ER 2022-2021 " sheetId="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\0" localSheetId="8">#REF!</definedName>
    <definedName name="\0" localSheetId="7">#REF!</definedName>
    <definedName name="\0">#REF!</definedName>
    <definedName name="\a" localSheetId="8">#REF!</definedName>
    <definedName name="\a" localSheetId="7">#REF!</definedName>
    <definedName name="\a">#REF!</definedName>
    <definedName name="\m" localSheetId="8">#REF!</definedName>
    <definedName name="\m" localSheetId="7">#REF!</definedName>
    <definedName name="\m">#REF!</definedName>
    <definedName name="\q" localSheetId="8">#REF!</definedName>
    <definedName name="\q" localSheetId="7">#REF!</definedName>
    <definedName name="\q">#REF!</definedName>
    <definedName name="\v" localSheetId="8">#REF!</definedName>
    <definedName name="\v" localSheetId="7">#REF!</definedName>
    <definedName name="\v">#REF!</definedName>
    <definedName name="____act1" localSheetId="8">#REF!</definedName>
    <definedName name="____act1" localSheetId="7">#REF!</definedName>
    <definedName name="____act1">#REF!</definedName>
    <definedName name="____act2" localSheetId="8">#REF!</definedName>
    <definedName name="____act2" localSheetId="7">#REF!</definedName>
    <definedName name="____act2">#REF!</definedName>
    <definedName name="____act3" localSheetId="8">#REF!</definedName>
    <definedName name="____act3" localSheetId="7">#REF!</definedName>
    <definedName name="____act3">#REF!</definedName>
    <definedName name="____apf1" localSheetId="8">#REF!</definedName>
    <definedName name="____apf1" localSheetId="7">#REF!</definedName>
    <definedName name="____apf1">#REF!</definedName>
    <definedName name="____arp1" localSheetId="8">#REF!</definedName>
    <definedName name="____arp1" localSheetId="7">#REF!</definedName>
    <definedName name="____arp1">#REF!</definedName>
    <definedName name="____cmd1" localSheetId="8">#REF!</definedName>
    <definedName name="____cmd1" localSheetId="7">#REF!</definedName>
    <definedName name="____cmd1">#REF!</definedName>
    <definedName name="____END1" localSheetId="8">#REF!</definedName>
    <definedName name="____END1" localSheetId="7">#REF!</definedName>
    <definedName name="____END1">#REF!</definedName>
    <definedName name="____gas1" localSheetId="8">#REF!</definedName>
    <definedName name="____gas1" localSheetId="7">#REF!</definedName>
    <definedName name="____gas1">#REF!</definedName>
    <definedName name="____gas2" localSheetId="8">#REF!</definedName>
    <definedName name="____gas2" localSheetId="7">#REF!</definedName>
    <definedName name="____gas2">#REF!</definedName>
    <definedName name="____gas3" localSheetId="8">#REF!</definedName>
    <definedName name="____gas3" localSheetId="7">#REF!</definedName>
    <definedName name="____gas3">#REF!</definedName>
    <definedName name="____gas4" localSheetId="8">#REF!</definedName>
    <definedName name="____gas4" localSheetId="7">#REF!</definedName>
    <definedName name="____gas4">#REF!</definedName>
    <definedName name="____gas5" localSheetId="8">#REF!</definedName>
    <definedName name="____gas5" localSheetId="7">#REF!</definedName>
    <definedName name="____gas5">#REF!</definedName>
    <definedName name="____GND1" localSheetId="8">#REF!</definedName>
    <definedName name="____GND1" localSheetId="7">#REF!</definedName>
    <definedName name="____GND1">#REF!</definedName>
    <definedName name="____GND2" localSheetId="8">#REF!</definedName>
    <definedName name="____GND2" localSheetId="7">#REF!</definedName>
    <definedName name="____GND2">#REF!</definedName>
    <definedName name="____GND3" localSheetId="8">#REF!</definedName>
    <definedName name="____GND3" localSheetId="7">#REF!</definedName>
    <definedName name="____GND3">#REF!</definedName>
    <definedName name="____GND4" localSheetId="8">#REF!</definedName>
    <definedName name="____GND4" localSheetId="7">#REF!</definedName>
    <definedName name="____GND4">#REF!</definedName>
    <definedName name="____GND5" localSheetId="8">#REF!</definedName>
    <definedName name="____GND5" localSheetId="7">#REF!</definedName>
    <definedName name="____GND5">#REF!</definedName>
    <definedName name="____GTO1" localSheetId="8">#REF!</definedName>
    <definedName name="____GTO1" localSheetId="7">#REF!</definedName>
    <definedName name="____GTO1">#REF!</definedName>
    <definedName name="____IMP1" localSheetId="8">#REF!</definedName>
    <definedName name="____IMP1" localSheetId="7">#REF!</definedName>
    <definedName name="____IMP1">#REF!</definedName>
    <definedName name="____ing1" localSheetId="8">#REF!</definedName>
    <definedName name="____ing1" localSheetId="7">#REF!</definedName>
    <definedName name="____ing1">#REF!</definedName>
    <definedName name="____ing2" localSheetId="8">#REF!</definedName>
    <definedName name="____ing2" localSheetId="7">#REF!</definedName>
    <definedName name="____ing2">#REF!</definedName>
    <definedName name="____ing3" localSheetId="8">#REF!</definedName>
    <definedName name="____ing3" localSheetId="7">#REF!</definedName>
    <definedName name="____ing3">#REF!</definedName>
    <definedName name="____pas1" localSheetId="8">#REF!</definedName>
    <definedName name="____pas1" localSheetId="7">#REF!</definedName>
    <definedName name="____pas1">#REF!</definedName>
    <definedName name="____pas2" localSheetId="8">#REF!</definedName>
    <definedName name="____pas2" localSheetId="7">#REF!</definedName>
    <definedName name="____pas2">#REF!</definedName>
    <definedName name="____pat1" localSheetId="8">#REF!</definedName>
    <definedName name="____pat1" localSheetId="7">#REF!</definedName>
    <definedName name="____pat1">#REF!</definedName>
    <definedName name="____PF1" localSheetId="8">#REF!</definedName>
    <definedName name="____PF1" localSheetId="7">#REF!</definedName>
    <definedName name="____PF1">#REF!</definedName>
    <definedName name="____PF2" localSheetId="8">#REF!</definedName>
    <definedName name="____PF2" localSheetId="7">#REF!</definedName>
    <definedName name="____PF2">#REF!</definedName>
    <definedName name="____PF3" localSheetId="8">#REF!</definedName>
    <definedName name="____PF3" localSheetId="7">#REF!</definedName>
    <definedName name="____PF3">#REF!</definedName>
    <definedName name="____PF4" localSheetId="8">#REF!</definedName>
    <definedName name="____PF4" localSheetId="7">#REF!</definedName>
    <definedName name="____PF4">#REF!</definedName>
    <definedName name="____PF5" localSheetId="8">#REF!</definedName>
    <definedName name="____PF5" localSheetId="7">#REF!</definedName>
    <definedName name="____PF5">#REF!</definedName>
    <definedName name="____TR10" localSheetId="8">#REF!</definedName>
    <definedName name="____TR10" localSheetId="7">#REF!</definedName>
    <definedName name="____TR10">#REF!</definedName>
    <definedName name="____TR11" localSheetId="8">#REF!</definedName>
    <definedName name="____TR11" localSheetId="7">#REF!</definedName>
    <definedName name="____TR11">#REF!</definedName>
    <definedName name="____TR12" localSheetId="8">#REF!</definedName>
    <definedName name="____TR12" localSheetId="7">#REF!</definedName>
    <definedName name="____TR12">#REF!</definedName>
    <definedName name="____TR13" localSheetId="8">#REF!</definedName>
    <definedName name="____TR13" localSheetId="7">#REF!</definedName>
    <definedName name="____TR13">#REF!</definedName>
    <definedName name="____TR14" localSheetId="8">#REF!</definedName>
    <definedName name="____TR14" localSheetId="7">#REF!</definedName>
    <definedName name="____TR14">#REF!</definedName>
    <definedName name="____TR15" localSheetId="8">#REF!</definedName>
    <definedName name="____TR15" localSheetId="7">#REF!</definedName>
    <definedName name="____TR15">#REF!</definedName>
    <definedName name="____TR16" localSheetId="8">#REF!</definedName>
    <definedName name="____TR16" localSheetId="7">#REF!</definedName>
    <definedName name="____TR16">#REF!</definedName>
    <definedName name="____XX1" localSheetId="8">#REF!</definedName>
    <definedName name="____XX1" localSheetId="7">#REF!</definedName>
    <definedName name="____XX1">#REF!</definedName>
    <definedName name="____XX10" localSheetId="8">#REF!</definedName>
    <definedName name="____XX10" localSheetId="7">#REF!</definedName>
    <definedName name="____XX10">#REF!</definedName>
    <definedName name="____XX11" localSheetId="8">#REF!</definedName>
    <definedName name="____XX11" localSheetId="7">#REF!</definedName>
    <definedName name="____XX11">#REF!</definedName>
    <definedName name="____XX12" localSheetId="8">#REF!</definedName>
    <definedName name="____XX12" localSheetId="7">#REF!</definedName>
    <definedName name="____XX12">#REF!</definedName>
    <definedName name="____XX2" localSheetId="8">#REF!</definedName>
    <definedName name="____XX2" localSheetId="7">#REF!</definedName>
    <definedName name="____XX2">#REF!</definedName>
    <definedName name="____XX3" localSheetId="8">#REF!</definedName>
    <definedName name="____XX3" localSheetId="7">#REF!</definedName>
    <definedName name="____XX3">#REF!</definedName>
    <definedName name="____XX4" localSheetId="8">#REF!</definedName>
    <definedName name="____XX4" localSheetId="7">#REF!</definedName>
    <definedName name="____XX4">#REF!</definedName>
    <definedName name="____XX5" localSheetId="8">#REF!</definedName>
    <definedName name="____XX5" localSheetId="7">#REF!</definedName>
    <definedName name="____XX5">#REF!</definedName>
    <definedName name="____XX6" localSheetId="8">#REF!</definedName>
    <definedName name="____XX6" localSheetId="7">#REF!</definedName>
    <definedName name="____XX6">#REF!</definedName>
    <definedName name="____XX7" localSheetId="8">#REF!</definedName>
    <definedName name="____XX7" localSheetId="7">#REF!</definedName>
    <definedName name="____XX7">#REF!</definedName>
    <definedName name="____XX8" localSheetId="8">#REF!</definedName>
    <definedName name="____XX8" localSheetId="7">#REF!</definedName>
    <definedName name="____XX8">#REF!</definedName>
    <definedName name="____XX9" localSheetId="8">#REF!</definedName>
    <definedName name="____XX9" localSheetId="7">#REF!</definedName>
    <definedName name="____XX9">#REF!</definedName>
    <definedName name="___act1" localSheetId="8">#REF!</definedName>
    <definedName name="___act1" localSheetId="7">#REF!</definedName>
    <definedName name="___act1">#REF!</definedName>
    <definedName name="___act2" localSheetId="8">#REF!</definedName>
    <definedName name="___act2" localSheetId="7">#REF!</definedName>
    <definedName name="___act2">#REF!</definedName>
    <definedName name="___act3" localSheetId="8">#REF!</definedName>
    <definedName name="___act3" localSheetId="7">#REF!</definedName>
    <definedName name="___act3">#REF!</definedName>
    <definedName name="___apf1" localSheetId="8">#REF!</definedName>
    <definedName name="___apf1" localSheetId="7">#REF!</definedName>
    <definedName name="___apf1">#REF!</definedName>
    <definedName name="___arp1" localSheetId="8">#REF!</definedName>
    <definedName name="___arp1" localSheetId="7">#REF!</definedName>
    <definedName name="___arp1">#REF!</definedName>
    <definedName name="___cmd1" localSheetId="8">#REF!</definedName>
    <definedName name="___cmd1" localSheetId="7">#REF!</definedName>
    <definedName name="___cmd1">#REF!</definedName>
    <definedName name="___END1" localSheetId="8">#REF!</definedName>
    <definedName name="___END1" localSheetId="7">#REF!</definedName>
    <definedName name="___END1">#REF!</definedName>
    <definedName name="___gas1" localSheetId="8">#REF!</definedName>
    <definedName name="___gas1" localSheetId="7">#REF!</definedName>
    <definedName name="___gas1">#REF!</definedName>
    <definedName name="___gas2" localSheetId="8">#REF!</definedName>
    <definedName name="___gas2" localSheetId="7">#REF!</definedName>
    <definedName name="___gas2">#REF!</definedName>
    <definedName name="___gas3" localSheetId="8">#REF!</definedName>
    <definedName name="___gas3" localSheetId="7">#REF!</definedName>
    <definedName name="___gas3">#REF!</definedName>
    <definedName name="___gas4" localSheetId="8">#REF!</definedName>
    <definedName name="___gas4" localSheetId="7">#REF!</definedName>
    <definedName name="___gas4">#REF!</definedName>
    <definedName name="___gas5" localSheetId="8">#REF!</definedName>
    <definedName name="___gas5" localSheetId="7">#REF!</definedName>
    <definedName name="___gas5">#REF!</definedName>
    <definedName name="___GND1" localSheetId="8">#REF!</definedName>
    <definedName name="___GND1" localSheetId="7">#REF!</definedName>
    <definedName name="___GND1">#REF!</definedName>
    <definedName name="___GND2" localSheetId="8">#REF!</definedName>
    <definedName name="___GND2" localSheetId="7">#REF!</definedName>
    <definedName name="___GND2">#REF!</definedName>
    <definedName name="___GND3" localSheetId="8">#REF!</definedName>
    <definedName name="___GND3" localSheetId="7">#REF!</definedName>
    <definedName name="___GND3">#REF!</definedName>
    <definedName name="___GND4" localSheetId="8">#REF!</definedName>
    <definedName name="___GND4" localSheetId="7">#REF!</definedName>
    <definedName name="___GND4">#REF!</definedName>
    <definedName name="___GND5" localSheetId="8">#REF!</definedName>
    <definedName name="___GND5" localSheetId="7">#REF!</definedName>
    <definedName name="___GND5">#REF!</definedName>
    <definedName name="___GTO1" localSheetId="8">#REF!</definedName>
    <definedName name="___GTO1" localSheetId="7">#REF!</definedName>
    <definedName name="___GTO1">#REF!</definedName>
    <definedName name="___IMP1" localSheetId="8">#REF!</definedName>
    <definedName name="___IMP1" localSheetId="7">#REF!</definedName>
    <definedName name="___IMP1">#REF!</definedName>
    <definedName name="___ing1" localSheetId="8">#REF!</definedName>
    <definedName name="___ing1" localSheetId="7">#REF!</definedName>
    <definedName name="___ing1">#REF!</definedName>
    <definedName name="___ing2" localSheetId="8">#REF!</definedName>
    <definedName name="___ing2" localSheetId="7">#REF!</definedName>
    <definedName name="___ing2">#REF!</definedName>
    <definedName name="___ing3" localSheetId="8">#REF!</definedName>
    <definedName name="___ing3" localSheetId="7">#REF!</definedName>
    <definedName name="___ing3">#REF!</definedName>
    <definedName name="___pas1" localSheetId="8">#REF!</definedName>
    <definedName name="___pas1" localSheetId="7">#REF!</definedName>
    <definedName name="___pas1">#REF!</definedName>
    <definedName name="___pas2" localSheetId="8">#REF!</definedName>
    <definedName name="___pas2" localSheetId="7">#REF!</definedName>
    <definedName name="___pas2">#REF!</definedName>
    <definedName name="___pat1" localSheetId="8">#REF!</definedName>
    <definedName name="___pat1" localSheetId="7">#REF!</definedName>
    <definedName name="___pat1">#REF!</definedName>
    <definedName name="___PF1" localSheetId="8">#REF!</definedName>
    <definedName name="___PF1" localSheetId="7">#REF!</definedName>
    <definedName name="___PF1">#REF!</definedName>
    <definedName name="___PF2" localSheetId="8">#REF!</definedName>
    <definedName name="___PF2" localSheetId="7">#REF!</definedName>
    <definedName name="___PF2">#REF!</definedName>
    <definedName name="___PF3" localSheetId="8">#REF!</definedName>
    <definedName name="___PF3" localSheetId="7">#REF!</definedName>
    <definedName name="___PF3">#REF!</definedName>
    <definedName name="___PF4" localSheetId="8">#REF!</definedName>
    <definedName name="___PF4" localSheetId="7">#REF!</definedName>
    <definedName name="___PF4">#REF!</definedName>
    <definedName name="___PF5" localSheetId="8">#REF!</definedName>
    <definedName name="___PF5" localSheetId="7">#REF!</definedName>
    <definedName name="___PF5">#REF!</definedName>
    <definedName name="___TR10" localSheetId="8">#REF!</definedName>
    <definedName name="___TR10" localSheetId="7">#REF!</definedName>
    <definedName name="___TR10">#REF!</definedName>
    <definedName name="___TR11" localSheetId="8">#REF!</definedName>
    <definedName name="___TR11" localSheetId="7">#REF!</definedName>
    <definedName name="___TR11">#REF!</definedName>
    <definedName name="___TR12" localSheetId="8">#REF!</definedName>
    <definedName name="___TR12" localSheetId="7">#REF!</definedName>
    <definedName name="___TR12">#REF!</definedName>
    <definedName name="___TR13" localSheetId="8">#REF!</definedName>
    <definedName name="___TR13" localSheetId="7">#REF!</definedName>
    <definedName name="___TR13">#REF!</definedName>
    <definedName name="___TR14" localSheetId="8">#REF!</definedName>
    <definedName name="___TR14" localSheetId="7">#REF!</definedName>
    <definedName name="___TR14">#REF!</definedName>
    <definedName name="___TR15" localSheetId="8">#REF!</definedName>
    <definedName name="___TR15" localSheetId="7">#REF!</definedName>
    <definedName name="___TR15">#REF!</definedName>
    <definedName name="___TR16" localSheetId="8">#REF!</definedName>
    <definedName name="___TR16" localSheetId="7">#REF!</definedName>
    <definedName name="___TR16">#REF!</definedName>
    <definedName name="___XX1" localSheetId="8">#REF!</definedName>
    <definedName name="___XX1" localSheetId="7">#REF!</definedName>
    <definedName name="___XX1">#REF!</definedName>
    <definedName name="___XX10" localSheetId="8">#REF!</definedName>
    <definedName name="___XX10" localSheetId="7">#REF!</definedName>
    <definedName name="___XX10">#REF!</definedName>
    <definedName name="___XX11" localSheetId="8">#REF!</definedName>
    <definedName name="___XX11" localSheetId="7">#REF!</definedName>
    <definedName name="___XX11">#REF!</definedName>
    <definedName name="___XX12" localSheetId="8">#REF!</definedName>
    <definedName name="___XX12" localSheetId="7">#REF!</definedName>
    <definedName name="___XX12">#REF!</definedName>
    <definedName name="___XX2" localSheetId="8">#REF!</definedName>
    <definedName name="___XX2" localSheetId="7">#REF!</definedName>
    <definedName name="___XX2">#REF!</definedName>
    <definedName name="___XX3" localSheetId="8">#REF!</definedName>
    <definedName name="___XX3" localSheetId="7">#REF!</definedName>
    <definedName name="___XX3">#REF!</definedName>
    <definedName name="___XX4" localSheetId="8">#REF!</definedName>
    <definedName name="___XX4" localSheetId="7">#REF!</definedName>
    <definedName name="___XX4">#REF!</definedName>
    <definedName name="___XX5" localSheetId="8">#REF!</definedName>
    <definedName name="___XX5" localSheetId="7">#REF!</definedName>
    <definedName name="___XX5">#REF!</definedName>
    <definedName name="___XX6" localSheetId="8">#REF!</definedName>
    <definedName name="___XX6" localSheetId="7">#REF!</definedName>
    <definedName name="___XX6">#REF!</definedName>
    <definedName name="___XX7" localSheetId="8">#REF!</definedName>
    <definedName name="___XX7" localSheetId="7">#REF!</definedName>
    <definedName name="___XX7">#REF!</definedName>
    <definedName name="___XX8" localSheetId="8">#REF!</definedName>
    <definedName name="___XX8" localSheetId="7">#REF!</definedName>
    <definedName name="___XX8">#REF!</definedName>
    <definedName name="___XX9" localSheetId="8">#REF!</definedName>
    <definedName name="___XX9" localSheetId="7">#REF!</definedName>
    <definedName name="___XX9">#REF!</definedName>
    <definedName name="__act1" localSheetId="8">#REF!</definedName>
    <definedName name="__act1" localSheetId="7">#REF!</definedName>
    <definedName name="__act1">#REF!</definedName>
    <definedName name="__act2" localSheetId="8">#REF!</definedName>
    <definedName name="__act2" localSheetId="7">#REF!</definedName>
    <definedName name="__act2">#REF!</definedName>
    <definedName name="__act3" localSheetId="8">#REF!</definedName>
    <definedName name="__act3" localSheetId="7">#REF!</definedName>
    <definedName name="__act3">#REF!</definedName>
    <definedName name="__apf1" localSheetId="8">#REF!</definedName>
    <definedName name="__apf1" localSheetId="7">#REF!</definedName>
    <definedName name="__apf1">#REF!</definedName>
    <definedName name="__arp1" localSheetId="8">#REF!</definedName>
    <definedName name="__arp1" localSheetId="7">#REF!</definedName>
    <definedName name="__arp1">#REF!</definedName>
    <definedName name="__cmd1" localSheetId="8">#REF!</definedName>
    <definedName name="__cmd1" localSheetId="7">#REF!</definedName>
    <definedName name="__cmd1">#REF!</definedName>
    <definedName name="__END1" localSheetId="8">#REF!</definedName>
    <definedName name="__END1" localSheetId="7">#REF!</definedName>
    <definedName name="__END1">#REF!</definedName>
    <definedName name="__gas1" localSheetId="8">#REF!</definedName>
    <definedName name="__gas1" localSheetId="7">#REF!</definedName>
    <definedName name="__gas1">#REF!</definedName>
    <definedName name="__gas2" localSheetId="8">#REF!</definedName>
    <definedName name="__gas2" localSheetId="7">#REF!</definedName>
    <definedName name="__gas2">#REF!</definedName>
    <definedName name="__gas3" localSheetId="8">#REF!</definedName>
    <definedName name="__gas3" localSheetId="7">#REF!</definedName>
    <definedName name="__gas3">#REF!</definedName>
    <definedName name="__gas4" localSheetId="8">#REF!</definedName>
    <definedName name="__gas4" localSheetId="7">#REF!</definedName>
    <definedName name="__gas4">#REF!</definedName>
    <definedName name="__gas5" localSheetId="8">#REF!</definedName>
    <definedName name="__gas5" localSheetId="7">#REF!</definedName>
    <definedName name="__gas5">#REF!</definedName>
    <definedName name="__GND1" localSheetId="8">#REF!</definedName>
    <definedName name="__GND1" localSheetId="7">#REF!</definedName>
    <definedName name="__GND1">#REF!</definedName>
    <definedName name="__GND2" localSheetId="8">#REF!</definedName>
    <definedName name="__GND2" localSheetId="7">#REF!</definedName>
    <definedName name="__GND2">#REF!</definedName>
    <definedName name="__GND3" localSheetId="8">#REF!</definedName>
    <definedName name="__GND3" localSheetId="7">#REF!</definedName>
    <definedName name="__GND3">#REF!</definedName>
    <definedName name="__GND4" localSheetId="8">#REF!</definedName>
    <definedName name="__GND4" localSheetId="7">#REF!</definedName>
    <definedName name="__GND4">#REF!</definedName>
    <definedName name="__GND5" localSheetId="8">#REF!</definedName>
    <definedName name="__GND5" localSheetId="7">#REF!</definedName>
    <definedName name="__GND5">#REF!</definedName>
    <definedName name="__GTO1" localSheetId="8">#REF!</definedName>
    <definedName name="__GTO1" localSheetId="7">#REF!</definedName>
    <definedName name="__GTO1">#REF!</definedName>
    <definedName name="__IMP1" localSheetId="8">#REF!</definedName>
    <definedName name="__IMP1" localSheetId="7">#REF!</definedName>
    <definedName name="__IMP1">#REF!</definedName>
    <definedName name="__ing1" localSheetId="8">#REF!</definedName>
    <definedName name="__ing1" localSheetId="7">#REF!</definedName>
    <definedName name="__ing1">#REF!</definedName>
    <definedName name="__ing2" localSheetId="8">#REF!</definedName>
    <definedName name="__ing2" localSheetId="7">#REF!</definedName>
    <definedName name="__ing2">#REF!</definedName>
    <definedName name="__ing3" localSheetId="8">#REF!</definedName>
    <definedName name="__ing3" localSheetId="7">#REF!</definedName>
    <definedName name="__ing3">#REF!</definedName>
    <definedName name="__pas1" localSheetId="8">#REF!</definedName>
    <definedName name="__pas1" localSheetId="7">#REF!</definedName>
    <definedName name="__pas1">#REF!</definedName>
    <definedName name="__pas2" localSheetId="8">#REF!</definedName>
    <definedName name="__pas2" localSheetId="7">#REF!</definedName>
    <definedName name="__pas2">#REF!</definedName>
    <definedName name="__pat1" localSheetId="8">#REF!</definedName>
    <definedName name="__pat1" localSheetId="7">#REF!</definedName>
    <definedName name="__pat1">#REF!</definedName>
    <definedName name="__PF1" localSheetId="8">#REF!</definedName>
    <definedName name="__PF1" localSheetId="7">#REF!</definedName>
    <definedName name="__PF1">#REF!</definedName>
    <definedName name="__PF2" localSheetId="8">#REF!</definedName>
    <definedName name="__PF2" localSheetId="7">#REF!</definedName>
    <definedName name="__PF2">#REF!</definedName>
    <definedName name="__PF3" localSheetId="8">#REF!</definedName>
    <definedName name="__PF3" localSheetId="7">#REF!</definedName>
    <definedName name="__PF3">#REF!</definedName>
    <definedName name="__PF4" localSheetId="8">#REF!</definedName>
    <definedName name="__PF4" localSheetId="7">#REF!</definedName>
    <definedName name="__PF4">#REF!</definedName>
    <definedName name="__PF5" localSheetId="8">#REF!</definedName>
    <definedName name="__PF5" localSheetId="7">#REF!</definedName>
    <definedName name="__PF5">#REF!</definedName>
    <definedName name="__RAN1" localSheetId="8">#REF!</definedName>
    <definedName name="__RAN1" localSheetId="7">#REF!</definedName>
    <definedName name="__RAN1">#REF!</definedName>
    <definedName name="__RAN10" localSheetId="8">#REF!</definedName>
    <definedName name="__RAN10" localSheetId="7">#REF!</definedName>
    <definedName name="__RAN10">#REF!</definedName>
    <definedName name="__RAN11" localSheetId="8">#REF!</definedName>
    <definedName name="__RAN11" localSheetId="7">#REF!</definedName>
    <definedName name="__RAN11">#REF!</definedName>
    <definedName name="__RAN12" localSheetId="8">#REF!</definedName>
    <definedName name="__RAN12" localSheetId="7">#REF!</definedName>
    <definedName name="__RAN12">#REF!</definedName>
    <definedName name="__RAN13" localSheetId="8">#REF!</definedName>
    <definedName name="__RAN13" localSheetId="7">#REF!</definedName>
    <definedName name="__RAN13">#REF!</definedName>
    <definedName name="__RAN14" localSheetId="8">#REF!</definedName>
    <definedName name="__RAN14" localSheetId="7">#REF!</definedName>
    <definedName name="__RAN14">#REF!</definedName>
    <definedName name="__RAN15" localSheetId="8">#REF!</definedName>
    <definedName name="__RAN15" localSheetId="7">#REF!</definedName>
    <definedName name="__RAN15">#REF!</definedName>
    <definedName name="__RAN16" localSheetId="8">#REF!</definedName>
    <definedName name="__RAN16" localSheetId="7">#REF!</definedName>
    <definedName name="__RAN16">#REF!</definedName>
    <definedName name="__RAN17" localSheetId="8">#REF!</definedName>
    <definedName name="__RAN17" localSheetId="7">#REF!</definedName>
    <definedName name="__RAN17">#REF!</definedName>
    <definedName name="__RAN18" localSheetId="8">#REF!</definedName>
    <definedName name="__RAN18" localSheetId="7">#REF!</definedName>
    <definedName name="__RAN18">#REF!</definedName>
    <definedName name="__RAN19" localSheetId="8">#REF!</definedName>
    <definedName name="__RAN19" localSheetId="7">#REF!</definedName>
    <definedName name="__RAN19">#REF!</definedName>
    <definedName name="__RAN2" localSheetId="8">#REF!</definedName>
    <definedName name="__RAN2" localSheetId="7">#REF!</definedName>
    <definedName name="__RAN2">#REF!</definedName>
    <definedName name="__RAN20" localSheetId="8">#REF!</definedName>
    <definedName name="__RAN20" localSheetId="7">#REF!</definedName>
    <definedName name="__RAN20">#REF!</definedName>
    <definedName name="__RAN21" localSheetId="8">#REF!</definedName>
    <definedName name="__RAN21" localSheetId="7">#REF!</definedName>
    <definedName name="__RAN21">#REF!</definedName>
    <definedName name="__RAN22" localSheetId="8">#REF!</definedName>
    <definedName name="__RAN22" localSheetId="7">#REF!</definedName>
    <definedName name="__RAN22">#REF!</definedName>
    <definedName name="__RAN23" localSheetId="8">#REF!</definedName>
    <definedName name="__RAN23" localSheetId="7">#REF!</definedName>
    <definedName name="__RAN23">#REF!</definedName>
    <definedName name="__RAN24" localSheetId="8">#REF!</definedName>
    <definedName name="__RAN24" localSheetId="7">#REF!</definedName>
    <definedName name="__RAN24">#REF!</definedName>
    <definedName name="__RAN25" localSheetId="8">#REF!</definedName>
    <definedName name="__RAN25" localSheetId="7">#REF!</definedName>
    <definedName name="__RAN25">#REF!</definedName>
    <definedName name="__RAN26" localSheetId="8">#REF!</definedName>
    <definedName name="__RAN26" localSheetId="7">#REF!</definedName>
    <definedName name="__RAN26">#REF!</definedName>
    <definedName name="__RAN27" localSheetId="8">#REF!</definedName>
    <definedName name="__RAN27" localSheetId="7">#REF!</definedName>
    <definedName name="__RAN27">#REF!</definedName>
    <definedName name="__RAN28" localSheetId="8">#REF!</definedName>
    <definedName name="__RAN28" localSheetId="7">#REF!</definedName>
    <definedName name="__RAN28">#REF!</definedName>
    <definedName name="__RAN29" localSheetId="8">#REF!</definedName>
    <definedName name="__RAN29" localSheetId="7">#REF!</definedName>
    <definedName name="__RAN29">#REF!</definedName>
    <definedName name="__RAN3" localSheetId="8">#REF!</definedName>
    <definedName name="__RAN3" localSheetId="7">#REF!</definedName>
    <definedName name="__RAN3">#REF!</definedName>
    <definedName name="__RAN30" localSheetId="8">#REF!</definedName>
    <definedName name="__RAN30" localSheetId="7">#REF!</definedName>
    <definedName name="__RAN30">#REF!</definedName>
    <definedName name="__RAN4" localSheetId="8">#REF!</definedName>
    <definedName name="__RAN4" localSheetId="7">#REF!</definedName>
    <definedName name="__RAN4">#REF!</definedName>
    <definedName name="__RAN5" localSheetId="8">#REF!</definedName>
    <definedName name="__RAN5" localSheetId="7">#REF!</definedName>
    <definedName name="__RAN5">#REF!</definedName>
    <definedName name="__RAN6" localSheetId="8">#REF!</definedName>
    <definedName name="__RAN6" localSheetId="7">#REF!</definedName>
    <definedName name="__RAN6">#REF!</definedName>
    <definedName name="__RAN7" localSheetId="8">#REF!</definedName>
    <definedName name="__RAN7" localSheetId="7">#REF!</definedName>
    <definedName name="__RAN7">#REF!</definedName>
    <definedName name="__RAN8" localSheetId="8">#REF!</definedName>
    <definedName name="__RAN8" localSheetId="7">#REF!</definedName>
    <definedName name="__RAN8">#REF!</definedName>
    <definedName name="__RAN9" localSheetId="8">#REF!</definedName>
    <definedName name="__RAN9" localSheetId="7">#REF!</definedName>
    <definedName name="__RAN9">#REF!</definedName>
    <definedName name="__TR10" localSheetId="8">#REF!</definedName>
    <definedName name="__TR10" localSheetId="7">#REF!</definedName>
    <definedName name="__TR10">#REF!</definedName>
    <definedName name="__TR11" localSheetId="8">#REF!</definedName>
    <definedName name="__TR11" localSheetId="7">#REF!</definedName>
    <definedName name="__TR11">#REF!</definedName>
    <definedName name="__TR12" localSheetId="8">#REF!</definedName>
    <definedName name="__TR12" localSheetId="7">#REF!</definedName>
    <definedName name="__TR12">#REF!</definedName>
    <definedName name="__TR13" localSheetId="8">#REF!</definedName>
    <definedName name="__TR13" localSheetId="7">#REF!</definedName>
    <definedName name="__TR13">#REF!</definedName>
    <definedName name="__TR14" localSheetId="8">#REF!</definedName>
    <definedName name="__TR14" localSheetId="7">#REF!</definedName>
    <definedName name="__TR14">#REF!</definedName>
    <definedName name="__TR15" localSheetId="8">#REF!</definedName>
    <definedName name="__TR15" localSheetId="7">#REF!</definedName>
    <definedName name="__TR15">#REF!</definedName>
    <definedName name="__TR16" localSheetId="8">#REF!</definedName>
    <definedName name="__TR16" localSheetId="7">#REF!</definedName>
    <definedName name="__TR16">#REF!</definedName>
    <definedName name="__XX1" localSheetId="8">#REF!</definedName>
    <definedName name="__XX1" localSheetId="7">#REF!</definedName>
    <definedName name="__XX1">#REF!</definedName>
    <definedName name="__XX10" localSheetId="8">#REF!</definedName>
    <definedName name="__XX10" localSheetId="7">#REF!</definedName>
    <definedName name="__XX10">#REF!</definedName>
    <definedName name="__XX11" localSheetId="8">#REF!</definedName>
    <definedName name="__XX11" localSheetId="7">#REF!</definedName>
    <definedName name="__XX11">#REF!</definedName>
    <definedName name="__XX12" localSheetId="8">#REF!</definedName>
    <definedName name="__XX12" localSheetId="7">#REF!</definedName>
    <definedName name="__XX12">#REF!</definedName>
    <definedName name="__XX2" localSheetId="8">#REF!</definedName>
    <definedName name="__XX2" localSheetId="7">#REF!</definedName>
    <definedName name="__XX2">#REF!</definedName>
    <definedName name="__XX3" localSheetId="8">#REF!</definedName>
    <definedName name="__XX3" localSheetId="7">#REF!</definedName>
    <definedName name="__XX3">#REF!</definedName>
    <definedName name="__XX4" localSheetId="8">#REF!</definedName>
    <definedName name="__XX4" localSheetId="7">#REF!</definedName>
    <definedName name="__XX4">#REF!</definedName>
    <definedName name="__XX5" localSheetId="8">#REF!</definedName>
    <definedName name="__XX5" localSheetId="7">#REF!</definedName>
    <definedName name="__XX5">#REF!</definedName>
    <definedName name="__XX6" localSheetId="8">#REF!</definedName>
    <definedName name="__XX6" localSheetId="7">#REF!</definedName>
    <definedName name="__XX6">#REF!</definedName>
    <definedName name="__XX7" localSheetId="8">#REF!</definedName>
    <definedName name="__XX7" localSheetId="7">#REF!</definedName>
    <definedName name="__XX7">#REF!</definedName>
    <definedName name="__XX8" localSheetId="8">#REF!</definedName>
    <definedName name="__XX8" localSheetId="7">#REF!</definedName>
    <definedName name="__XX8">#REF!</definedName>
    <definedName name="__XX9" localSheetId="8">#REF!</definedName>
    <definedName name="__XX9" localSheetId="7">#REF!</definedName>
    <definedName name="__XX9">#REF!</definedName>
    <definedName name="_1" localSheetId="8">#REF!</definedName>
    <definedName name="_1" localSheetId="7">#REF!</definedName>
    <definedName name="_1">#REF!</definedName>
    <definedName name="_A100000" localSheetId="8">#REF!</definedName>
    <definedName name="_A100000" localSheetId="7">#REF!</definedName>
    <definedName name="_A100000">#REF!</definedName>
    <definedName name="_act1" localSheetId="8">#REF!</definedName>
    <definedName name="_act1" localSheetId="7">#REF!</definedName>
    <definedName name="_act1">#REF!</definedName>
    <definedName name="_act2" localSheetId="8">#REF!</definedName>
    <definedName name="_act2" localSheetId="7">#REF!</definedName>
    <definedName name="_act2">#REF!</definedName>
    <definedName name="_act3" localSheetId="8">#REF!</definedName>
    <definedName name="_act3" localSheetId="7">#REF!</definedName>
    <definedName name="_act3">#REF!</definedName>
    <definedName name="_apf1" localSheetId="8">#REF!</definedName>
    <definedName name="_apf1" localSheetId="7">#REF!</definedName>
    <definedName name="_apf1">#REF!</definedName>
    <definedName name="_arp1" localSheetId="8">#REF!</definedName>
    <definedName name="_arp1" localSheetId="7">#REF!</definedName>
    <definedName name="_arp1">#REF!</definedName>
    <definedName name="_cmd1" localSheetId="8">#REF!</definedName>
    <definedName name="_cmd1" localSheetId="7">#REF!</definedName>
    <definedName name="_cmd1">#REF!</definedName>
    <definedName name="_END1" localSheetId="8">#REF!</definedName>
    <definedName name="_END1" localSheetId="7">#REF!</definedName>
    <definedName name="_END1">#REF!</definedName>
    <definedName name="_Fill" localSheetId="8" hidden="1">#REF!</definedName>
    <definedName name="_Fill" localSheetId="7" hidden="1">#REF!</definedName>
    <definedName name="_Fill" hidden="1">#REF!</definedName>
    <definedName name="_gas1" localSheetId="8">#REF!</definedName>
    <definedName name="_gas1" localSheetId="7">#REF!</definedName>
    <definedName name="_gas1">#REF!</definedName>
    <definedName name="_gas2" localSheetId="8">#REF!</definedName>
    <definedName name="_gas2" localSheetId="7">#REF!</definedName>
    <definedName name="_gas2">#REF!</definedName>
    <definedName name="_gas3" localSheetId="8">#REF!</definedName>
    <definedName name="_gas3" localSheetId="7">#REF!</definedName>
    <definedName name="_gas3">#REF!</definedName>
    <definedName name="_gas4" localSheetId="8">#REF!</definedName>
    <definedName name="_gas4" localSheetId="7">#REF!</definedName>
    <definedName name="_gas4">#REF!</definedName>
    <definedName name="_gas5" localSheetId="8">#REF!</definedName>
    <definedName name="_gas5" localSheetId="7">#REF!</definedName>
    <definedName name="_gas5">#REF!</definedName>
    <definedName name="_GND1" localSheetId="8">#REF!</definedName>
    <definedName name="_GND1" localSheetId="7">#REF!</definedName>
    <definedName name="_GND1">#REF!</definedName>
    <definedName name="_GND2" localSheetId="8">#REF!</definedName>
    <definedName name="_GND2" localSheetId="7">#REF!</definedName>
    <definedName name="_GND2">#REF!</definedName>
    <definedName name="_GND3" localSheetId="8">#REF!</definedName>
    <definedName name="_GND3" localSheetId="7">#REF!</definedName>
    <definedName name="_GND3">#REF!</definedName>
    <definedName name="_GND4" localSheetId="8">#REF!</definedName>
    <definedName name="_GND4" localSheetId="7">#REF!</definedName>
    <definedName name="_GND4">#REF!</definedName>
    <definedName name="_GND5" localSheetId="8">#REF!</definedName>
    <definedName name="_GND5" localSheetId="7">#REF!</definedName>
    <definedName name="_GND5">#REF!</definedName>
    <definedName name="_GTO1" localSheetId="8">#REF!</definedName>
    <definedName name="_GTO1" localSheetId="7">#REF!</definedName>
    <definedName name="_GTO1">#REF!</definedName>
    <definedName name="_IMP1" localSheetId="8">#REF!</definedName>
    <definedName name="_IMP1" localSheetId="7">#REF!</definedName>
    <definedName name="_IMP1">#REF!</definedName>
    <definedName name="_ing1" localSheetId="8">#REF!</definedName>
    <definedName name="_ing1" localSheetId="7">#REF!</definedName>
    <definedName name="_ing1">#REF!</definedName>
    <definedName name="_ing2" localSheetId="8">#REF!</definedName>
    <definedName name="_ing2" localSheetId="7">#REF!</definedName>
    <definedName name="_ing2">#REF!</definedName>
    <definedName name="_ing3" localSheetId="8">#REF!</definedName>
    <definedName name="_ing3" localSheetId="7">#REF!</definedName>
    <definedName name="_ing3">#REF!</definedName>
    <definedName name="_IVA35">[1]Formulario!$U$59</definedName>
    <definedName name="_Parse_Out" localSheetId="8" hidden="1">#REF!</definedName>
    <definedName name="_Parse_Out" localSheetId="7" hidden="1">#REF!</definedName>
    <definedName name="_Parse_Out" hidden="1">#REF!</definedName>
    <definedName name="_pas1" localSheetId="8">#REF!</definedName>
    <definedName name="_pas1" localSheetId="7">#REF!</definedName>
    <definedName name="_pas1">#REF!</definedName>
    <definedName name="_pas2" localSheetId="8">#REF!</definedName>
    <definedName name="_pas2" localSheetId="7">#REF!</definedName>
    <definedName name="_pas2">#REF!</definedName>
    <definedName name="_pat1" localSheetId="8">#REF!</definedName>
    <definedName name="_pat1" localSheetId="7">#REF!</definedName>
    <definedName name="_pat1">#REF!</definedName>
    <definedName name="_PF1" localSheetId="8">#REF!</definedName>
    <definedName name="_PF1" localSheetId="7">#REF!</definedName>
    <definedName name="_PF1">#REF!</definedName>
    <definedName name="_PF2" localSheetId="8">#REF!</definedName>
    <definedName name="_PF2" localSheetId="7">#REF!</definedName>
    <definedName name="_PF2">#REF!</definedName>
    <definedName name="_PF3" localSheetId="8">#REF!</definedName>
    <definedName name="_PF3" localSheetId="7">#REF!</definedName>
    <definedName name="_PF3">#REF!</definedName>
    <definedName name="_PF4" localSheetId="8">#REF!</definedName>
    <definedName name="_PF4" localSheetId="7">#REF!</definedName>
    <definedName name="_PF4">#REF!</definedName>
    <definedName name="_PF5" localSheetId="8">#REF!</definedName>
    <definedName name="_PF5" localSheetId="7">#REF!</definedName>
    <definedName name="_PF5">#REF!</definedName>
    <definedName name="_RAN1" localSheetId="8">#REF!</definedName>
    <definedName name="_RAN1" localSheetId="7">#REF!</definedName>
    <definedName name="_RAN1">#REF!</definedName>
    <definedName name="_RAN10" localSheetId="8">#REF!</definedName>
    <definedName name="_RAN10" localSheetId="7">#REF!</definedName>
    <definedName name="_RAN10">#REF!</definedName>
    <definedName name="_RAN11" localSheetId="8">#REF!</definedName>
    <definedName name="_RAN11" localSheetId="7">#REF!</definedName>
    <definedName name="_RAN11">#REF!</definedName>
    <definedName name="_RAN12" localSheetId="8">#REF!</definedName>
    <definedName name="_RAN12" localSheetId="7">#REF!</definedName>
    <definedName name="_RAN12">#REF!</definedName>
    <definedName name="_RAN13" localSheetId="8">#REF!</definedName>
    <definedName name="_RAN13" localSheetId="7">#REF!</definedName>
    <definedName name="_RAN13">#REF!</definedName>
    <definedName name="_RAN14" localSheetId="8">#REF!</definedName>
    <definedName name="_RAN14" localSheetId="7">#REF!</definedName>
    <definedName name="_RAN14">#REF!</definedName>
    <definedName name="_RAN15" localSheetId="8">#REF!</definedName>
    <definedName name="_RAN15" localSheetId="7">#REF!</definedName>
    <definedName name="_RAN15">#REF!</definedName>
    <definedName name="_RAN16" localSheetId="8">#REF!</definedName>
    <definedName name="_RAN16" localSheetId="7">#REF!</definedName>
    <definedName name="_RAN16">#REF!</definedName>
    <definedName name="_RAN17" localSheetId="8">#REF!</definedName>
    <definedName name="_RAN17" localSheetId="7">#REF!</definedName>
    <definedName name="_RAN17">#REF!</definedName>
    <definedName name="_RAN18" localSheetId="8">#REF!</definedName>
    <definedName name="_RAN18" localSheetId="7">#REF!</definedName>
    <definedName name="_RAN18">#REF!</definedName>
    <definedName name="_RAN19" localSheetId="8">#REF!</definedName>
    <definedName name="_RAN19" localSheetId="7">#REF!</definedName>
    <definedName name="_RAN19">#REF!</definedName>
    <definedName name="_RAN2" localSheetId="8">#REF!</definedName>
    <definedName name="_RAN2" localSheetId="7">#REF!</definedName>
    <definedName name="_RAN2">#REF!</definedName>
    <definedName name="_RAN20" localSheetId="8">#REF!</definedName>
    <definedName name="_RAN20" localSheetId="7">#REF!</definedName>
    <definedName name="_RAN20">#REF!</definedName>
    <definedName name="_RAN21" localSheetId="8">#REF!</definedName>
    <definedName name="_RAN21" localSheetId="7">#REF!</definedName>
    <definedName name="_RAN21">#REF!</definedName>
    <definedName name="_RAN22" localSheetId="8">#REF!</definedName>
    <definedName name="_RAN22" localSheetId="7">#REF!</definedName>
    <definedName name="_RAN22">#REF!</definedName>
    <definedName name="_RAN23" localSheetId="8">#REF!</definedName>
    <definedName name="_RAN23" localSheetId="7">#REF!</definedName>
    <definedName name="_RAN23">#REF!</definedName>
    <definedName name="_RAN24" localSheetId="8">#REF!</definedName>
    <definedName name="_RAN24" localSheetId="7">#REF!</definedName>
    <definedName name="_RAN24">#REF!</definedName>
    <definedName name="_RAN25" localSheetId="8">#REF!</definedName>
    <definedName name="_RAN25" localSheetId="7">#REF!</definedName>
    <definedName name="_RAN25">#REF!</definedName>
    <definedName name="_RAN26" localSheetId="8">#REF!</definedName>
    <definedName name="_RAN26" localSheetId="7">#REF!</definedName>
    <definedName name="_RAN26">#REF!</definedName>
    <definedName name="_RAN27" localSheetId="8">#REF!</definedName>
    <definedName name="_RAN27" localSheetId="7">#REF!</definedName>
    <definedName name="_RAN27">#REF!</definedName>
    <definedName name="_RAN28" localSheetId="8">#REF!</definedName>
    <definedName name="_RAN28" localSheetId="7">#REF!</definedName>
    <definedName name="_RAN28">#REF!</definedName>
    <definedName name="_RAN29" localSheetId="8">#REF!</definedName>
    <definedName name="_RAN29" localSheetId="7">#REF!</definedName>
    <definedName name="_RAN29">#REF!</definedName>
    <definedName name="_RAN3" localSheetId="8">#REF!</definedName>
    <definedName name="_RAN3" localSheetId="7">#REF!</definedName>
    <definedName name="_RAN3">#REF!</definedName>
    <definedName name="_RAN30" localSheetId="8">#REF!</definedName>
    <definedName name="_RAN30" localSheetId="7">#REF!</definedName>
    <definedName name="_RAN30">#REF!</definedName>
    <definedName name="_RAN4" localSheetId="8">#REF!</definedName>
    <definedName name="_RAN4" localSheetId="7">#REF!</definedName>
    <definedName name="_RAN4">#REF!</definedName>
    <definedName name="_RAN5" localSheetId="8">#REF!</definedName>
    <definedName name="_RAN5" localSheetId="7">#REF!</definedName>
    <definedName name="_RAN5">#REF!</definedName>
    <definedName name="_RAN6" localSheetId="8">#REF!</definedName>
    <definedName name="_RAN6" localSheetId="7">#REF!</definedName>
    <definedName name="_RAN6">#REF!</definedName>
    <definedName name="_RAN7" localSheetId="8">#REF!</definedName>
    <definedName name="_RAN7" localSheetId="7">#REF!</definedName>
    <definedName name="_RAN7">#REF!</definedName>
    <definedName name="_RAN8" localSheetId="8">#REF!</definedName>
    <definedName name="_RAN8" localSheetId="7">#REF!</definedName>
    <definedName name="_RAN8">#REF!</definedName>
    <definedName name="_RAN9" localSheetId="8">#REF!</definedName>
    <definedName name="_RAN9" localSheetId="7">#REF!</definedName>
    <definedName name="_RAN9">#REF!</definedName>
    <definedName name="_Regression_Int" hidden="1">1</definedName>
    <definedName name="_TR10" localSheetId="8">#REF!</definedName>
    <definedName name="_TR10" localSheetId="7">#REF!</definedName>
    <definedName name="_TR10">#REF!</definedName>
    <definedName name="_TR11" localSheetId="8">#REF!</definedName>
    <definedName name="_TR11" localSheetId="7">#REF!</definedName>
    <definedName name="_TR11">#REF!</definedName>
    <definedName name="_TR12" localSheetId="8">#REF!</definedName>
    <definedName name="_TR12" localSheetId="7">#REF!</definedName>
    <definedName name="_TR12">#REF!</definedName>
    <definedName name="_TR13" localSheetId="8">#REF!</definedName>
    <definedName name="_TR13" localSheetId="7">#REF!</definedName>
    <definedName name="_TR13">#REF!</definedName>
    <definedName name="_TR14" localSheetId="8">#REF!</definedName>
    <definedName name="_TR14" localSheetId="7">#REF!</definedName>
    <definedName name="_TR14">#REF!</definedName>
    <definedName name="_TR15" localSheetId="8">#REF!</definedName>
    <definedName name="_TR15" localSheetId="7">#REF!</definedName>
    <definedName name="_TR15">#REF!</definedName>
    <definedName name="_TR16" localSheetId="8">#REF!</definedName>
    <definedName name="_TR16" localSheetId="7">#REF!</definedName>
    <definedName name="_TR16">#REF!</definedName>
    <definedName name="_XX1" localSheetId="8">#REF!</definedName>
    <definedName name="_XX1" localSheetId="7">#REF!</definedName>
    <definedName name="_XX1">#REF!</definedName>
    <definedName name="_XX10" localSheetId="8">#REF!</definedName>
    <definedName name="_XX10" localSheetId="7">#REF!</definedName>
    <definedName name="_XX10">#REF!</definedName>
    <definedName name="_XX11" localSheetId="8">#REF!</definedName>
    <definedName name="_XX11" localSheetId="7">#REF!</definedName>
    <definedName name="_XX11">#REF!</definedName>
    <definedName name="_XX12" localSheetId="8">#REF!</definedName>
    <definedName name="_XX12" localSheetId="7">#REF!</definedName>
    <definedName name="_XX12">#REF!</definedName>
    <definedName name="_XX2" localSheetId="8">#REF!</definedName>
    <definedName name="_XX2" localSheetId="7">#REF!</definedName>
    <definedName name="_XX2">#REF!</definedName>
    <definedName name="_XX3" localSheetId="8">#REF!</definedName>
    <definedName name="_XX3" localSheetId="7">#REF!</definedName>
    <definedName name="_XX3">#REF!</definedName>
    <definedName name="_XX4" localSheetId="8">#REF!</definedName>
    <definedName name="_XX4" localSheetId="7">#REF!</definedName>
    <definedName name="_XX4">#REF!</definedName>
    <definedName name="_XX5" localSheetId="8">#REF!</definedName>
    <definedName name="_XX5" localSheetId="7">#REF!</definedName>
    <definedName name="_XX5">#REF!</definedName>
    <definedName name="_XX6" localSheetId="8">#REF!</definedName>
    <definedName name="_XX6" localSheetId="7">#REF!</definedName>
    <definedName name="_XX6">#REF!</definedName>
    <definedName name="_XX7" localSheetId="8">#REF!</definedName>
    <definedName name="_XX7" localSheetId="7">#REF!</definedName>
    <definedName name="_XX7">#REF!</definedName>
    <definedName name="_XX8" localSheetId="8">#REF!</definedName>
    <definedName name="_XX8" localSheetId="7">#REF!</definedName>
    <definedName name="_XX8">#REF!</definedName>
    <definedName name="_XX9" localSheetId="8">#REF!</definedName>
    <definedName name="_XX9" localSheetId="7">#REF!</definedName>
    <definedName name="_XX9">#REF!</definedName>
    <definedName name="_zz1">'[2]Estados Financieros'!#REF!</definedName>
    <definedName name="A" localSheetId="8">#REF!</definedName>
    <definedName name="A" localSheetId="7">#REF!</definedName>
    <definedName name="A">#REF!</definedName>
    <definedName name="A_IMPRESIÓN_IM" localSheetId="8">#REF!</definedName>
    <definedName name="A_IMPRESIÓN_IM" localSheetId="7">#REF!</definedName>
    <definedName name="A_IMPRESIÓN_IM">#REF!</definedName>
    <definedName name="ABRIL" localSheetId="8">#REF!</definedName>
    <definedName name="ABRIL" localSheetId="7">#REF!</definedName>
    <definedName name="ABRIL">#REF!</definedName>
    <definedName name="AccessDatabase" hidden="1">"F:\AndersonLegal\Modificado\ANEXOC2000 PARA SOCIEDADES.mdb"</definedName>
    <definedName name="ACT" localSheetId="8">#REF!</definedName>
    <definedName name="ACT" localSheetId="7">#REF!</definedName>
    <definedName name="ACT">#REF!</definedName>
    <definedName name="ACTIVO" localSheetId="8">#REF!</definedName>
    <definedName name="ACTIVO" localSheetId="7">#REF!</definedName>
    <definedName name="ACTIVO">#REF!</definedName>
    <definedName name="ACTIVO1" localSheetId="8">#REF!</definedName>
    <definedName name="ACTIVO1" localSheetId="7">#REF!</definedName>
    <definedName name="ACTIVO1">#REF!</definedName>
    <definedName name="ACTIVO1A" localSheetId="8">#REF!</definedName>
    <definedName name="ACTIVO1A" localSheetId="7">#REF!</definedName>
    <definedName name="ACTIVO1A">#REF!</definedName>
    <definedName name="ACTIVOA" localSheetId="8">#REF!</definedName>
    <definedName name="ACTIVOA" localSheetId="7">#REF!</definedName>
    <definedName name="ACTIVOA">#REF!</definedName>
    <definedName name="af" localSheetId="8">#REF!</definedName>
    <definedName name="af" localSheetId="7">#REF!</definedName>
    <definedName name="af">#REF!</definedName>
    <definedName name="af_1" localSheetId="8">#REF!</definedName>
    <definedName name="af_1" localSheetId="7">#REF!</definedName>
    <definedName name="af_1">#REF!</definedName>
    <definedName name="af_2" localSheetId="8">#REF!</definedName>
    <definedName name="af_2" localSheetId="7">#REF!</definedName>
    <definedName name="af_2">#REF!</definedName>
    <definedName name="an">'[3]Anticipo al 2006'!$G$3:$H$6</definedName>
    <definedName name="ANAIVA" localSheetId="8">#REF!</definedName>
    <definedName name="ANAIVA" localSheetId="7">#REF!</definedName>
    <definedName name="ANAIVA">#REF!</definedName>
    <definedName name="andres" localSheetId="8">#REF!</definedName>
    <definedName name="andres" localSheetId="7">#REF!</definedName>
    <definedName name="andres">#REF!</definedName>
    <definedName name="ANEXO" localSheetId="8">#REF!</definedName>
    <definedName name="ANEXO" localSheetId="7">#REF!</definedName>
    <definedName name="ANEXO">#REF!</definedName>
    <definedName name="ANEXO_No._1" localSheetId="8">#REF!</definedName>
    <definedName name="ANEXO_No._1" localSheetId="7">#REF!</definedName>
    <definedName name="ANEXO_No._1">#REF!</definedName>
    <definedName name="ANEXO_No._2" localSheetId="8">#REF!</definedName>
    <definedName name="ANEXO_No._2" localSheetId="7">#REF!</definedName>
    <definedName name="ANEXO_No._2">#REF!</definedName>
    <definedName name="ANEXO_No._3" localSheetId="8">#REF!</definedName>
    <definedName name="ANEXO_No._3" localSheetId="7">#REF!</definedName>
    <definedName name="ANEXO_No._3">#REF!</definedName>
    <definedName name="ANEXO21" localSheetId="8">#REF!</definedName>
    <definedName name="ANEXO21" localSheetId="7">#REF!</definedName>
    <definedName name="ANEXO21">#REF!</definedName>
    <definedName name="ANEXOC2000_PARA_SOCIEDADES_Hoja1_Lista" localSheetId="8">#REF!</definedName>
    <definedName name="ANEXOC2000_PARA_SOCIEDADES_Hoja1_Lista" localSheetId="7">#REF!</definedName>
    <definedName name="ANEXOC2000_PARA_SOCIEDADES_Hoja1_Lista">#REF!</definedName>
    <definedName name="ANEXOS" localSheetId="8">#REF!</definedName>
    <definedName name="ANEXOS" localSheetId="7">#REF!</definedName>
    <definedName name="ANEXOS">#REF!</definedName>
    <definedName name="ANEXOS4" localSheetId="8">#REF!</definedName>
    <definedName name="ANEXOS4" localSheetId="7">#REF!</definedName>
    <definedName name="ANEXOS4">#REF!</definedName>
    <definedName name="anticipanteriorA">'[4]1- DATOS INICIALES'!$C$68</definedName>
    <definedName name="ANTICIPO" localSheetId="8">#REF!</definedName>
    <definedName name="ANTICIPO" localSheetId="7">#REF!</definedName>
    <definedName name="ANTICIPO">#REF!</definedName>
    <definedName name="ANTICIPO1" localSheetId="8">#REF!</definedName>
    <definedName name="ANTICIPO1" localSheetId="7">#REF!</definedName>
    <definedName name="ANTICIPO1">#REF!</definedName>
    <definedName name="anticipoC">'[4]4 CÁLCULOS PRESUNT-ANTICIP.'!$D$45</definedName>
    <definedName name="AÑO" localSheetId="8">#REF!</definedName>
    <definedName name="AÑO" localSheetId="7">#REF!</definedName>
    <definedName name="AÑO">#REF!</definedName>
    <definedName name="_xlnm.Print_Area" localSheetId="1">'ER 2021-2020 '!$A$1:$J$42</definedName>
    <definedName name="_xlnm.Print_Area" localSheetId="8">'ER 2022-2021 '!$A$1:$J$42</definedName>
    <definedName name="_xlnm.Print_Area" localSheetId="3">'ER PRUEBA'!$A$1:$J$25</definedName>
    <definedName name="_xlnm.Print_Area" localSheetId="0">'ESF 2021-2020'!$A$1:$I$60</definedName>
    <definedName name="_xlnm.Print_Area" localSheetId="7">'ESF 2022-2021'!$A$1:$I$63</definedName>
    <definedName name="_xlnm.Print_Area" localSheetId="4">'ESF PRUEBA'!$A$1:$I$48</definedName>
    <definedName name="_xlnm.Print_Area">[5]PYG0003!$A$54:$J$89</definedName>
    <definedName name="arp" localSheetId="8">#REF!</definedName>
    <definedName name="arp" localSheetId="7">#REF!</definedName>
    <definedName name="arp">#REF!</definedName>
    <definedName name="ASFASGH" localSheetId="8">#REF!</definedName>
    <definedName name="ASFASGH" localSheetId="7">#REF!</definedName>
    <definedName name="ASFASGH">#REF!</definedName>
    <definedName name="asfasghh" localSheetId="8">#REF!</definedName>
    <definedName name="asfasghh" localSheetId="7">#REF!</definedName>
    <definedName name="asfasghh">#REF!</definedName>
    <definedName name="AXEXOS" localSheetId="8">#REF!</definedName>
    <definedName name="AXEXOS" localSheetId="7">#REF!</definedName>
    <definedName name="AXEXOS">#REF!</definedName>
    <definedName name="axipat" localSheetId="8">#REF!</definedName>
    <definedName name="axipat" localSheetId="7">#REF!</definedName>
    <definedName name="axipat">#REF!</definedName>
    <definedName name="AYUDA" localSheetId="8">#REF!</definedName>
    <definedName name="AYUDA" localSheetId="7">#REF!</definedName>
    <definedName name="AYUDA">#REF!</definedName>
    <definedName name="B">[6]RESULTADOS!#REF!</definedName>
    <definedName name="BALANCE1" localSheetId="8">#REF!</definedName>
    <definedName name="BALANCE1" localSheetId="7">#REF!</definedName>
    <definedName name="BALANCE1">#REF!</definedName>
    <definedName name="BASE">'[7]Anexo pagos exterior'!#REF!</definedName>
    <definedName name="_xlnm.Database" localSheetId="8">#REF!</definedName>
    <definedName name="_xlnm.Database" localSheetId="7">#REF!</definedName>
    <definedName name="_xlnm.Database">#REF!</definedName>
    <definedName name="BAUCHER" localSheetId="8">#REF!</definedName>
    <definedName name="BAUCHER" localSheetId="7">#REF!</definedName>
    <definedName name="BAUCHER">#REF!</definedName>
    <definedName name="BORRAR" localSheetId="8">#REF!</definedName>
    <definedName name="BORRAR" localSheetId="7">#REF!</definedName>
    <definedName name="BORRAR">#REF!</definedName>
    <definedName name="BOYACA" localSheetId="8">#REF!</definedName>
    <definedName name="BOYACA" localSheetId="7">#REF!</definedName>
    <definedName name="BOYACA">#REF!</definedName>
    <definedName name="Button_1">"ANEXOC2000_PARA_SOCIEDADES_Hoja1_Lista"</definedName>
    <definedName name="C_" localSheetId="8">#REF!</definedName>
    <definedName name="C_" localSheetId="7">#REF!</definedName>
    <definedName name="C_">#REF!</definedName>
    <definedName name="CANT" localSheetId="8">#REF!</definedName>
    <definedName name="CANT" localSheetId="7">#REF!</definedName>
    <definedName name="CANT">#REF!</definedName>
    <definedName name="CAPI" localSheetId="8">#REF!</definedName>
    <definedName name="CAPI" localSheetId="7">#REF!</definedName>
    <definedName name="CAPI">#REF!</definedName>
    <definedName name="CARTERA_SEP05" localSheetId="8">#REF!</definedName>
    <definedName name="CARTERA_SEP05" localSheetId="7">#REF!</definedName>
    <definedName name="CARTERA_SEP05">#REF!</definedName>
    <definedName name="CATORCE" localSheetId="8">#REF!</definedName>
    <definedName name="CATORCE" localSheetId="7">#REF!</definedName>
    <definedName name="CATORCE">#REF!</definedName>
    <definedName name="CC">[8]Hoja1!$A$2:$B$44</definedName>
    <definedName name="CCOSTO">[9]Hoja1!$A$2:$B$44</definedName>
    <definedName name="CEDED" localSheetId="8">#REF!</definedName>
    <definedName name="CEDED" localSheetId="7">#REF!</definedName>
    <definedName name="CEDED">#REF!</definedName>
    <definedName name="CERO" localSheetId="8">#REF!</definedName>
    <definedName name="CERO" localSheetId="7">#REF!</definedName>
    <definedName name="CERO">#REF!</definedName>
    <definedName name="CERTS" localSheetId="8">#REF!</definedName>
    <definedName name="CERTS" localSheetId="7">#REF!</definedName>
    <definedName name="CERTS">#REF!</definedName>
    <definedName name="CERTS1" localSheetId="8">'[10]Datos de entrada'!#REF!</definedName>
    <definedName name="CERTS1" localSheetId="7">'[10]Datos de entrada'!#REF!</definedName>
    <definedName name="CERTS1">'[10]Datos de entrada'!#REF!</definedName>
    <definedName name="CERTS11" localSheetId="8">'[11]Datos de entrada'!#REF!</definedName>
    <definedName name="CERTS11" localSheetId="7">'[11]Datos de entrada'!#REF!</definedName>
    <definedName name="CERTS11">'[11]Datos de entrada'!#REF!</definedName>
    <definedName name="CERTS2" localSheetId="8">#REF!</definedName>
    <definedName name="CERTS2" localSheetId="7">#REF!</definedName>
    <definedName name="CERTS2">#REF!</definedName>
    <definedName name="cm" localSheetId="8">#REF!</definedName>
    <definedName name="cm" localSheetId="7">#REF!</definedName>
    <definedName name="cm">#REF!</definedName>
    <definedName name="CMD" localSheetId="8">#REF!</definedName>
    <definedName name="CMD" localSheetId="7">#REF!</definedName>
    <definedName name="CMD">#REF!</definedName>
    <definedName name="COMBINAR" localSheetId="8">#REF!</definedName>
    <definedName name="COMBINAR" localSheetId="7">#REF!</definedName>
    <definedName name="COMBINAR">#REF!</definedName>
    <definedName name="COMBINAR1" localSheetId="8">#REF!</definedName>
    <definedName name="COMBINAR1" localSheetId="7">#REF!</definedName>
    <definedName name="COMBINAR1">#REF!</definedName>
    <definedName name="COMPUTADORES" localSheetId="8">#REF!</definedName>
    <definedName name="COMPUTADORES" localSheetId="7">#REF!</definedName>
    <definedName name="COMPUTADORES">#REF!</definedName>
    <definedName name="CONCILIA">'[10]Conc. Renta'!#REF!</definedName>
    <definedName name="CONCILIA11">'[11]Conc. Renta'!#REF!</definedName>
    <definedName name="concilia2">'[10]Conc. Renta'!#REF!</definedName>
    <definedName name="concilia21">'[11]Conc. Renta'!#REF!</definedName>
    <definedName name="concilia3">'[10]Conc. Renta'!#REF!</definedName>
    <definedName name="concilia31">'[11]Conc. Renta'!#REF!</definedName>
    <definedName name="CONCILIAPCPF1" localSheetId="8">#REF!</definedName>
    <definedName name="CONCILIAPCPF1" localSheetId="7">#REF!</definedName>
    <definedName name="CONCILIAPCPF1">#REF!</definedName>
    <definedName name="CONCILIAPCPF2" localSheetId="8">#REF!</definedName>
    <definedName name="CONCILIAPCPF2" localSheetId="7">#REF!</definedName>
    <definedName name="CONCILIAPCPF2">#REF!</definedName>
    <definedName name="CONCILIARCRF" localSheetId="8">#REF!</definedName>
    <definedName name="CONCILIARCRF" localSheetId="7">#REF!</definedName>
    <definedName name="CONCILIARCRF">#REF!</definedName>
    <definedName name="CONCILIPFPC1" localSheetId="8">#REF!</definedName>
    <definedName name="CONCILIPFPC1" localSheetId="7">#REF!</definedName>
    <definedName name="CONCILIPFPC1">#REF!</definedName>
    <definedName name="CONSUL" localSheetId="8">#REF!</definedName>
    <definedName name="CONSUL" localSheetId="7">#REF!</definedName>
    <definedName name="CONSUL">#REF!</definedName>
    <definedName name="CONSUL4" localSheetId="8">#REF!</definedName>
    <definedName name="CONSUL4" localSheetId="7">#REF!</definedName>
    <definedName name="CONSUL4">#REF!</definedName>
    <definedName name="CONSULTA" localSheetId="8">#REF!</definedName>
    <definedName name="CONSULTA" localSheetId="7">#REF!</definedName>
    <definedName name="CONSULTA">#REF!</definedName>
    <definedName name="CONTRA" localSheetId="8">#REF!</definedName>
    <definedName name="CONTRA" localSheetId="7">#REF!</definedName>
    <definedName name="CONTRA">#REF!</definedName>
    <definedName name="CONTROL" localSheetId="8">#REF!</definedName>
    <definedName name="CONTROL" localSheetId="7">#REF!</definedName>
    <definedName name="CONTROL">#REF!</definedName>
    <definedName name="COPY" localSheetId="8">#REF!</definedName>
    <definedName name="COPY" localSheetId="7">#REF!</definedName>
    <definedName name="COPY">#REF!</definedName>
    <definedName name="costo2">[12]RETENCION!#REF!</definedName>
    <definedName name="COSTOS" localSheetId="8">#REF!</definedName>
    <definedName name="COSTOS" localSheetId="7">#REF!</definedName>
    <definedName name="COSTOS">#REF!</definedName>
    <definedName name="costos_1" localSheetId="8">#REF!</definedName>
    <definedName name="costos_1" localSheetId="7">#REF!</definedName>
    <definedName name="costos_1">#REF!</definedName>
    <definedName name="COSTOS1" localSheetId="8">#REF!</definedName>
    <definedName name="COSTOS1" localSheetId="7">#REF!</definedName>
    <definedName name="COSTOS1">#REF!</definedName>
    <definedName name="COSTOS1A" localSheetId="8">#REF!</definedName>
    <definedName name="COSTOS1A" localSheetId="7">#REF!</definedName>
    <definedName name="COSTOS1A">#REF!</definedName>
    <definedName name="COSTOS1B" localSheetId="8">#REF!</definedName>
    <definedName name="COSTOS1B" localSheetId="7">#REF!</definedName>
    <definedName name="COSTOS1B">#REF!</definedName>
    <definedName name="COSTOSA" localSheetId="8">#REF!</definedName>
    <definedName name="COSTOSA" localSheetId="7">#REF!</definedName>
    <definedName name="COSTOSA">#REF!</definedName>
    <definedName name="COSTOSB" localSheetId="8">#REF!</definedName>
    <definedName name="COSTOSB" localSheetId="7">#REF!</definedName>
    <definedName name="COSTOSB">#REF!</definedName>
    <definedName name="costoventaB">'[4]1- DATOS INICIALES'!$F$194</definedName>
    <definedName name="CR20_" localSheetId="8">#REF!</definedName>
    <definedName name="CR20_" localSheetId="7">#REF!</definedName>
    <definedName name="CR20_">#REF!</definedName>
    <definedName name="CR21_" localSheetId="8">#REF!</definedName>
    <definedName name="CR21_" localSheetId="7">#REF!</definedName>
    <definedName name="CR21_">#REF!</definedName>
    <definedName name="CR22_" localSheetId="8">#REF!</definedName>
    <definedName name="CR22_" localSheetId="7">#REF!</definedName>
    <definedName name="CR22_">#REF!</definedName>
    <definedName name="CR23_" localSheetId="8">#REF!</definedName>
    <definedName name="CR23_" localSheetId="7">#REF!</definedName>
    <definedName name="CR23_">#REF!</definedName>
    <definedName name="CR24_" localSheetId="8">#REF!</definedName>
    <definedName name="CR24_" localSheetId="7">#REF!</definedName>
    <definedName name="CR24_">#REF!</definedName>
    <definedName name="CR25_" localSheetId="8">#REF!</definedName>
    <definedName name="CR25_" localSheetId="7">#REF!</definedName>
    <definedName name="CR25_">#REF!</definedName>
    <definedName name="CR26_" localSheetId="8">#REF!</definedName>
    <definedName name="CR26_" localSheetId="7">#REF!</definedName>
    <definedName name="CR26_">#REF!</definedName>
    <definedName name="CR27_" localSheetId="8">#REF!</definedName>
    <definedName name="CR27_" localSheetId="7">#REF!</definedName>
    <definedName name="CR27_">#REF!</definedName>
    <definedName name="CR28_" localSheetId="8">#REF!</definedName>
    <definedName name="CR28_" localSheetId="7">#REF!</definedName>
    <definedName name="CR28_">#REF!</definedName>
    <definedName name="CRCM" localSheetId="8">#REF!</definedName>
    <definedName name="CRCM" localSheetId="7">#REF!</definedName>
    <definedName name="CRCM">#REF!</definedName>
    <definedName name="CRUCE" localSheetId="8">#REF!</definedName>
    <definedName name="CRUCE" localSheetId="7">#REF!</definedName>
    <definedName name="CRUCE">#REF!</definedName>
    <definedName name="CUNDINAMARCA" localSheetId="8">#REF!</definedName>
    <definedName name="CUNDINAMARCA" localSheetId="7">#REF!</definedName>
    <definedName name="CUNDINAMARCA">#REF!</definedName>
    <definedName name="DATOS" localSheetId="8">#REF!</definedName>
    <definedName name="DATOS" localSheetId="7">#REF!</definedName>
    <definedName name="DATOS">#REF!</definedName>
    <definedName name="DATOS0" localSheetId="8">#REF!</definedName>
    <definedName name="DATOS0" localSheetId="7">#REF!</definedName>
    <definedName name="DATOS0">#REF!</definedName>
    <definedName name="DATOS02">'[7]Reserva de cartera'!#REF!</definedName>
    <definedName name="DATOS03">'[7]Reserva de cartera'!#REF!</definedName>
    <definedName name="DATOS1" localSheetId="8">#REF!</definedName>
    <definedName name="DATOS1" localSheetId="7">#REF!</definedName>
    <definedName name="DATOS1">#REF!</definedName>
    <definedName name="DATOS1A" localSheetId="8">#REF!</definedName>
    <definedName name="DATOS1A" localSheetId="7">#REF!</definedName>
    <definedName name="DATOS1A">#REF!</definedName>
    <definedName name="DBCM" localSheetId="8">#REF!</definedName>
    <definedName name="DBCM" localSheetId="7">#REF!</definedName>
    <definedName name="DBCM">#REF!</definedName>
    <definedName name="dd" localSheetId="8">#REF!</definedName>
    <definedName name="dd" localSheetId="7">#REF!</definedName>
    <definedName name="dd">#REF!</definedName>
    <definedName name="DEDT" localSheetId="8">#REF!</definedName>
    <definedName name="DEDT" localSheetId="7">#REF!</definedName>
    <definedName name="DEDT">#REF!</definedName>
    <definedName name="DEDUCCIONES" localSheetId="8">#REF!</definedName>
    <definedName name="DEDUCCIONES" localSheetId="7">#REF!</definedName>
    <definedName name="DEDUCCIONES">#REF!</definedName>
    <definedName name="DEDUCCIONES1" localSheetId="8">#REF!</definedName>
    <definedName name="DEDUCCIONES1" localSheetId="7">#REF!</definedName>
    <definedName name="DEDUCCIONES1">#REF!</definedName>
    <definedName name="DEDUCCIONES1A" localSheetId="8">#REF!</definedName>
    <definedName name="DEDUCCIONES1A" localSheetId="7">#REF!</definedName>
    <definedName name="DEDUCCIONES1A">#REF!</definedName>
    <definedName name="DEDUCCIONES1B" localSheetId="8">#REF!</definedName>
    <definedName name="DEDUCCIONES1B" localSheetId="7">#REF!</definedName>
    <definedName name="DEDUCCIONES1B">#REF!</definedName>
    <definedName name="DEDUCCIONES1C" localSheetId="8">#REF!</definedName>
    <definedName name="DEDUCCIONES1C" localSheetId="7">#REF!</definedName>
    <definedName name="DEDUCCIONES1C">#REF!</definedName>
    <definedName name="DEDUCCIONES1D" localSheetId="8">#REF!</definedName>
    <definedName name="DEDUCCIONES1D" localSheetId="7">#REF!</definedName>
    <definedName name="DEDUCCIONES1D">#REF!</definedName>
    <definedName name="deducciones2">[12]RETENCION!#REF!</definedName>
    <definedName name="DEDUCCIONESA" localSheetId="8">#REF!</definedName>
    <definedName name="DEDUCCIONESA" localSheetId="7">#REF!</definedName>
    <definedName name="DEDUCCIONESA">#REF!</definedName>
    <definedName name="DEDUCCIONESB" localSheetId="8">#REF!</definedName>
    <definedName name="DEDUCCIONESB" localSheetId="7">#REF!</definedName>
    <definedName name="DEDUCCIONESB">#REF!</definedName>
    <definedName name="DEDUCCIONESC" localSheetId="8">#REF!</definedName>
    <definedName name="DEDUCCIONESC" localSheetId="7">#REF!</definedName>
    <definedName name="DEDUCCIONESC">#REF!</definedName>
    <definedName name="deduccionesx" localSheetId="8">#REF!</definedName>
    <definedName name="deduccionesx" localSheetId="7">#REF!</definedName>
    <definedName name="deduccionesx">#REF!</definedName>
    <definedName name="DEDUCCIONESY" localSheetId="8">#REF!</definedName>
    <definedName name="DEDUCCIONESY" localSheetId="7">#REF!</definedName>
    <definedName name="DEDUCCIONESY">#REF!</definedName>
    <definedName name="deduccionx" localSheetId="8">#REF!</definedName>
    <definedName name="deduccionx" localSheetId="7">#REF!</definedName>
    <definedName name="deduccionx">#REF!</definedName>
    <definedName name="DESCUENTOS" localSheetId="8">#REF!</definedName>
    <definedName name="DESCUENTOS" localSheetId="7">#REF!</definedName>
    <definedName name="DESCUENTOS">#REF!</definedName>
    <definedName name="dfdfd">'[13]Conc. Renta'!#REF!</definedName>
    <definedName name="DIEZ" localSheetId="8">#REF!</definedName>
    <definedName name="DIEZ" localSheetId="7">#REF!</definedName>
    <definedName name="DIEZ">#REF!</definedName>
    <definedName name="DIEZYNUEVE" localSheetId="8">#REF!</definedName>
    <definedName name="DIEZYNUEVE" localSheetId="7">#REF!</definedName>
    <definedName name="DIEZYNUEVE">#REF!</definedName>
    <definedName name="DIEZYOCHO" localSheetId="8">#REF!</definedName>
    <definedName name="DIEZYOCHO" localSheetId="7">#REF!</definedName>
    <definedName name="DIEZYOCHO">#REF!</definedName>
    <definedName name="DIEZYSEIS" localSheetId="8">#REF!</definedName>
    <definedName name="DIEZYSEIS" localSheetId="7">#REF!</definedName>
    <definedName name="DIEZYSEIS">#REF!</definedName>
    <definedName name="DIEZYSIETE" localSheetId="8">#REF!</definedName>
    <definedName name="DIEZYSIETE" localSheetId="7">#REF!</definedName>
    <definedName name="DIEZYSIETE">#REF!</definedName>
    <definedName name="DIFERIDOS" localSheetId="8">#REF!</definedName>
    <definedName name="DIFERIDOS" localSheetId="7">#REF!</definedName>
    <definedName name="DIFERIDOS">#REF!</definedName>
    <definedName name="DLOCAL2017" localSheetId="8">#REF!</definedName>
    <definedName name="DLOCAL2017" localSheetId="7">#REF!</definedName>
    <definedName name="DLOCAL2017">#REF!</definedName>
    <definedName name="DOCE" localSheetId="8">#REF!</definedName>
    <definedName name="DOCE" localSheetId="7">#REF!</definedName>
    <definedName name="DOCE">#REF!</definedName>
    <definedName name="DON" localSheetId="8">#REF!</definedName>
    <definedName name="DON" localSheetId="7">#REF!</definedName>
    <definedName name="DON">#REF!</definedName>
    <definedName name="dos" localSheetId="8">#REF!</definedName>
    <definedName name="dos" localSheetId="7">#REF!</definedName>
    <definedName name="dos">#REF!</definedName>
    <definedName name="DR20_" localSheetId="8">#REF!</definedName>
    <definedName name="DR20_" localSheetId="7">#REF!</definedName>
    <definedName name="DR20_">#REF!</definedName>
    <definedName name="DR21_" localSheetId="8">#REF!</definedName>
    <definedName name="DR21_" localSheetId="7">#REF!</definedName>
    <definedName name="DR21_">#REF!</definedName>
    <definedName name="DR22_" localSheetId="8">#REF!</definedName>
    <definedName name="DR22_" localSheetId="7">#REF!</definedName>
    <definedName name="DR22_">#REF!</definedName>
    <definedName name="DR23_" localSheetId="8">#REF!</definedName>
    <definedName name="DR23_" localSheetId="7">#REF!</definedName>
    <definedName name="DR23_">#REF!</definedName>
    <definedName name="DR24_" localSheetId="8">#REF!</definedName>
    <definedName name="DR24_" localSheetId="7">#REF!</definedName>
    <definedName name="DR24_">#REF!</definedName>
    <definedName name="DR25_" localSheetId="8">#REF!</definedName>
    <definedName name="DR25_" localSheetId="7">#REF!</definedName>
    <definedName name="DR25_">#REF!</definedName>
    <definedName name="DR26_" localSheetId="8">#REF!</definedName>
    <definedName name="DR26_" localSheetId="7">#REF!</definedName>
    <definedName name="DR26_">#REF!</definedName>
    <definedName name="DR27_" localSheetId="8">#REF!</definedName>
    <definedName name="DR27_" localSheetId="7">#REF!</definedName>
    <definedName name="DR27_">#REF!</definedName>
    <definedName name="DR28_" localSheetId="8">#REF!</definedName>
    <definedName name="DR28_" localSheetId="7">#REF!</definedName>
    <definedName name="DR28_">#REF!</definedName>
    <definedName name="DRTA" localSheetId="8">#REF!</definedName>
    <definedName name="DRTA" localSheetId="7">#REF!</definedName>
    <definedName name="DRTA">#REF!</definedName>
    <definedName name="DRTA0" localSheetId="8">#REF!</definedName>
    <definedName name="DRTA0" localSheetId="7">#REF!</definedName>
    <definedName name="DRTA0">#REF!</definedName>
    <definedName name="DRTA1" localSheetId="8">#REF!</definedName>
    <definedName name="DRTA1" localSheetId="7">#REF!</definedName>
    <definedName name="DRTA1">#REF!</definedName>
    <definedName name="DRTA2" localSheetId="8">#REF!</definedName>
    <definedName name="DRTA2" localSheetId="7">#REF!</definedName>
    <definedName name="DRTA2">#REF!</definedName>
    <definedName name="DRTA3" localSheetId="8">#REF!</definedName>
    <definedName name="DRTA3" localSheetId="7">#REF!</definedName>
    <definedName name="DRTA3">#REF!</definedName>
    <definedName name="DRTA4" localSheetId="8">#REF!</definedName>
    <definedName name="DRTA4" localSheetId="7">#REF!</definedName>
    <definedName name="DRTA4">#REF!</definedName>
    <definedName name="DRTA5" localSheetId="8">#REF!</definedName>
    <definedName name="DRTA5" localSheetId="7">#REF!</definedName>
    <definedName name="DRTA5">#REF!</definedName>
    <definedName name="drta8" localSheetId="8">#REF!</definedName>
    <definedName name="drta8" localSheetId="7">#REF!</definedName>
    <definedName name="drta8">#REF!</definedName>
    <definedName name="drta88" localSheetId="8">#REF!</definedName>
    <definedName name="drta88" localSheetId="7">#REF!</definedName>
    <definedName name="drta88">#REF!</definedName>
    <definedName name="DRTA88A" localSheetId="8">#REF!</definedName>
    <definedName name="DRTA88A" localSheetId="7">#REF!</definedName>
    <definedName name="DRTA88A">#REF!</definedName>
    <definedName name="DRTA88B" localSheetId="8">#REF!</definedName>
    <definedName name="DRTA88B" localSheetId="7">#REF!</definedName>
    <definedName name="DRTA88B">#REF!</definedName>
    <definedName name="DRTAAB" localSheetId="8">#REF!</definedName>
    <definedName name="DRTAAB" localSheetId="7">#REF!</definedName>
    <definedName name="DRTAAB">#REF!</definedName>
    <definedName name="DRTAD" localSheetId="8">#REF!</definedName>
    <definedName name="DRTAD" localSheetId="7">#REF!</definedName>
    <definedName name="DRTAD">#REF!</definedName>
    <definedName name="DRTERT" localSheetId="8">#REF!</definedName>
    <definedName name="DRTERT" localSheetId="7">#REF!</definedName>
    <definedName name="DRTERT">#REF!</definedName>
    <definedName name="DT" localSheetId="8">#REF!</definedName>
    <definedName name="DT" localSheetId="7">#REF!</definedName>
    <definedName name="DT">#REF!</definedName>
    <definedName name="DTM" localSheetId="8">#REF!</definedName>
    <definedName name="DTM" localSheetId="7">#REF!</definedName>
    <definedName name="DTM">#REF!</definedName>
    <definedName name="DYND" localSheetId="8">#REF!</definedName>
    <definedName name="DYND" localSheetId="7">#REF!</definedName>
    <definedName name="DYND">#REF!</definedName>
    <definedName name="DYND1" localSheetId="8">#REF!</definedName>
    <definedName name="DYND1" localSheetId="7">#REF!</definedName>
    <definedName name="DYND1">#REF!</definedName>
    <definedName name="E">'[14]GASTOS EN EL EXTERIOR'!#REF!</definedName>
    <definedName name="EDADES" localSheetId="8">#REF!</definedName>
    <definedName name="EDADES" localSheetId="7">#REF!</definedName>
    <definedName name="EDADES">#REF!</definedName>
    <definedName name="EFECTIVO">'[6]BCE GENERAL'!$C$10</definedName>
    <definedName name="EFECTIVO99">'[6]BCE GENERAL'!$E$10</definedName>
    <definedName name="EMPRE" localSheetId="8">#REF!</definedName>
    <definedName name="EMPRE" localSheetId="7">#REF!</definedName>
    <definedName name="EMPRE">#REF!</definedName>
    <definedName name="EMPRESA" localSheetId="8">#REF!</definedName>
    <definedName name="EMPRESA" localSheetId="7">#REF!</definedName>
    <definedName name="EMPRESA">#REF!</definedName>
    <definedName name="EMPRESA1" localSheetId="8">#REF!</definedName>
    <definedName name="EMPRESA1" localSheetId="7">#REF!</definedName>
    <definedName name="EMPRESA1">#REF!</definedName>
    <definedName name="EMPRESA5C" localSheetId="8">'[10]Datos de entrada'!#REF!</definedName>
    <definedName name="EMPRESA5C" localSheetId="7">'[10]Datos de entrada'!#REF!</definedName>
    <definedName name="EMPRESA5C">'[10]Datos de entrada'!#REF!</definedName>
    <definedName name="EMPRESA5C1" localSheetId="8">'[11]Datos de entrada'!#REF!</definedName>
    <definedName name="EMPRESA5C1" localSheetId="7">'[11]Datos de entrada'!#REF!</definedName>
    <definedName name="EMPRESA5C1">'[11]Datos de entrada'!#REF!</definedName>
    <definedName name="EMPRESA5D" localSheetId="8">'[10]Datos de entrada'!#REF!</definedName>
    <definedName name="EMPRESA5D" localSheetId="7">'[10]Datos de entrada'!#REF!</definedName>
    <definedName name="EMPRESA5D">'[10]Datos de entrada'!#REF!</definedName>
    <definedName name="EMPRESAA" localSheetId="8">#REF!</definedName>
    <definedName name="EMPRESAA" localSheetId="7">#REF!</definedName>
    <definedName name="EMPRESAA">#REF!</definedName>
    <definedName name="EMPRESAIVA" localSheetId="8">'[10]Datos de entrada'!#REF!</definedName>
    <definedName name="EMPRESAIVA" localSheetId="7">'[10]Datos de entrada'!#REF!</definedName>
    <definedName name="EMPRESAIVA">'[10]Datos de entrada'!#REF!</definedName>
    <definedName name="END" localSheetId="8">#REF!</definedName>
    <definedName name="END" localSheetId="7">#REF!</definedName>
    <definedName name="END">#REF!</definedName>
    <definedName name="ENTER" localSheetId="8">#REF!</definedName>
    <definedName name="ENTER" localSheetId="7">#REF!</definedName>
    <definedName name="ENTER">#REF!</definedName>
    <definedName name="ENTER1" localSheetId="8">#REF!</definedName>
    <definedName name="ENTER1" localSheetId="7">#REF!</definedName>
    <definedName name="ENTER1">#REF!</definedName>
    <definedName name="ENTRA" localSheetId="8">#REF!</definedName>
    <definedName name="ENTRA" localSheetId="7">#REF!</definedName>
    <definedName name="ENTRA">#REF!</definedName>
    <definedName name="ERROR" localSheetId="8">#REF!</definedName>
    <definedName name="ERROR" localSheetId="7">#REF!</definedName>
    <definedName name="ERROR">#REF!</definedName>
    <definedName name="ESTADO" localSheetId="8">#REF!</definedName>
    <definedName name="ESTADO" localSheetId="7">#REF!</definedName>
    <definedName name="ESTADO">#REF!</definedName>
    <definedName name="fdfdf" localSheetId="8">#REF!</definedName>
    <definedName name="fdfdf" localSheetId="7">#REF!</definedName>
    <definedName name="fdfdf">#REF!</definedName>
    <definedName name="FILA" localSheetId="8">#REF!</definedName>
    <definedName name="FILA" localSheetId="7">#REF!</definedName>
    <definedName name="FILA">#REF!</definedName>
    <definedName name="FORMA" localSheetId="8">#REF!</definedName>
    <definedName name="FORMA" localSheetId="7">#REF!</definedName>
    <definedName name="FORMA">#REF!</definedName>
    <definedName name="GASTOSF100">[6]RESULTADOS!#REF!</definedName>
    <definedName name="GASTOSF99">[6]RESULTADOS!#REF!</definedName>
    <definedName name="GNDOD" localSheetId="8">#REF!</definedName>
    <definedName name="GNDOD" localSheetId="7">#REF!</definedName>
    <definedName name="GNDOD">#REF!</definedName>
    <definedName name="GNDOD1" localSheetId="8">#REF!</definedName>
    <definedName name="GNDOD1" localSheetId="7">#REF!</definedName>
    <definedName name="GNDOD1">#REF!</definedName>
    <definedName name="GNDODA" localSheetId="8">#REF!</definedName>
    <definedName name="GNDODA" localSheetId="7">#REF!</definedName>
    <definedName name="GNDODA">#REF!</definedName>
    <definedName name="GNDODA1" localSheetId="8">#REF!</definedName>
    <definedName name="GNDODA1" localSheetId="7">#REF!</definedName>
    <definedName name="GNDODA1">#REF!</definedName>
    <definedName name="GNDODA2" localSheetId="8">#REF!</definedName>
    <definedName name="GNDODA2" localSheetId="7">#REF!</definedName>
    <definedName name="GNDODA2">#REF!</definedName>
    <definedName name="GNDODA3" localSheetId="8">#REF!</definedName>
    <definedName name="GNDODA3" localSheetId="7">#REF!</definedName>
    <definedName name="GNDODA3">#REF!</definedName>
    <definedName name="GNDOND" localSheetId="8">#REF!</definedName>
    <definedName name="GNDOND" localSheetId="7">#REF!</definedName>
    <definedName name="GNDOND">#REF!</definedName>
    <definedName name="GRABAR" localSheetId="8">#REF!</definedName>
    <definedName name="GRABAR" localSheetId="7">#REF!</definedName>
    <definedName name="GRABAR">#REF!</definedName>
    <definedName name="GTO" localSheetId="8">#REF!</definedName>
    <definedName name="GTO" localSheetId="7">#REF!</definedName>
    <definedName name="GTO">#REF!</definedName>
    <definedName name="GTOSF">[6]RESULTADOS!#REF!</definedName>
    <definedName name="GUIA1">'[10]Borrador formulario oficial'!#REF!</definedName>
    <definedName name="GUIA2">'[10]Borrador formulario oficial'!#REF!</definedName>
    <definedName name="GUIA3">'[10]Borrador formulario oficial'!#REF!</definedName>
    <definedName name="HARDWARE" localSheetId="8">#REF!</definedName>
    <definedName name="HARDWARE" localSheetId="7">#REF!</definedName>
    <definedName name="HARDWARE">#REF!</definedName>
    <definedName name="HOJA" localSheetId="8">#REF!</definedName>
    <definedName name="HOJA" localSheetId="7">#REF!</definedName>
    <definedName name="HOJA">#REF!</definedName>
    <definedName name="HOJA1" localSheetId="8">#REF!</definedName>
    <definedName name="HOJA1" localSheetId="7">#REF!</definedName>
    <definedName name="HOJA1">#REF!</definedName>
    <definedName name="HOJA10" localSheetId="8">#REF!</definedName>
    <definedName name="HOJA10" localSheetId="7">#REF!</definedName>
    <definedName name="HOJA10">#REF!</definedName>
    <definedName name="HOJA10A" localSheetId="8">#REF!</definedName>
    <definedName name="HOJA10A" localSheetId="7">#REF!</definedName>
    <definedName name="HOJA10A">#REF!</definedName>
    <definedName name="HOJA10B" localSheetId="8">#REF!</definedName>
    <definedName name="HOJA10B" localSheetId="7">#REF!</definedName>
    <definedName name="HOJA10B">#REF!</definedName>
    <definedName name="HOJA11" localSheetId="8">#REF!</definedName>
    <definedName name="HOJA11" localSheetId="7">#REF!</definedName>
    <definedName name="HOJA11">#REF!</definedName>
    <definedName name="HOJA11A" localSheetId="8">#REF!</definedName>
    <definedName name="HOJA11A" localSheetId="7">#REF!</definedName>
    <definedName name="HOJA11A">#REF!</definedName>
    <definedName name="HOJA11B" localSheetId="8">#REF!</definedName>
    <definedName name="HOJA11B" localSheetId="7">#REF!</definedName>
    <definedName name="HOJA11B">#REF!</definedName>
    <definedName name="HOJA12" localSheetId="8">#REF!</definedName>
    <definedName name="HOJA12" localSheetId="7">#REF!</definedName>
    <definedName name="HOJA12">#REF!</definedName>
    <definedName name="HOJA12A" localSheetId="8">#REF!</definedName>
    <definedName name="HOJA12A" localSheetId="7">#REF!</definedName>
    <definedName name="HOJA12A">#REF!</definedName>
    <definedName name="HOJA12B" localSheetId="8">#REF!</definedName>
    <definedName name="HOJA12B" localSheetId="7">#REF!</definedName>
    <definedName name="HOJA12B">#REF!</definedName>
    <definedName name="HOJA13" localSheetId="8">#REF!</definedName>
    <definedName name="HOJA13" localSheetId="7">#REF!</definedName>
    <definedName name="HOJA13">#REF!</definedName>
    <definedName name="HOJA13A" localSheetId="8">#REF!</definedName>
    <definedName name="HOJA13A" localSheetId="7">#REF!</definedName>
    <definedName name="HOJA13A">#REF!</definedName>
    <definedName name="HOJA13B" localSheetId="8">#REF!</definedName>
    <definedName name="HOJA13B" localSheetId="7">#REF!</definedName>
    <definedName name="HOJA13B">#REF!</definedName>
    <definedName name="HOJA14" localSheetId="8">#REF!</definedName>
    <definedName name="HOJA14" localSheetId="7">#REF!</definedName>
    <definedName name="HOJA14">#REF!</definedName>
    <definedName name="HOJA14A" localSheetId="8">#REF!</definedName>
    <definedName name="HOJA14A" localSheetId="7">#REF!</definedName>
    <definedName name="HOJA14A">#REF!</definedName>
    <definedName name="HOJA14B" localSheetId="8">#REF!</definedName>
    <definedName name="HOJA14B" localSheetId="7">#REF!</definedName>
    <definedName name="HOJA14B">#REF!</definedName>
    <definedName name="HOJA15" localSheetId="8">#REF!</definedName>
    <definedName name="HOJA15" localSheetId="7">#REF!</definedName>
    <definedName name="HOJA15">#REF!</definedName>
    <definedName name="HOJA15A" localSheetId="8">#REF!</definedName>
    <definedName name="HOJA15A" localSheetId="7">#REF!</definedName>
    <definedName name="HOJA15A">#REF!</definedName>
    <definedName name="HOJA15B" localSheetId="8">#REF!</definedName>
    <definedName name="HOJA15B" localSheetId="7">#REF!</definedName>
    <definedName name="HOJA15B">#REF!</definedName>
    <definedName name="HOJA16" localSheetId="8">#REF!</definedName>
    <definedName name="HOJA16" localSheetId="7">#REF!</definedName>
    <definedName name="HOJA16">#REF!</definedName>
    <definedName name="HOJA16A" localSheetId="8">#REF!</definedName>
    <definedName name="HOJA16A" localSheetId="7">#REF!</definedName>
    <definedName name="HOJA16A">#REF!</definedName>
    <definedName name="HOJA16B" localSheetId="8">#REF!</definedName>
    <definedName name="HOJA16B" localSheetId="7">#REF!</definedName>
    <definedName name="HOJA16B">#REF!</definedName>
    <definedName name="HOJA17" localSheetId="8">#REF!</definedName>
    <definedName name="HOJA17" localSheetId="7">#REF!</definedName>
    <definedName name="HOJA17">#REF!</definedName>
    <definedName name="HOJA17A" localSheetId="8">#REF!</definedName>
    <definedName name="HOJA17A" localSheetId="7">#REF!</definedName>
    <definedName name="HOJA17A">#REF!</definedName>
    <definedName name="HOJA17B" localSheetId="8">#REF!</definedName>
    <definedName name="HOJA17B" localSheetId="7">#REF!</definedName>
    <definedName name="HOJA17B">#REF!</definedName>
    <definedName name="HOJA1A" localSheetId="8">#REF!</definedName>
    <definedName name="HOJA1A" localSheetId="7">#REF!</definedName>
    <definedName name="HOJA1A">#REF!</definedName>
    <definedName name="HOJA1B" localSheetId="8">#REF!</definedName>
    <definedName name="HOJA1B" localSheetId="7">#REF!</definedName>
    <definedName name="HOJA1B">#REF!</definedName>
    <definedName name="HOJA2" localSheetId="8">#REF!</definedName>
    <definedName name="HOJA2" localSheetId="7">#REF!</definedName>
    <definedName name="HOJA2">#REF!</definedName>
    <definedName name="HOJA2A" localSheetId="8">#REF!</definedName>
    <definedName name="HOJA2A" localSheetId="7">#REF!</definedName>
    <definedName name="HOJA2A">#REF!</definedName>
    <definedName name="HOJA2B" localSheetId="8">#REF!</definedName>
    <definedName name="HOJA2B" localSheetId="7">#REF!</definedName>
    <definedName name="HOJA2B">#REF!</definedName>
    <definedName name="HOJA3" localSheetId="8">#REF!</definedName>
    <definedName name="HOJA3" localSheetId="7">#REF!</definedName>
    <definedName name="HOJA3">#REF!</definedName>
    <definedName name="HOJA3A" localSheetId="8">#REF!</definedName>
    <definedName name="HOJA3A" localSheetId="7">#REF!</definedName>
    <definedName name="HOJA3A">#REF!</definedName>
    <definedName name="HOJA3B" localSheetId="8">#REF!</definedName>
    <definedName name="HOJA3B" localSheetId="7">#REF!</definedName>
    <definedName name="HOJA3B">#REF!</definedName>
    <definedName name="HOJA4" localSheetId="8">#REF!</definedName>
    <definedName name="HOJA4" localSheetId="7">#REF!</definedName>
    <definedName name="HOJA4">#REF!</definedName>
    <definedName name="HOJA5" localSheetId="8">#REF!</definedName>
    <definedName name="HOJA5" localSheetId="7">#REF!</definedName>
    <definedName name="HOJA5">#REF!</definedName>
    <definedName name="HOJA5A" localSheetId="8">#REF!</definedName>
    <definedName name="HOJA5A" localSheetId="7">#REF!</definedName>
    <definedName name="HOJA5A">#REF!</definedName>
    <definedName name="HOJA5B" localSheetId="8">#REF!</definedName>
    <definedName name="HOJA5B" localSheetId="7">#REF!</definedName>
    <definedName name="HOJA5B">#REF!</definedName>
    <definedName name="HOJA6" localSheetId="8">#REF!</definedName>
    <definedName name="HOJA6" localSheetId="7">#REF!</definedName>
    <definedName name="HOJA6">#REF!</definedName>
    <definedName name="HOJA6A" localSheetId="8">#REF!</definedName>
    <definedName name="HOJA6A" localSheetId="7">#REF!</definedName>
    <definedName name="HOJA6A">#REF!</definedName>
    <definedName name="HOJA6B" localSheetId="8">#REF!</definedName>
    <definedName name="HOJA6B" localSheetId="7">#REF!</definedName>
    <definedName name="HOJA6B">#REF!</definedName>
    <definedName name="HOJA7" localSheetId="8">#REF!</definedName>
    <definedName name="HOJA7" localSheetId="7">#REF!</definedName>
    <definedName name="HOJA7">#REF!</definedName>
    <definedName name="HOJA8" localSheetId="8">#REF!</definedName>
    <definedName name="HOJA8" localSheetId="7">#REF!</definedName>
    <definedName name="HOJA8">#REF!</definedName>
    <definedName name="HOJA8A" localSheetId="8">#REF!</definedName>
    <definedName name="HOJA8A" localSheetId="7">#REF!</definedName>
    <definedName name="HOJA8A">#REF!</definedName>
    <definedName name="HOJA8B" localSheetId="8">#REF!</definedName>
    <definedName name="HOJA8B" localSheetId="7">#REF!</definedName>
    <definedName name="HOJA8B">#REF!</definedName>
    <definedName name="HOJA9" localSheetId="8">#REF!</definedName>
    <definedName name="HOJA9" localSheetId="7">#REF!</definedName>
    <definedName name="HOJA9">#REF!</definedName>
    <definedName name="HORA" localSheetId="8">#REF!</definedName>
    <definedName name="HORA" localSheetId="7">#REF!</definedName>
    <definedName name="HORA">#REF!</definedName>
    <definedName name="hugo" localSheetId="8">#REF!</definedName>
    <definedName name="hugo" localSheetId="7">#REF!</definedName>
    <definedName name="hugo">#REF!</definedName>
    <definedName name="HUGO2" localSheetId="8">#REF!</definedName>
    <definedName name="HUGO2" localSheetId="7">#REF!</definedName>
    <definedName name="HUGO2">#REF!</definedName>
    <definedName name="i">[8]Hoja1!$A$2:$B$44</definedName>
    <definedName name="IMP" localSheetId="8">#REF!</definedName>
    <definedName name="IMP" localSheetId="7">#REF!</definedName>
    <definedName name="IMP">#REF!</definedName>
    <definedName name="IMPRESION" localSheetId="8">#REF!</definedName>
    <definedName name="IMPRESION" localSheetId="7">#REF!</definedName>
    <definedName name="IMPRESION">#REF!</definedName>
    <definedName name="IMPRESION1" localSheetId="8">#REF!</definedName>
    <definedName name="IMPRESION1" localSheetId="7">#REF!</definedName>
    <definedName name="IMPRESION1">#REF!</definedName>
    <definedName name="INCRNGO" localSheetId="8">#REF!</definedName>
    <definedName name="INCRNGO" localSheetId="7">#REF!</definedName>
    <definedName name="INCRNGO">#REF!</definedName>
    <definedName name="INCRNGO1" localSheetId="8">#REF!</definedName>
    <definedName name="INCRNGO1" localSheetId="7">#REF!</definedName>
    <definedName name="INCRNGO1">#REF!</definedName>
    <definedName name="INCRNGOA" localSheetId="8">#REF!</definedName>
    <definedName name="INCRNGOA" localSheetId="7">#REF!</definedName>
    <definedName name="INCRNGOA">#REF!</definedName>
    <definedName name="INCRNGOY" localSheetId="8">#REF!</definedName>
    <definedName name="INCRNGOY" localSheetId="7">#REF!</definedName>
    <definedName name="INCRNGOY">#REF!</definedName>
    <definedName name="INCRNGOZ" localSheetId="8">#REF!</definedName>
    <definedName name="INCRNGOZ" localSheetId="7">#REF!</definedName>
    <definedName name="INCRNGOZ">#REF!</definedName>
    <definedName name="INDEM" localSheetId="8">#REF!</definedName>
    <definedName name="INDEM" localSheetId="7">#REF!</definedName>
    <definedName name="INDEM">#REF!</definedName>
    <definedName name="ING" localSheetId="8">#REF!</definedName>
    <definedName name="ING" localSheetId="7">#REF!</definedName>
    <definedName name="ING">#REF!</definedName>
    <definedName name="ingres_1" localSheetId="8">#REF!</definedName>
    <definedName name="ingres_1" localSheetId="7">#REF!</definedName>
    <definedName name="ingres_1">#REF!</definedName>
    <definedName name="ingreso" localSheetId="8">#REF!</definedName>
    <definedName name="ingreso" localSheetId="7">#REF!</definedName>
    <definedName name="ingreso">#REF!</definedName>
    <definedName name="INGRESOS1" localSheetId="8">#REF!</definedName>
    <definedName name="INGRESOS1" localSheetId="7">#REF!</definedName>
    <definedName name="INGRESOS1">#REF!</definedName>
    <definedName name="INGRESOS1A" localSheetId="8">#REF!</definedName>
    <definedName name="INGRESOS1A" localSheetId="7">#REF!</definedName>
    <definedName name="INGRESOS1A">#REF!</definedName>
    <definedName name="INGRESOS1B" localSheetId="8">#REF!</definedName>
    <definedName name="INGRESOS1B" localSheetId="7">#REF!</definedName>
    <definedName name="INGRESOS1B">#REF!</definedName>
    <definedName name="INGRESOSA" localSheetId="8">#REF!</definedName>
    <definedName name="INGRESOSA" localSheetId="7">#REF!</definedName>
    <definedName name="INGRESOSA">#REF!</definedName>
    <definedName name="INGRESOSB" localSheetId="8">#REF!</definedName>
    <definedName name="INGRESOSB" localSheetId="7">#REF!</definedName>
    <definedName name="INGRESOSB">#REF!</definedName>
    <definedName name="ingresosnetos1">[12]RETENCION!#REF!</definedName>
    <definedName name="INI" localSheetId="8">#REF!</definedName>
    <definedName name="INI" localSheetId="7">#REF!</definedName>
    <definedName name="INI">#REF!</definedName>
    <definedName name="INMUEBLE" localSheetId="8">#REF!</definedName>
    <definedName name="INMUEBLE" localSheetId="7">#REF!</definedName>
    <definedName name="INMUEBLE">#REF!</definedName>
    <definedName name="INTERESP" localSheetId="8">#REF!</definedName>
    <definedName name="INTERESP" localSheetId="7">#REF!</definedName>
    <definedName name="INTERESP">#REF!</definedName>
    <definedName name="INTPRE" localSheetId="8">'[14]GASTOS EN EL EXTERIOR'!#REF!</definedName>
    <definedName name="INTPRE" localSheetId="7">'[14]GASTOS EN EL EXTERIOR'!#REF!</definedName>
    <definedName name="INTPRE">'[14]GASTOS EN EL EXTERIOR'!#REF!</definedName>
    <definedName name="ISLRG" localSheetId="8">#REF!</definedName>
    <definedName name="ISLRG" localSheetId="7">#REF!</definedName>
    <definedName name="ISLRG">#REF!</definedName>
    <definedName name="IVA" localSheetId="8">'[15]planil. Iva'!#REF!</definedName>
    <definedName name="IVA" localSheetId="7">'[15]planil. Iva'!#REF!</definedName>
    <definedName name="IVA">'[15]planil. Iva'!#REF!</definedName>
    <definedName name="IVA_DES" localSheetId="8">#REF!</definedName>
    <definedName name="IVA_DES" localSheetId="7">#REF!</definedName>
    <definedName name="IVA_DES">#REF!</definedName>
    <definedName name="IVA1.6">[1]Formulario!$U$51</definedName>
    <definedName name="JORGE" localSheetId="8">#REF!</definedName>
    <definedName name="JORGE" localSheetId="7">#REF!</definedName>
    <definedName name="JORGE">#REF!</definedName>
    <definedName name="K" localSheetId="8">#REF!</definedName>
    <definedName name="K" localSheetId="7">#REF!</definedName>
    <definedName name="K">#REF!</definedName>
    <definedName name="KKKKK" localSheetId="8">#REF!</definedName>
    <definedName name="KKKKK" localSheetId="7">#REF!</definedName>
    <definedName name="KKKKK">#REF!</definedName>
    <definedName name="LIMITE" localSheetId="8">#REF!</definedName>
    <definedName name="LIMITE" localSheetId="7">#REF!</definedName>
    <definedName name="LIMITE">#REF!</definedName>
    <definedName name="LLLLL">[6]RESULTADOS!#REF!</definedName>
    <definedName name="llllll" localSheetId="8">#REF!</definedName>
    <definedName name="llllll" localSheetId="7">#REF!</definedName>
    <definedName name="llllll">#REF!</definedName>
    <definedName name="LLLLLLLLLLLL">[6]RESULTADOS!#REF!</definedName>
    <definedName name="MACRO" localSheetId="8">#REF!</definedName>
    <definedName name="MACRO" localSheetId="7">#REF!</definedName>
    <definedName name="MACRO">#REF!</definedName>
    <definedName name="MACRO1" localSheetId="8">#REF!</definedName>
    <definedName name="MACRO1" localSheetId="7">#REF!</definedName>
    <definedName name="MACRO1">#REF!</definedName>
    <definedName name="MENSAJE" localSheetId="8">#REF!</definedName>
    <definedName name="MENSAJE" localSheetId="7">#REF!</definedName>
    <definedName name="MENSAJE">#REF!</definedName>
    <definedName name="MENU0" localSheetId="8">#REF!</definedName>
    <definedName name="MENU0" localSheetId="7">#REF!</definedName>
    <definedName name="MENU0">#REF!</definedName>
    <definedName name="MENU1" localSheetId="8">#REF!</definedName>
    <definedName name="MENU1" localSheetId="7">#REF!</definedName>
    <definedName name="MENU1">#REF!</definedName>
    <definedName name="MENU1A">'[7]Reserva de cartera'!#REF!</definedName>
    <definedName name="MENU1A1" localSheetId="8">#REF!</definedName>
    <definedName name="MENU1A1" localSheetId="7">#REF!</definedName>
    <definedName name="MENU1A1">#REF!</definedName>
    <definedName name="MENU1C" localSheetId="8">#REF!</definedName>
    <definedName name="MENU1C" localSheetId="7">#REF!</definedName>
    <definedName name="MENU1C">#REF!</definedName>
    <definedName name="MENU1D" localSheetId="8">#REF!</definedName>
    <definedName name="MENU1D" localSheetId="7">#REF!</definedName>
    <definedName name="MENU1D">#REF!</definedName>
    <definedName name="MENU1G" localSheetId="8">#REF!</definedName>
    <definedName name="MENU1G" localSheetId="7">#REF!</definedName>
    <definedName name="MENU1G">#REF!</definedName>
    <definedName name="MENU2" localSheetId="8">#REF!</definedName>
    <definedName name="MENU2" localSheetId="7">#REF!</definedName>
    <definedName name="MENU2">#REF!</definedName>
    <definedName name="MENU2A" localSheetId="8">#REF!</definedName>
    <definedName name="MENU2A" localSheetId="7">#REF!</definedName>
    <definedName name="MENU2A">#REF!</definedName>
    <definedName name="MENU2B" localSheetId="8">#REF!</definedName>
    <definedName name="MENU2B" localSheetId="7">#REF!</definedName>
    <definedName name="MENU2B">#REF!</definedName>
    <definedName name="MENU3A" localSheetId="8">#REF!</definedName>
    <definedName name="MENU3A" localSheetId="7">#REF!</definedName>
    <definedName name="MENU3A">#REF!</definedName>
    <definedName name="MENU3B" localSheetId="8">#REF!</definedName>
    <definedName name="MENU3B" localSheetId="7">#REF!</definedName>
    <definedName name="MENU3B">#REF!</definedName>
    <definedName name="MENU3C" localSheetId="8">#REF!</definedName>
    <definedName name="MENU3C" localSheetId="7">#REF!</definedName>
    <definedName name="MENU3C">#REF!</definedName>
    <definedName name="MENU4" localSheetId="8">#REF!</definedName>
    <definedName name="MENU4" localSheetId="7">#REF!</definedName>
    <definedName name="MENU4">#REF!</definedName>
    <definedName name="MENU5" localSheetId="8">#REF!</definedName>
    <definedName name="MENU5" localSheetId="7">#REF!</definedName>
    <definedName name="MENU5">#REF!</definedName>
    <definedName name="MENUIB" localSheetId="8">#REF!</definedName>
    <definedName name="MENUIB" localSheetId="7">#REF!</definedName>
    <definedName name="MENUIB">#REF!</definedName>
    <definedName name="MICROCOMPUTADORES" localSheetId="8">#REF!</definedName>
    <definedName name="MICROCOMPUTADORES" localSheetId="7">#REF!</definedName>
    <definedName name="MICROCOMPUTADORES">#REF!</definedName>
    <definedName name="MONICA" localSheetId="8">#REF!</definedName>
    <definedName name="MONICA" localSheetId="7">#REF!</definedName>
    <definedName name="MONICA">#REF!</definedName>
    <definedName name="MONICA2" localSheetId="8">#REF!</definedName>
    <definedName name="MONICA2" localSheetId="7">#REF!</definedName>
    <definedName name="MONICA2">#REF!</definedName>
    <definedName name="MONICA3" localSheetId="8">#REF!</definedName>
    <definedName name="MONICA3" localSheetId="7">#REF!</definedName>
    <definedName name="MONICA3">#REF!</definedName>
    <definedName name="monica5" localSheetId="8">#REF!</definedName>
    <definedName name="monica5" localSheetId="7">#REF!</definedName>
    <definedName name="monica5">#REF!</definedName>
    <definedName name="NOTA10" localSheetId="8">#REF!</definedName>
    <definedName name="NOTA10" localSheetId="7">#REF!</definedName>
    <definedName name="NOTA10">#REF!</definedName>
    <definedName name="NUEVE" localSheetId="8">#REF!</definedName>
    <definedName name="NUEVE" localSheetId="7">#REF!</definedName>
    <definedName name="NUEVE">#REF!</definedName>
    <definedName name="O_DESC" localSheetId="8">#REF!</definedName>
    <definedName name="O_DESC" localSheetId="7">#REF!</definedName>
    <definedName name="O_DESC">#REF!</definedName>
    <definedName name="occidente" localSheetId="8">#REF!</definedName>
    <definedName name="occidente" localSheetId="7">#REF!</definedName>
    <definedName name="occidente">#REF!</definedName>
    <definedName name="OCHO" localSheetId="8">#REF!</definedName>
    <definedName name="OCHO" localSheetId="7">#REF!</definedName>
    <definedName name="OCHO">#REF!</definedName>
    <definedName name="ok">'[16]cruce diciembre sandra'!#REF!</definedName>
    <definedName name="ONCE" localSheetId="8">#REF!</definedName>
    <definedName name="ONCE" localSheetId="7">#REF!</definedName>
    <definedName name="ONCE">#REF!</definedName>
    <definedName name="otrasexentasD">'[4]1- DATOS INICIALES'!$E$430</definedName>
    <definedName name="OTRASVAL4" localSheetId="8">#REF!</definedName>
    <definedName name="OTRASVAL4" localSheetId="7">#REF!</definedName>
    <definedName name="OTRASVAL4">#REF!</definedName>
    <definedName name="P1_" localSheetId="8">#REF!</definedName>
    <definedName name="P1_" localSheetId="7">#REF!</definedName>
    <definedName name="P1_">#REF!</definedName>
    <definedName name="paag" localSheetId="8">#REF!</definedName>
    <definedName name="paag" localSheetId="7">#REF!</definedName>
    <definedName name="paag">#REF!</definedName>
    <definedName name="page4" localSheetId="8">#REF!</definedName>
    <definedName name="page4" localSheetId="7">#REF!</definedName>
    <definedName name="page4">#REF!</definedName>
    <definedName name="page5">'[10]Datos de entrada'!#REF!</definedName>
    <definedName name="pagosB">'[4]1- DATOS INICIALES'!$E$302</definedName>
    <definedName name="pagosF">'[4]1- DATOS INICIALES'!$E$306</definedName>
    <definedName name="PAS" localSheetId="8">#REF!</definedName>
    <definedName name="PAS" localSheetId="7">#REF!</definedName>
    <definedName name="PAS">#REF!</definedName>
    <definedName name="PASIVO" localSheetId="8">#REF!</definedName>
    <definedName name="PASIVO" localSheetId="7">#REF!</definedName>
    <definedName name="PASIVO">#REF!</definedName>
    <definedName name="PASIVO1" localSheetId="8">#REF!</definedName>
    <definedName name="PASIVO1" localSheetId="7">#REF!</definedName>
    <definedName name="PASIVO1">#REF!</definedName>
    <definedName name="PASIVO1A" localSheetId="8">#REF!</definedName>
    <definedName name="PASIVO1A" localSheetId="7">#REF!</definedName>
    <definedName name="PASIVO1A">#REF!</definedName>
    <definedName name="PASIVOA" localSheetId="8">#REF!</definedName>
    <definedName name="PASIVOA" localSheetId="7">#REF!</definedName>
    <definedName name="PASIVOA">#REF!</definedName>
    <definedName name="PAT" localSheetId="8">#REF!</definedName>
    <definedName name="PAT" localSheetId="7">#REF!</definedName>
    <definedName name="PAT">#REF!</definedName>
    <definedName name="PATANTE" localSheetId="8">#REF!</definedName>
    <definedName name="PATANTE" localSheetId="7">#REF!</definedName>
    <definedName name="PATANTE">#REF!</definedName>
    <definedName name="PATRI" localSheetId="8">#REF!</definedName>
    <definedName name="PATRI" localSheetId="7">#REF!</definedName>
    <definedName name="PATRI">#REF!</definedName>
    <definedName name="PATRI1" localSheetId="8">#REF!</definedName>
    <definedName name="PATRI1" localSheetId="7">#REF!</definedName>
    <definedName name="PATRI1">#REF!</definedName>
    <definedName name="PATRICI" localSheetId="8">#REF!</definedName>
    <definedName name="PATRICI" localSheetId="7">#REF!</definedName>
    <definedName name="PATRICI">#REF!</definedName>
    <definedName name="PATRILIQ" localSheetId="8">#REF!</definedName>
    <definedName name="PATRILIQ" localSheetId="7">#REF!</definedName>
    <definedName name="PATRILIQ">#REF!</definedName>
    <definedName name="PATRIMONIO" localSheetId="8">#REF!</definedName>
    <definedName name="PATRIMONIO" localSheetId="7">#REF!</definedName>
    <definedName name="PATRIMONIO">#REF!</definedName>
    <definedName name="PATRIMONIO1" localSheetId="8">#REF!</definedName>
    <definedName name="PATRIMONIO1" localSheetId="7">#REF!</definedName>
    <definedName name="PATRIMONIO1">#REF!</definedName>
    <definedName name="PATRIMONIO1A" localSheetId="8">#REF!</definedName>
    <definedName name="PATRIMONIO1A" localSheetId="7">#REF!</definedName>
    <definedName name="PATRIMONIO1A">#REF!</definedName>
    <definedName name="PATRIMONIOA" localSheetId="8">#REF!</definedName>
    <definedName name="PATRIMONIOA" localSheetId="7">#REF!</definedName>
    <definedName name="PATRIMONIOA">#REF!</definedName>
    <definedName name="PERDID" localSheetId="8">#REF!</definedName>
    <definedName name="PERDID" localSheetId="7">#REF!</definedName>
    <definedName name="PERDID">#REF!</definedName>
    <definedName name="PERDID1" localSheetId="8">#REF!</definedName>
    <definedName name="PERDID1" localSheetId="7">#REF!</definedName>
    <definedName name="PERDID1">#REF!</definedName>
    <definedName name="PERDID2" localSheetId="8">#REF!</definedName>
    <definedName name="PERDID2" localSheetId="7">#REF!</definedName>
    <definedName name="PERDID2">#REF!</definedName>
    <definedName name="PERDIDAND" localSheetId="8">#REF!</definedName>
    <definedName name="PERDIDAND" localSheetId="7">#REF!</definedName>
    <definedName name="PERDIDAND">#REF!</definedName>
    <definedName name="PERDIDAS" localSheetId="8">#REF!</definedName>
    <definedName name="PERDIDAS" localSheetId="7">#REF!</definedName>
    <definedName name="PERDIDAS">#REF!</definedName>
    <definedName name="perdidasf" localSheetId="8">#REF!</definedName>
    <definedName name="perdidasf" localSheetId="7">#REF!</definedName>
    <definedName name="perdidasf">#REF!</definedName>
    <definedName name="PF" localSheetId="8">#REF!</definedName>
    <definedName name="PF" localSheetId="7">#REF!</definedName>
    <definedName name="PF">#REF!</definedName>
    <definedName name="PLANTAAB2003">[17]Hoja1!$A$2:$B$44</definedName>
    <definedName name="PORTADA" localSheetId="8">#REF!</definedName>
    <definedName name="PORTADA" localSheetId="7">#REF!</definedName>
    <definedName name="PORTADA">#REF!</definedName>
    <definedName name="PREGUNTA" localSheetId="8">#REF!</definedName>
    <definedName name="PREGUNTA" localSheetId="7">#REF!</definedName>
    <definedName name="PREGUNTA">#REF!</definedName>
    <definedName name="presuntivaB">'[4]4 CÁLCULOS PRESUNT-ANTICIP.'!$D$23</definedName>
    <definedName name="Print_Area_MI" localSheetId="8">#REF!</definedName>
    <definedName name="Print_Area_MI" localSheetId="7">#REF!</definedName>
    <definedName name="Print_Area_MI">#REF!</definedName>
    <definedName name="Print_Titles_MI" localSheetId="8">#REF!</definedName>
    <definedName name="Print_Titles_MI" localSheetId="7">#REF!</definedName>
    <definedName name="Print_Titles_MI">#REF!</definedName>
    <definedName name="PROBLEMA" localSheetId="8">#REF!</definedName>
    <definedName name="PROBLEMA" localSheetId="7">#REF!</definedName>
    <definedName name="PROBLEMA">#REF!</definedName>
    <definedName name="PROV" localSheetId="8">[18]Hoja2!#REF!</definedName>
    <definedName name="PROV" localSheetId="7">[18]Hoja2!#REF!</definedName>
    <definedName name="PROV">[18]Hoja2!#REF!</definedName>
    <definedName name="provee" localSheetId="8">'[16]cruce diciembre sandra'!#REF!</definedName>
    <definedName name="provee" localSheetId="7">'[16]cruce diciembre sandra'!#REF!</definedName>
    <definedName name="provee">'[16]cruce diciembre sandra'!#REF!</definedName>
    <definedName name="proveed" localSheetId="8">'[16]cruce diciembre sandra'!#REF!</definedName>
    <definedName name="proveed" localSheetId="7">'[16]cruce diciembre sandra'!#REF!</definedName>
    <definedName name="proveed">'[16]cruce diciembre sandra'!#REF!</definedName>
    <definedName name="PROVISION" localSheetId="8">#REF!</definedName>
    <definedName name="PROVISION" localSheetId="7">#REF!</definedName>
    <definedName name="PROVISION">#REF!</definedName>
    <definedName name="PROVISION1" localSheetId="8">#REF!</definedName>
    <definedName name="PROVISION1" localSheetId="7">#REF!</definedName>
    <definedName name="PROVISION1">#REF!</definedName>
    <definedName name="PROVITRAN" localSheetId="8">#REF!</definedName>
    <definedName name="PROVITRAN" localSheetId="7">#REF!</definedName>
    <definedName name="PROVITRAN">#REF!</definedName>
    <definedName name="PUC" localSheetId="8">#REF!</definedName>
    <definedName name="PUC" localSheetId="7">#REF!</definedName>
    <definedName name="PUC">#REF!</definedName>
    <definedName name="PYG" localSheetId="8">#REF!</definedName>
    <definedName name="PYG" localSheetId="7">#REF!</definedName>
    <definedName name="PYG">#REF!</definedName>
    <definedName name="PYGA" localSheetId="8">#REF!</definedName>
    <definedName name="PYGA" localSheetId="7">#REF!</definedName>
    <definedName name="PYGA">#REF!</definedName>
    <definedName name="PYGA1" localSheetId="8">#REF!</definedName>
    <definedName name="PYGA1" localSheetId="7">#REF!</definedName>
    <definedName name="PYGA1">#REF!</definedName>
    <definedName name="Q" localSheetId="8">#REF!</definedName>
    <definedName name="Q" localSheetId="7">#REF!</definedName>
    <definedName name="Q">#REF!</definedName>
    <definedName name="QUINCE" localSheetId="8">#REF!</definedName>
    <definedName name="QUINCE" localSheetId="7">#REF!</definedName>
    <definedName name="QUINCE">#REF!</definedName>
    <definedName name="RANGO" localSheetId="8">#REF!</definedName>
    <definedName name="RANGO" localSheetId="7">#REF!</definedName>
    <definedName name="RANGO">#REF!</definedName>
    <definedName name="RECLAS" localSheetId="8">#REF!</definedName>
    <definedName name="RECLAS" localSheetId="7">#REF!</definedName>
    <definedName name="RECLAS">#REF!</definedName>
    <definedName name="RECLASI" localSheetId="8">#REF!</definedName>
    <definedName name="RECLASI" localSheetId="7">#REF!</definedName>
    <definedName name="RECLASI">#REF!</definedName>
    <definedName name="RECLASI1" localSheetId="8">#REF!</definedName>
    <definedName name="RECLASI1" localSheetId="7">#REF!</definedName>
    <definedName name="RECLASI1">#REF!</definedName>
    <definedName name="RECLASI2" localSheetId="8">#REF!</definedName>
    <definedName name="RECLASI2" localSheetId="7">#REF!</definedName>
    <definedName name="RECLASI2">#REF!</definedName>
    <definedName name="remesas" localSheetId="8">#REF!</definedName>
    <definedName name="remesas" localSheetId="7">#REF!</definedName>
    <definedName name="remesas">#REF!</definedName>
    <definedName name="remesas1" localSheetId="8">#REF!</definedName>
    <definedName name="remesas1" localSheetId="7">#REF!</definedName>
    <definedName name="remesas1">#REF!</definedName>
    <definedName name="REMESAS2" localSheetId="8">#REF!</definedName>
    <definedName name="REMESAS2" localSheetId="7">#REF!</definedName>
    <definedName name="REMESAS2">#REF!</definedName>
    <definedName name="remesas3" localSheetId="8">#REF!</definedName>
    <definedName name="remesas3" localSheetId="7">#REF!</definedName>
    <definedName name="remesas3">#REF!</definedName>
    <definedName name="REMODELACIONES" localSheetId="8">#REF!</definedName>
    <definedName name="REMODELACIONES" localSheetId="7">#REF!</definedName>
    <definedName name="REMODELACIONES">#REF!</definedName>
    <definedName name="RENGLON1" localSheetId="8">#REF!</definedName>
    <definedName name="RENGLON1" localSheetId="7">#REF!</definedName>
    <definedName name="RENGLON1">#REF!</definedName>
    <definedName name="RENGLON10" localSheetId="8">#REF!</definedName>
    <definedName name="RENGLON10" localSheetId="7">#REF!</definedName>
    <definedName name="RENGLON10">#REF!</definedName>
    <definedName name="RENGLON11" localSheetId="8">#REF!</definedName>
    <definedName name="RENGLON11" localSheetId="7">#REF!</definedName>
    <definedName name="RENGLON11">#REF!</definedName>
    <definedName name="RENGLON12" localSheetId="8">#REF!</definedName>
    <definedName name="RENGLON12" localSheetId="7">#REF!</definedName>
    <definedName name="RENGLON12">#REF!</definedName>
    <definedName name="RENGLON13" localSheetId="8">#REF!</definedName>
    <definedName name="RENGLON13" localSheetId="7">#REF!</definedName>
    <definedName name="RENGLON13">#REF!</definedName>
    <definedName name="RENGLON14" localSheetId="8">#REF!</definedName>
    <definedName name="RENGLON14" localSheetId="7">#REF!</definedName>
    <definedName name="RENGLON14">#REF!</definedName>
    <definedName name="RENGLON15" localSheetId="8">#REF!</definedName>
    <definedName name="RENGLON15" localSheetId="7">#REF!</definedName>
    <definedName name="RENGLON15">#REF!</definedName>
    <definedName name="RENGLON16" localSheetId="8">#REF!</definedName>
    <definedName name="RENGLON16" localSheetId="7">#REF!</definedName>
    <definedName name="RENGLON16">#REF!</definedName>
    <definedName name="RENGLON17" localSheetId="8">#REF!</definedName>
    <definedName name="RENGLON17" localSheetId="7">#REF!</definedName>
    <definedName name="RENGLON17">#REF!</definedName>
    <definedName name="RENGLON19" localSheetId="8">#REF!</definedName>
    <definedName name="RENGLON19" localSheetId="7">#REF!</definedName>
    <definedName name="RENGLON19">#REF!</definedName>
    <definedName name="RENGLON2" localSheetId="8">#REF!</definedName>
    <definedName name="RENGLON2" localSheetId="7">#REF!</definedName>
    <definedName name="RENGLON2">#REF!</definedName>
    <definedName name="RENGLON20" localSheetId="8">#REF!</definedName>
    <definedName name="RENGLON20" localSheetId="7">#REF!</definedName>
    <definedName name="RENGLON20">#REF!</definedName>
    <definedName name="RENGLON21" localSheetId="8">#REF!</definedName>
    <definedName name="RENGLON21" localSheetId="7">#REF!</definedName>
    <definedName name="RENGLON21">#REF!</definedName>
    <definedName name="RENGLON22" localSheetId="8">#REF!</definedName>
    <definedName name="RENGLON22" localSheetId="7">#REF!</definedName>
    <definedName name="RENGLON22">#REF!</definedName>
    <definedName name="RENGLON23" localSheetId="8">#REF!</definedName>
    <definedName name="RENGLON23" localSheetId="7">#REF!</definedName>
    <definedName name="RENGLON23">#REF!</definedName>
    <definedName name="RENGLON24" localSheetId="8">#REF!</definedName>
    <definedName name="RENGLON24" localSheetId="7">#REF!</definedName>
    <definedName name="RENGLON24">#REF!</definedName>
    <definedName name="RENGLON25" localSheetId="8">#REF!</definedName>
    <definedName name="RENGLON25" localSheetId="7">#REF!</definedName>
    <definedName name="RENGLON25">#REF!</definedName>
    <definedName name="RENGLON26" localSheetId="8">#REF!</definedName>
    <definedName name="RENGLON26" localSheetId="7">#REF!</definedName>
    <definedName name="RENGLON26">#REF!</definedName>
    <definedName name="RENGLON27" localSheetId="8">#REF!</definedName>
    <definedName name="RENGLON27" localSheetId="7">#REF!</definedName>
    <definedName name="RENGLON27">#REF!</definedName>
    <definedName name="RENGLON28" localSheetId="8">#REF!</definedName>
    <definedName name="RENGLON28" localSheetId="7">#REF!</definedName>
    <definedName name="RENGLON28">#REF!</definedName>
    <definedName name="renglon3" localSheetId="8">#REF!</definedName>
    <definedName name="renglon3" localSheetId="7">#REF!</definedName>
    <definedName name="renglon3">#REF!</definedName>
    <definedName name="RENGLON34" localSheetId="8">#REF!</definedName>
    <definedName name="RENGLON34" localSheetId="7">#REF!</definedName>
    <definedName name="RENGLON34">#REF!</definedName>
    <definedName name="RENGLON4" localSheetId="8">#REF!</definedName>
    <definedName name="RENGLON4" localSheetId="7">#REF!</definedName>
    <definedName name="RENGLON4">#REF!</definedName>
    <definedName name="RENGLON41" localSheetId="8">#REF!</definedName>
    <definedName name="RENGLON41" localSheetId="7">#REF!</definedName>
    <definedName name="RENGLON41">#REF!</definedName>
    <definedName name="RENGLON5" localSheetId="8">#REF!</definedName>
    <definedName name="RENGLON5" localSheetId="7">#REF!</definedName>
    <definedName name="RENGLON5">#REF!</definedName>
    <definedName name="RENGLON6" localSheetId="8">#REF!</definedName>
    <definedName name="RENGLON6" localSheetId="7">#REF!</definedName>
    <definedName name="RENGLON6">#REF!</definedName>
    <definedName name="RENGLON7" localSheetId="8">#REF!</definedName>
    <definedName name="RENGLON7" localSheetId="7">#REF!</definedName>
    <definedName name="RENGLON7">#REF!</definedName>
    <definedName name="RENGLON8" localSheetId="8">#REF!</definedName>
    <definedName name="RENGLON8" localSheetId="7">#REF!</definedName>
    <definedName name="RENGLON8">#REF!</definedName>
    <definedName name="RENGLON9" localSheetId="8">#REF!</definedName>
    <definedName name="RENGLON9" localSheetId="7">#REF!</definedName>
    <definedName name="RENGLON9">#REF!</definedName>
    <definedName name="RENGOL29" localSheetId="8">#REF!</definedName>
    <definedName name="RENGOL29" localSheetId="7">#REF!</definedName>
    <definedName name="RENGOL29">#REF!</definedName>
    <definedName name="RENTAP" localSheetId="8">#REF!</definedName>
    <definedName name="RENTAP" localSheetId="7">#REF!</definedName>
    <definedName name="RENTAP">#REF!</definedName>
    <definedName name="RENTAP0" localSheetId="8">#REF!</definedName>
    <definedName name="RENTAP0" localSheetId="7">#REF!</definedName>
    <definedName name="RENTAP0">#REF!</definedName>
    <definedName name="RENTAP1" localSheetId="8">#REF!</definedName>
    <definedName name="RENTAP1" localSheetId="7">#REF!</definedName>
    <definedName name="RENTAP1">#REF!</definedName>
    <definedName name="RENTAP2" localSheetId="8">#REF!</definedName>
    <definedName name="RENTAP2" localSheetId="7">#REF!</definedName>
    <definedName name="RENTAP2">#REF!</definedName>
    <definedName name="RENTAPH" localSheetId="8">#REF!</definedName>
    <definedName name="RENTAPH" localSheetId="7">#REF!</definedName>
    <definedName name="RENTAPH">#REF!</definedName>
    <definedName name="REPARTO" localSheetId="8">#REF!</definedName>
    <definedName name="REPARTO" localSheetId="7">#REF!</definedName>
    <definedName name="REPARTO">#REF!</definedName>
    <definedName name="RETENCIONES" localSheetId="8">#REF!</definedName>
    <definedName name="RETENCIONES" localSheetId="7">#REF!</definedName>
    <definedName name="RETENCIONES">#REF!</definedName>
    <definedName name="rlíquidaB" localSheetId="8">#REF!</definedName>
    <definedName name="rlíquidaB" localSheetId="7">#REF!</definedName>
    <definedName name="rlíquidaB">#REF!</definedName>
    <definedName name="RP" localSheetId="8">#REF!</definedName>
    <definedName name="RP" localSheetId="7">#REF!</definedName>
    <definedName name="RP">#REF!</definedName>
    <definedName name="RPP" localSheetId="8">#REF!</definedName>
    <definedName name="RPP" localSheetId="7">#REF!</definedName>
    <definedName name="RPP">#REF!</definedName>
    <definedName name="RTAPP">'[10]Renta Presuntiva'!$J$70</definedName>
    <definedName name="RTEFTE">'[10]Datos de entrada'!#REF!</definedName>
    <definedName name="RWER" localSheetId="8">#REF!</definedName>
    <definedName name="RWER" localSheetId="7">#REF!</definedName>
    <definedName name="RWER">#REF!</definedName>
    <definedName name="S" localSheetId="8">#REF!</definedName>
    <definedName name="S" localSheetId="7">#REF!</definedName>
    <definedName name="S">#REF!</definedName>
    <definedName name="SALECONTRA" localSheetId="8">#REF!</definedName>
    <definedName name="SALECONTRA" localSheetId="7">#REF!</definedName>
    <definedName name="SALECONTRA">#REF!</definedName>
    <definedName name="sanciones4">'[4]1- DATOS INICIALES'!$E$305</definedName>
    <definedName name="SANDRA" localSheetId="8">#REF!</definedName>
    <definedName name="SANDRA" localSheetId="7">#REF!</definedName>
    <definedName name="SANDRA">#REF!</definedName>
    <definedName name="SEIS" localSheetId="8">#REF!</definedName>
    <definedName name="SEIS" localSheetId="7">#REF!</definedName>
    <definedName name="SEIS">#REF!</definedName>
    <definedName name="SEIS_A" localSheetId="8">#REF!</definedName>
    <definedName name="SEIS_A" localSheetId="7">#REF!</definedName>
    <definedName name="SEIS_A">#REF!</definedName>
    <definedName name="SEIS_B" localSheetId="8">#REF!</definedName>
    <definedName name="SEIS_B" localSheetId="7">#REF!</definedName>
    <definedName name="SEIS_B">#REF!</definedName>
    <definedName name="SEISA" localSheetId="8">#REF!</definedName>
    <definedName name="SEISA" localSheetId="7">#REF!</definedName>
    <definedName name="SEISA">#REF!</definedName>
    <definedName name="SEISB" localSheetId="8">#REF!</definedName>
    <definedName name="SEISB" localSheetId="7">#REF!</definedName>
    <definedName name="SEISB">#REF!</definedName>
    <definedName name="SETUP" localSheetId="8">#REF!</definedName>
    <definedName name="SETUP" localSheetId="7">#REF!</definedName>
    <definedName name="SETUP">#REF!</definedName>
    <definedName name="SIETE" localSheetId="8">#REF!</definedName>
    <definedName name="SIETE" localSheetId="7">#REF!</definedName>
    <definedName name="SIETE">#REF!</definedName>
    <definedName name="SINEB" localSheetId="8">#REF!</definedName>
    <definedName name="SINEB" localSheetId="7">#REF!</definedName>
    <definedName name="SINEB">#REF!</definedName>
    <definedName name="SOFTWARE" localSheetId="8">#REF!</definedName>
    <definedName name="SOFTWARE" localSheetId="7">#REF!</definedName>
    <definedName name="SOFTWARE">#REF!</definedName>
    <definedName name="SOPORTE" localSheetId="8">#REF!</definedName>
    <definedName name="SOPORTE" localSheetId="7">#REF!</definedName>
    <definedName name="SOPORTE">#REF!</definedName>
    <definedName name="sucuex">'[10]Datos de entrada'!$Q$19</definedName>
    <definedName name="susan" localSheetId="8">#REF!</definedName>
    <definedName name="susan" localSheetId="7">#REF!</definedName>
    <definedName name="susan">#REF!</definedName>
    <definedName name="sxa" localSheetId="8">#REF!</definedName>
    <definedName name="sxa" localSheetId="7">#REF!</definedName>
    <definedName name="sxa">#REF!</definedName>
    <definedName name="sxat" localSheetId="8">#REF!</definedName>
    <definedName name="sxat" localSheetId="7">#REF!</definedName>
    <definedName name="sxat">#REF!</definedName>
    <definedName name="TABLA" localSheetId="8">#REF!</definedName>
    <definedName name="TABLA" localSheetId="7">#REF!</definedName>
    <definedName name="TABLA">#REF!</definedName>
    <definedName name="TARIFA" localSheetId="8">#REF!</definedName>
    <definedName name="TARIFA" localSheetId="7">#REF!</definedName>
    <definedName name="TARIFA">#REF!</definedName>
    <definedName name="TARIFA30_" localSheetId="8">#REF!</definedName>
    <definedName name="TARIFA30_" localSheetId="7">#REF!</definedName>
    <definedName name="TARIFA30_">#REF!</definedName>
    <definedName name="temp" localSheetId="8">#REF!</definedName>
    <definedName name="temp" localSheetId="7">#REF!</definedName>
    <definedName name="temp">#REF!</definedName>
    <definedName name="TITULO" localSheetId="8">#REF!</definedName>
    <definedName name="TITULO" localSheetId="7">#REF!</definedName>
    <definedName name="TITULO">#REF!</definedName>
    <definedName name="_xlnm.Print_Titles" localSheetId="8">#REF!</definedName>
    <definedName name="_xlnm.Print_Titles" localSheetId="7">#REF!</definedName>
    <definedName name="_xlnm.Print_Titles">#REF!</definedName>
    <definedName name="Títulos_a_imprimir_IM">[5]PYG0003!$A$2:$IV$7</definedName>
    <definedName name="TITX" localSheetId="8">#REF!</definedName>
    <definedName name="TITX" localSheetId="7">#REF!</definedName>
    <definedName name="TITX">#REF!</definedName>
    <definedName name="TOTAL_COSTOS" localSheetId="8">#REF!</definedName>
    <definedName name="TOTAL_COSTOS" localSheetId="7">#REF!</definedName>
    <definedName name="TOTAL_COSTOS">#REF!</definedName>
    <definedName name="TOTAL_DEDUCCION" localSheetId="8">#REF!</definedName>
    <definedName name="TOTAL_DEDUCCION" localSheetId="7">#REF!</definedName>
    <definedName name="TOTAL_DEDUCCION">#REF!</definedName>
    <definedName name="TR18C" localSheetId="8">#REF!</definedName>
    <definedName name="TR18C" localSheetId="7">#REF!</definedName>
    <definedName name="TR18C">#REF!</definedName>
    <definedName name="TR18D" localSheetId="8">#REF!</definedName>
    <definedName name="TR18D" localSheetId="7">#REF!</definedName>
    <definedName name="TR18D">#REF!</definedName>
    <definedName name="TRECE" localSheetId="8">#REF!</definedName>
    <definedName name="TRECE" localSheetId="7">#REF!</definedName>
    <definedName name="TRECE">#REF!</definedName>
    <definedName name="U" localSheetId="8">#REF!</definedName>
    <definedName name="U" localSheetId="7">#REF!</definedName>
    <definedName name="U">#REF!</definedName>
    <definedName name="UNO" localSheetId="8">#REF!</definedName>
    <definedName name="UNO" localSheetId="7">#REF!</definedName>
    <definedName name="UNO">#REF!</definedName>
    <definedName name="UTILIDADAA" localSheetId="8">#REF!</definedName>
    <definedName name="UTILIDADAA" localSheetId="7">#REF!</definedName>
    <definedName name="UTILIDADAA">#REF!</definedName>
    <definedName name="uuuu" localSheetId="8">#REF!</definedName>
    <definedName name="uuuu" localSheetId="7">#REF!</definedName>
    <definedName name="uuuu">#REF!</definedName>
    <definedName name="VALACCIONES" localSheetId="8">#REF!</definedName>
    <definedName name="VALACCIONES" localSheetId="7">#REF!</definedName>
    <definedName name="VALACCIONES">#REF!</definedName>
    <definedName name="VALAGOTABLES" localSheetId="8">#REF!</definedName>
    <definedName name="VALAGOTABLES" localSheetId="7">#REF!</definedName>
    <definedName name="VALAGOTABLES">#REF!</definedName>
    <definedName name="VALAPORTES" localSheetId="8">#REF!</definedName>
    <definedName name="VALAPORTES" localSheetId="7">#REF!</definedName>
    <definedName name="VALAPORTES">#REF!</definedName>
    <definedName name="VALDEMASAF" localSheetId="8">#REF!</definedName>
    <definedName name="VALDEMASAF" localSheetId="7">#REF!</definedName>
    <definedName name="VALDEMASAF">#REF!</definedName>
    <definedName name="valida" localSheetId="8">#REF!</definedName>
    <definedName name="valida" localSheetId="7">#REF!</definedName>
    <definedName name="valida">#REF!</definedName>
    <definedName name="VALIDA1" localSheetId="8">#REF!</definedName>
    <definedName name="VALIDA1" localSheetId="7">#REF!</definedName>
    <definedName name="VALIDA1">#REF!</definedName>
    <definedName name="valida2" localSheetId="8">#REF!</definedName>
    <definedName name="valida2" localSheetId="7">#REF!</definedName>
    <definedName name="valida2">#REF!</definedName>
    <definedName name="VALIFGC" localSheetId="8">#REF!</definedName>
    <definedName name="VALIFGC" localSheetId="7">#REF!</definedName>
    <definedName name="VALIFGC">#REF!</definedName>
    <definedName name="VALPATEXEN" localSheetId="8">#REF!</definedName>
    <definedName name="VALPATEXEN" localSheetId="7">#REF!</definedName>
    <definedName name="VALPATEXEN">#REF!</definedName>
    <definedName name="VALTERRENOS" localSheetId="8">#REF!</definedName>
    <definedName name="VALTERRENOS" localSheetId="7">#REF!</definedName>
    <definedName name="VALTERRENOS">#REF!</definedName>
    <definedName name="VARPENJG" localSheetId="8">#REF!</definedName>
    <definedName name="VARPENJG" localSheetId="7">#REF!</definedName>
    <definedName name="VARPENJG">#REF!</definedName>
    <definedName name="VARPENJP" localSheetId="8">#REF!</definedName>
    <definedName name="VARPENJP" localSheetId="7">#REF!</definedName>
    <definedName name="VARPENJP">#REF!</definedName>
    <definedName name="w" localSheetId="8">#REF!</definedName>
    <definedName name="w" localSheetId="7">#REF!</definedName>
    <definedName name="w">#REF!</definedName>
    <definedName name="x" localSheetId="8">#REF!</definedName>
    <definedName name="x" localSheetId="7">#REF!</definedName>
    <definedName name="x">#REF!</definedName>
    <definedName name="X108_Agosto_Lista" localSheetId="8">#REF!</definedName>
    <definedName name="X108_Agosto_Lista" localSheetId="7">#REF!</definedName>
    <definedName name="X108_Agosto_Lista">#REF!</definedName>
    <definedName name="YY" localSheetId="8">#REF!</definedName>
    <definedName name="YY" localSheetId="7">#REF!</definedName>
    <definedName name="YY">#REF!</definedName>
    <definedName name="Z" localSheetId="8">#REF!</definedName>
    <definedName name="Z" localSheetId="7">#REF!</definedName>
    <definedName name="Z">#REF!</definedName>
    <definedName name="Z_C6ABAA50_ACBA_41F4_AD1E_122D43E47E61_.wvu.FilterData" localSheetId="8" hidden="1">#REF!</definedName>
    <definedName name="Z_C6ABAA50_ACBA_41F4_AD1E_122D43E47E61_.wvu.FilterData" localSheetId="7" hidden="1">#REF!</definedName>
    <definedName name="Z_C6ABAA50_ACBA_41F4_AD1E_122D43E47E61_.wvu.FilterData" hidden="1">#REF!</definedName>
    <definedName name="Z_C6ABAA50_ACBA_41F4_AD1E_122D43E47E61_.wvu.Rows" localSheetId="8" hidden="1">#REF!</definedName>
    <definedName name="Z_C6ABAA50_ACBA_41F4_AD1E_122D43E47E61_.wvu.Rows" localSheetId="7" hidden="1">#REF!</definedName>
    <definedName name="Z_C6ABAA50_ACBA_41F4_AD1E_122D43E47E61_.wvu.Rows" hidden="1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8" l="1"/>
  <c r="B30" i="8"/>
  <c r="B32" i="8"/>
  <c r="B14" i="8"/>
  <c r="E141" i="7"/>
  <c r="E126" i="7"/>
  <c r="D91" i="7"/>
  <c r="C23" i="8"/>
  <c r="D27" i="8" s="1"/>
  <c r="C17" i="8"/>
  <c r="B17" i="8"/>
  <c r="D17" i="8" s="1"/>
  <c r="C22" i="8" s="1"/>
  <c r="C19" i="8"/>
  <c r="C18" i="8"/>
  <c r="C20" i="8" s="1"/>
  <c r="C21" i="8" s="1"/>
  <c r="E167" i="7"/>
  <c r="E163" i="7"/>
  <c r="E160" i="7"/>
  <c r="E151" i="7"/>
  <c r="E159" i="7"/>
  <c r="B18" i="8"/>
  <c r="E97" i="7"/>
  <c r="E157" i="7"/>
  <c r="E156" i="7"/>
  <c r="E155" i="7"/>
  <c r="E154" i="7"/>
  <c r="E153" i="7"/>
  <c r="E152" i="7"/>
  <c r="E166" i="7" s="1"/>
  <c r="E149" i="7"/>
  <c r="E148" i="7"/>
  <c r="E146" i="7"/>
  <c r="E143" i="7"/>
  <c r="E142" i="7"/>
  <c r="E140" i="7"/>
  <c r="E139" i="7"/>
  <c r="E138" i="7"/>
  <c r="E137" i="7"/>
  <c r="E136" i="7"/>
  <c r="E144" i="7" s="1"/>
  <c r="E134" i="7"/>
  <c r="E133" i="7"/>
  <c r="E132" i="7"/>
  <c r="E131" i="7"/>
  <c r="E135" i="7" s="1"/>
  <c r="E128" i="7"/>
  <c r="E125" i="7"/>
  <c r="E124" i="7"/>
  <c r="E123" i="7"/>
  <c r="E122" i="7"/>
  <c r="E121" i="7"/>
  <c r="E120" i="7"/>
  <c r="E117" i="7" s="1"/>
  <c r="E119" i="7"/>
  <c r="E118" i="7"/>
  <c r="F117" i="7"/>
  <c r="D100" i="7"/>
  <c r="D111" i="7"/>
  <c r="E111" i="7"/>
  <c r="D112" i="7"/>
  <c r="D113" i="7" s="1"/>
  <c r="D115" i="7" s="1"/>
  <c r="E112" i="7"/>
  <c r="E113" i="7" s="1"/>
  <c r="E115" i="7" s="1"/>
  <c r="D107" i="7"/>
  <c r="E107" i="7"/>
  <c r="D108" i="7"/>
  <c r="E108" i="7"/>
  <c r="D109" i="7"/>
  <c r="E109" i="7"/>
  <c r="D104" i="7"/>
  <c r="E104" i="7"/>
  <c r="D99" i="7"/>
  <c r="E99" i="7"/>
  <c r="E100" i="7"/>
  <c r="D101" i="7"/>
  <c r="E101" i="7"/>
  <c r="D102" i="7"/>
  <c r="E102" i="7"/>
  <c r="D103" i="7"/>
  <c r="E103" i="7"/>
  <c r="E98" i="7"/>
  <c r="D98" i="7"/>
  <c r="D21" i="7"/>
  <c r="D97" i="7" s="1"/>
  <c r="D96" i="7"/>
  <c r="E96" i="7"/>
  <c r="D93" i="7"/>
  <c r="D90" i="7"/>
  <c r="D89" i="7"/>
  <c r="D71" i="7"/>
  <c r="K48" i="11"/>
  <c r="D85" i="7"/>
  <c r="K47" i="11"/>
  <c r="D75" i="7"/>
  <c r="D76" i="7" s="1"/>
  <c r="D86" i="7" s="1"/>
  <c r="D74" i="7"/>
  <c r="D68" i="7"/>
  <c r="D56" i="7"/>
  <c r="E57" i="7"/>
  <c r="D58" i="7"/>
  <c r="D50" i="7"/>
  <c r="D44" i="7"/>
  <c r="D45" i="7"/>
  <c r="D46" i="7"/>
  <c r="D47" i="7"/>
  <c r="D48" i="7"/>
  <c r="D49" i="7"/>
  <c r="D53" i="7"/>
  <c r="D54" i="7"/>
  <c r="D55" i="7"/>
  <c r="D63" i="7"/>
  <c r="D64" i="7"/>
  <c r="D65" i="7"/>
  <c r="D66" i="7"/>
  <c r="D67" i="7"/>
  <c r="D72" i="7"/>
  <c r="D73" i="7"/>
  <c r="D79" i="7"/>
  <c r="D80" i="7"/>
  <c r="D81" i="7"/>
  <c r="D82" i="7"/>
  <c r="D83" i="7"/>
  <c r="D84" i="7"/>
  <c r="D40" i="7"/>
  <c r="D19" i="7"/>
  <c r="D34" i="7"/>
  <c r="D22" i="7"/>
  <c r="D28" i="7" s="1"/>
  <c r="D30" i="7" s="1"/>
  <c r="D33" i="7"/>
  <c r="D29" i="7"/>
  <c r="D27" i="7"/>
  <c r="D26" i="7"/>
  <c r="D25" i="7"/>
  <c r="D24" i="7"/>
  <c r="D23" i="7"/>
  <c r="D31" i="7"/>
  <c r="D32" i="7"/>
  <c r="D20" i="7"/>
  <c r="I48" i="11"/>
  <c r="G48" i="11"/>
  <c r="E48" i="11"/>
  <c r="I47" i="11"/>
  <c r="E47" i="11"/>
  <c r="I46" i="11"/>
  <c r="H46" i="11"/>
  <c r="G46" i="11"/>
  <c r="E46" i="11"/>
  <c r="I45" i="11"/>
  <c r="H45" i="11"/>
  <c r="G45" i="11"/>
  <c r="E45" i="11"/>
  <c r="I44" i="11"/>
  <c r="H44" i="11"/>
  <c r="G44" i="11"/>
  <c r="E44" i="11"/>
  <c r="I43" i="11"/>
  <c r="H43" i="11"/>
  <c r="G43" i="11"/>
  <c r="E43" i="11"/>
  <c r="H42" i="11"/>
  <c r="G42" i="11"/>
  <c r="E42" i="11"/>
  <c r="I41" i="11"/>
  <c r="H41" i="11"/>
  <c r="G41" i="11"/>
  <c r="E41" i="11"/>
  <c r="I39" i="11"/>
  <c r="G39" i="11"/>
  <c r="E39" i="11"/>
  <c r="I38" i="11"/>
  <c r="G38" i="11"/>
  <c r="E38" i="11"/>
  <c r="I37" i="11"/>
  <c r="H37" i="11"/>
  <c r="G37" i="11"/>
  <c r="E37" i="11"/>
  <c r="I36" i="11"/>
  <c r="H36" i="11"/>
  <c r="G36" i="11"/>
  <c r="E36" i="11"/>
  <c r="I35" i="11"/>
  <c r="H35" i="11"/>
  <c r="G35" i="11"/>
  <c r="E35" i="11"/>
  <c r="I34" i="11"/>
  <c r="H34" i="11"/>
  <c r="G34" i="11"/>
  <c r="E34" i="11"/>
  <c r="I32" i="11"/>
  <c r="G32" i="11"/>
  <c r="E32" i="11"/>
  <c r="I31" i="11"/>
  <c r="H31" i="11"/>
  <c r="G31" i="11"/>
  <c r="E31" i="11"/>
  <c r="I30" i="11"/>
  <c r="H30" i="11"/>
  <c r="G30" i="11"/>
  <c r="E30" i="11"/>
  <c r="I29" i="11"/>
  <c r="H29" i="11"/>
  <c r="G29" i="11"/>
  <c r="E29" i="11"/>
  <c r="I28" i="11"/>
  <c r="H28" i="11"/>
  <c r="G28" i="11"/>
  <c r="E28" i="11"/>
  <c r="I27" i="11"/>
  <c r="H27" i="11"/>
  <c r="G27" i="11"/>
  <c r="E27" i="11"/>
  <c r="I24" i="11"/>
  <c r="G24" i="11"/>
  <c r="E24" i="11"/>
  <c r="I23" i="11"/>
  <c r="G23" i="11"/>
  <c r="E23" i="11"/>
  <c r="I22" i="11"/>
  <c r="H22" i="11"/>
  <c r="G22" i="11"/>
  <c r="E22" i="11"/>
  <c r="H21" i="11"/>
  <c r="G21" i="11"/>
  <c r="E21" i="11"/>
  <c r="I20" i="11"/>
  <c r="H20" i="11"/>
  <c r="G20" i="11"/>
  <c r="E20" i="11"/>
  <c r="I19" i="11"/>
  <c r="H19" i="11"/>
  <c r="G19" i="11"/>
  <c r="E19" i="11"/>
  <c r="I17" i="11"/>
  <c r="G17" i="11"/>
  <c r="I16" i="11"/>
  <c r="H16" i="11"/>
  <c r="G16" i="11"/>
  <c r="E16" i="11"/>
  <c r="I15" i="11"/>
  <c r="H15" i="11"/>
  <c r="G15" i="11"/>
  <c r="E15" i="11"/>
  <c r="I14" i="11"/>
  <c r="H14" i="11"/>
  <c r="G14" i="11"/>
  <c r="E14" i="11"/>
  <c r="I13" i="11"/>
  <c r="H13" i="11"/>
  <c r="G13" i="11"/>
  <c r="E13" i="11"/>
  <c r="I12" i="11"/>
  <c r="H12" i="11"/>
  <c r="G12" i="11"/>
  <c r="E12" i="11"/>
  <c r="I11" i="11"/>
  <c r="H11" i="11"/>
  <c r="G11" i="11"/>
  <c r="E11" i="11"/>
  <c r="J25" i="9"/>
  <c r="I25" i="9"/>
  <c r="H25" i="9"/>
  <c r="E25" i="9"/>
  <c r="J24" i="9"/>
  <c r="H24" i="9"/>
  <c r="E24" i="9"/>
  <c r="I23" i="9"/>
  <c r="H23" i="9"/>
  <c r="I22" i="9"/>
  <c r="H22" i="9"/>
  <c r="E22" i="9"/>
  <c r="J20" i="9"/>
  <c r="I20" i="9"/>
  <c r="H20" i="9"/>
  <c r="E20" i="9"/>
  <c r="J19" i="9"/>
  <c r="I19" i="9"/>
  <c r="H19" i="9"/>
  <c r="E19" i="9"/>
  <c r="J18" i="9"/>
  <c r="I18" i="9"/>
  <c r="H18" i="9"/>
  <c r="E18" i="9"/>
  <c r="J17" i="9"/>
  <c r="I17" i="9"/>
  <c r="H17" i="9"/>
  <c r="E17" i="9"/>
  <c r="J16" i="9"/>
  <c r="I16" i="9"/>
  <c r="H16" i="9"/>
  <c r="E16" i="9"/>
  <c r="J15" i="9"/>
  <c r="I15" i="9"/>
  <c r="H15" i="9"/>
  <c r="E15" i="9"/>
  <c r="J14" i="9"/>
  <c r="I14" i="9"/>
  <c r="H14" i="9"/>
  <c r="E14" i="9"/>
  <c r="J13" i="9"/>
  <c r="I13" i="9"/>
  <c r="H13" i="9"/>
  <c r="E13" i="9"/>
  <c r="J12" i="9"/>
  <c r="I12" i="9"/>
  <c r="H12" i="9"/>
  <c r="E12" i="9"/>
  <c r="J11" i="9"/>
  <c r="I11" i="9"/>
  <c r="H11" i="9"/>
  <c r="E11" i="9"/>
  <c r="J10" i="9"/>
  <c r="I10" i="9"/>
  <c r="H10" i="9"/>
  <c r="E10" i="9"/>
  <c r="B6" i="9"/>
  <c r="D3" i="7"/>
  <c r="D26" i="8" l="1"/>
  <c r="E129" i="7"/>
  <c r="E127" i="7"/>
  <c r="E130" i="7" s="1"/>
  <c r="E145" i="7" s="1"/>
  <c r="E158" i="7"/>
  <c r="E147" i="7"/>
  <c r="E168" i="7" s="1"/>
  <c r="D35" i="7"/>
  <c r="D57" i="7"/>
  <c r="G47" i="11"/>
  <c r="H38" i="11"/>
  <c r="H47" i="11"/>
  <c r="E17" i="11"/>
  <c r="H23" i="11"/>
  <c r="H32" i="11"/>
  <c r="H17" i="11"/>
  <c r="I24" i="9"/>
  <c r="H24" i="11"/>
  <c r="H39" i="11"/>
  <c r="H48" i="11" s="1"/>
  <c r="H10" i="7"/>
  <c r="I10" i="7" s="1"/>
  <c r="J10" i="7" s="1"/>
  <c r="K10" i="7" s="1"/>
  <c r="L10" i="7" s="1"/>
  <c r="M10" i="7" s="1"/>
  <c r="N10" i="7" s="1"/>
  <c r="O10" i="7" s="1"/>
  <c r="P10" i="7" s="1"/>
  <c r="E10" i="7"/>
  <c r="F10" i="7"/>
  <c r="H6" i="7"/>
  <c r="I6" i="7" s="1"/>
  <c r="J6" i="7" s="1"/>
  <c r="K6" i="7" s="1"/>
  <c r="L6" i="7" s="1"/>
  <c r="M6" i="7" s="1"/>
  <c r="N6" i="7" s="1"/>
  <c r="O6" i="7" s="1"/>
  <c r="P6" i="7" s="1"/>
  <c r="E6" i="7"/>
  <c r="F6" i="7"/>
  <c r="H17" i="7"/>
  <c r="I17" i="7" s="1"/>
  <c r="J17" i="7" s="1"/>
  <c r="K17" i="7" s="1"/>
  <c r="L17" i="7" s="1"/>
  <c r="M17" i="7" s="1"/>
  <c r="N17" i="7" s="1"/>
  <c r="O17" i="7" s="1"/>
  <c r="P17" i="7" s="1"/>
  <c r="G75" i="7"/>
  <c r="C179" i="7"/>
  <c r="G33" i="7"/>
  <c r="H33" i="7" s="1"/>
  <c r="I33" i="7" s="1"/>
  <c r="J33" i="7" s="1"/>
  <c r="K33" i="7" s="1"/>
  <c r="L33" i="7" s="1"/>
  <c r="M33" i="7" s="1"/>
  <c r="N33" i="7" s="1"/>
  <c r="O33" i="7" s="1"/>
  <c r="P33" i="7" s="1"/>
  <c r="G32" i="7"/>
  <c r="H32" i="7" s="1"/>
  <c r="I32" i="7" s="1"/>
  <c r="J32" i="7" s="1"/>
  <c r="K32" i="7" s="1"/>
  <c r="L32" i="7" s="1"/>
  <c r="M32" i="7" s="1"/>
  <c r="N32" i="7" s="1"/>
  <c r="O32" i="7" s="1"/>
  <c r="P32" i="7" s="1"/>
  <c r="F16" i="7"/>
  <c r="G16" i="7" s="1"/>
  <c r="E150" i="7" l="1"/>
  <c r="H16" i="7"/>
  <c r="G173" i="7"/>
  <c r="G174" i="7" s="1"/>
  <c r="I16" i="7" l="1"/>
  <c r="H173" i="7"/>
  <c r="H174" i="7" s="1"/>
  <c r="I5" i="7"/>
  <c r="J5" i="7" s="1"/>
  <c r="I4" i="7"/>
  <c r="G20" i="7"/>
  <c r="G27" i="7" s="1"/>
  <c r="G103" i="7" s="1"/>
  <c r="G132" i="7" s="1"/>
  <c r="H15" i="7"/>
  <c r="I15" i="7" s="1"/>
  <c r="J15" i="7" s="1"/>
  <c r="K15" i="7" s="1"/>
  <c r="L15" i="7" s="1"/>
  <c r="M15" i="7" s="1"/>
  <c r="N15" i="7" s="1"/>
  <c r="O15" i="7" s="1"/>
  <c r="P15" i="7" s="1"/>
  <c r="H8" i="7"/>
  <c r="H7" i="7"/>
  <c r="F8" i="7"/>
  <c r="F7" i="7"/>
  <c r="E7" i="7"/>
  <c r="E8" i="7"/>
  <c r="E3" i="7"/>
  <c r="E19" i="7" s="1"/>
  <c r="E5" i="7"/>
  <c r="F5" i="7"/>
  <c r="F4" i="7"/>
  <c r="E34" i="7"/>
  <c r="E22" i="7"/>
  <c r="E28" i="7" s="1"/>
  <c r="E30" i="7" s="1"/>
  <c r="P160" i="7"/>
  <c r="O160" i="7"/>
  <c r="N160" i="7"/>
  <c r="M160" i="7"/>
  <c r="L160" i="7"/>
  <c r="K160" i="7"/>
  <c r="J160" i="7"/>
  <c r="I160" i="7"/>
  <c r="H160" i="7"/>
  <c r="G160" i="7"/>
  <c r="P156" i="7"/>
  <c r="O156" i="7"/>
  <c r="N156" i="7"/>
  <c r="M156" i="7"/>
  <c r="L156" i="7"/>
  <c r="K156" i="7"/>
  <c r="J156" i="7"/>
  <c r="I156" i="7"/>
  <c r="H156" i="7"/>
  <c r="G156" i="7"/>
  <c r="P155" i="7"/>
  <c r="O155" i="7"/>
  <c r="N155" i="7"/>
  <c r="M155" i="7"/>
  <c r="L155" i="7"/>
  <c r="K155" i="7"/>
  <c r="J155" i="7"/>
  <c r="I155" i="7"/>
  <c r="H155" i="7"/>
  <c r="G155" i="7"/>
  <c r="P153" i="7"/>
  <c r="O153" i="7"/>
  <c r="N153" i="7"/>
  <c r="M153" i="7"/>
  <c r="L153" i="7"/>
  <c r="K153" i="7"/>
  <c r="J153" i="7"/>
  <c r="I153" i="7"/>
  <c r="H153" i="7"/>
  <c r="G153" i="7"/>
  <c r="P152" i="7"/>
  <c r="O152" i="7"/>
  <c r="N152" i="7"/>
  <c r="M152" i="7"/>
  <c r="L152" i="7"/>
  <c r="K152" i="7"/>
  <c r="J152" i="7"/>
  <c r="I152" i="7"/>
  <c r="H152" i="7"/>
  <c r="G152" i="7"/>
  <c r="P149" i="7"/>
  <c r="O149" i="7"/>
  <c r="N149" i="7"/>
  <c r="M149" i="7"/>
  <c r="L149" i="7"/>
  <c r="K149" i="7"/>
  <c r="J149" i="7"/>
  <c r="I149" i="7"/>
  <c r="H149" i="7"/>
  <c r="G149" i="7"/>
  <c r="P148" i="7"/>
  <c r="O148" i="7"/>
  <c r="N148" i="7"/>
  <c r="M148" i="7"/>
  <c r="L148" i="7"/>
  <c r="K148" i="7"/>
  <c r="J148" i="7"/>
  <c r="I148" i="7"/>
  <c r="H148" i="7"/>
  <c r="G148" i="7"/>
  <c r="P143" i="7"/>
  <c r="O143" i="7"/>
  <c r="N143" i="7"/>
  <c r="M143" i="7"/>
  <c r="L143" i="7"/>
  <c r="K143" i="7"/>
  <c r="J143" i="7"/>
  <c r="I143" i="7"/>
  <c r="H143" i="7"/>
  <c r="G143" i="7"/>
  <c r="P142" i="7"/>
  <c r="O142" i="7"/>
  <c r="N142" i="7"/>
  <c r="M142" i="7"/>
  <c r="L142" i="7"/>
  <c r="K142" i="7"/>
  <c r="J142" i="7"/>
  <c r="I142" i="7"/>
  <c r="H142" i="7"/>
  <c r="G142" i="7"/>
  <c r="P141" i="7"/>
  <c r="O141" i="7"/>
  <c r="N141" i="7"/>
  <c r="M141" i="7"/>
  <c r="L141" i="7"/>
  <c r="K141" i="7"/>
  <c r="J141" i="7"/>
  <c r="I141" i="7"/>
  <c r="H141" i="7"/>
  <c r="G141" i="7"/>
  <c r="P140" i="7"/>
  <c r="O140" i="7"/>
  <c r="N140" i="7"/>
  <c r="M140" i="7"/>
  <c r="L140" i="7"/>
  <c r="K140" i="7"/>
  <c r="J140" i="7"/>
  <c r="I140" i="7"/>
  <c r="H140" i="7"/>
  <c r="G140" i="7"/>
  <c r="P139" i="7"/>
  <c r="O139" i="7"/>
  <c r="N139" i="7"/>
  <c r="M139" i="7"/>
  <c r="L139" i="7"/>
  <c r="K139" i="7"/>
  <c r="J139" i="7"/>
  <c r="I139" i="7"/>
  <c r="H139" i="7"/>
  <c r="G139" i="7"/>
  <c r="P138" i="7"/>
  <c r="O138" i="7"/>
  <c r="N138" i="7"/>
  <c r="M138" i="7"/>
  <c r="L138" i="7"/>
  <c r="K138" i="7"/>
  <c r="J138" i="7"/>
  <c r="I138" i="7"/>
  <c r="H138" i="7"/>
  <c r="G138" i="7"/>
  <c r="P137" i="7"/>
  <c r="O137" i="7"/>
  <c r="N137" i="7"/>
  <c r="M137" i="7"/>
  <c r="L137" i="7"/>
  <c r="K137" i="7"/>
  <c r="J137" i="7"/>
  <c r="I137" i="7"/>
  <c r="H137" i="7"/>
  <c r="G137" i="7"/>
  <c r="P136" i="7"/>
  <c r="O136" i="7"/>
  <c r="N136" i="7"/>
  <c r="M136" i="7"/>
  <c r="L136" i="7"/>
  <c r="K136" i="7"/>
  <c r="J136" i="7"/>
  <c r="I136" i="7"/>
  <c r="H136" i="7"/>
  <c r="G136" i="7"/>
  <c r="P134" i="7"/>
  <c r="O134" i="7"/>
  <c r="N134" i="7"/>
  <c r="M134" i="7"/>
  <c r="L134" i="7"/>
  <c r="K134" i="7"/>
  <c r="J134" i="7"/>
  <c r="I134" i="7"/>
  <c r="H134" i="7"/>
  <c r="G134" i="7"/>
  <c r="P128" i="7"/>
  <c r="O128" i="7"/>
  <c r="N128" i="7"/>
  <c r="M128" i="7"/>
  <c r="L128" i="7"/>
  <c r="K128" i="7"/>
  <c r="J128" i="7"/>
  <c r="I128" i="7"/>
  <c r="H128" i="7"/>
  <c r="G128" i="7"/>
  <c r="P125" i="7"/>
  <c r="O125" i="7"/>
  <c r="N125" i="7"/>
  <c r="M125" i="7"/>
  <c r="L125" i="7"/>
  <c r="K125" i="7"/>
  <c r="J125" i="7"/>
  <c r="I125" i="7"/>
  <c r="H125" i="7"/>
  <c r="G125" i="7"/>
  <c r="P124" i="7"/>
  <c r="O124" i="7"/>
  <c r="N124" i="7"/>
  <c r="M124" i="7"/>
  <c r="L124" i="7"/>
  <c r="K124" i="7"/>
  <c r="J124" i="7"/>
  <c r="I124" i="7"/>
  <c r="H124" i="7"/>
  <c r="G124" i="7"/>
  <c r="P123" i="7"/>
  <c r="O123" i="7"/>
  <c r="N123" i="7"/>
  <c r="M123" i="7"/>
  <c r="L123" i="7"/>
  <c r="K123" i="7"/>
  <c r="J123" i="7"/>
  <c r="I123" i="7"/>
  <c r="H123" i="7"/>
  <c r="G123" i="7"/>
  <c r="P122" i="7"/>
  <c r="O122" i="7"/>
  <c r="N122" i="7"/>
  <c r="M122" i="7"/>
  <c r="L122" i="7"/>
  <c r="K122" i="7"/>
  <c r="J122" i="7"/>
  <c r="I122" i="7"/>
  <c r="H122" i="7"/>
  <c r="G122" i="7"/>
  <c r="P120" i="7"/>
  <c r="O120" i="7"/>
  <c r="N120" i="7"/>
  <c r="M120" i="7"/>
  <c r="L120" i="7"/>
  <c r="K120" i="7"/>
  <c r="J120" i="7"/>
  <c r="I120" i="7"/>
  <c r="H120" i="7"/>
  <c r="G120" i="7"/>
  <c r="P119" i="7"/>
  <c r="O119" i="7"/>
  <c r="N119" i="7"/>
  <c r="M119" i="7"/>
  <c r="L119" i="7"/>
  <c r="K119" i="7"/>
  <c r="J119" i="7"/>
  <c r="I119" i="7"/>
  <c r="H119" i="7"/>
  <c r="G119" i="7"/>
  <c r="P118" i="7"/>
  <c r="O118" i="7"/>
  <c r="N118" i="7"/>
  <c r="M118" i="7"/>
  <c r="L118" i="7"/>
  <c r="K118" i="7"/>
  <c r="J118" i="7"/>
  <c r="I118" i="7"/>
  <c r="H118" i="7"/>
  <c r="G118" i="7"/>
  <c r="P102" i="7"/>
  <c r="P108" i="7" s="1"/>
  <c r="O102" i="7"/>
  <c r="O108" i="7" s="1"/>
  <c r="N102" i="7"/>
  <c r="N108" i="7" s="1"/>
  <c r="M102" i="7"/>
  <c r="M108" i="7" s="1"/>
  <c r="L102" i="7"/>
  <c r="L108" i="7" s="1"/>
  <c r="K102" i="7"/>
  <c r="K108" i="7" s="1"/>
  <c r="J102" i="7"/>
  <c r="J146" i="7" s="1"/>
  <c r="I102" i="7"/>
  <c r="I146" i="7" s="1"/>
  <c r="H102" i="7"/>
  <c r="H108" i="7" s="1"/>
  <c r="G102" i="7"/>
  <c r="G108" i="7" s="1"/>
  <c r="P75" i="7"/>
  <c r="O75" i="7"/>
  <c r="N75" i="7"/>
  <c r="M75" i="7"/>
  <c r="L75" i="7"/>
  <c r="K75" i="7"/>
  <c r="J75" i="7"/>
  <c r="I75" i="7"/>
  <c r="H75" i="7"/>
  <c r="P57" i="7"/>
  <c r="O57" i="7"/>
  <c r="N57" i="7"/>
  <c r="M57" i="7"/>
  <c r="L57" i="7"/>
  <c r="K57" i="7"/>
  <c r="J57" i="7"/>
  <c r="I57" i="7"/>
  <c r="H57" i="7"/>
  <c r="G57" i="7"/>
  <c r="P34" i="7"/>
  <c r="O34" i="7"/>
  <c r="N34" i="7"/>
  <c r="M34" i="7"/>
  <c r="L34" i="7"/>
  <c r="K34" i="7"/>
  <c r="J34" i="7"/>
  <c r="I34" i="7"/>
  <c r="H34" i="7"/>
  <c r="G34" i="7"/>
  <c r="G3" i="7"/>
  <c r="H3" i="7" s="1"/>
  <c r="F103" i="7"/>
  <c r="F109" i="7" s="1"/>
  <c r="F102" i="7"/>
  <c r="F108" i="7" s="1"/>
  <c r="F101" i="7"/>
  <c r="F100" i="7"/>
  <c r="F99" i="7"/>
  <c r="F131" i="7" s="1"/>
  <c r="F96" i="7"/>
  <c r="F97" i="7"/>
  <c r="F19" i="7"/>
  <c r="F40" i="7" s="1"/>
  <c r="F119" i="7"/>
  <c r="F128" i="7"/>
  <c r="F34" i="7"/>
  <c r="F22" i="7"/>
  <c r="F28" i="7" s="1"/>
  <c r="F30" i="7" s="1"/>
  <c r="F57" i="7"/>
  <c r="F75" i="7"/>
  <c r="E75" i="7"/>
  <c r="E85" i="7"/>
  <c r="F160" i="7"/>
  <c r="F152" i="7"/>
  <c r="F153" i="7"/>
  <c r="F154" i="7"/>
  <c r="F155" i="7"/>
  <c r="F156" i="7"/>
  <c r="F149" i="7"/>
  <c r="F148" i="7"/>
  <c r="F143" i="7"/>
  <c r="F141" i="7"/>
  <c r="F142" i="7"/>
  <c r="F140" i="7"/>
  <c r="F139" i="7"/>
  <c r="F138" i="7"/>
  <c r="F137" i="7"/>
  <c r="F136" i="7"/>
  <c r="F134" i="7"/>
  <c r="F123" i="7"/>
  <c r="F124" i="7"/>
  <c r="F125" i="7"/>
  <c r="F122" i="7"/>
  <c r="F118" i="7"/>
  <c r="F120" i="7"/>
  <c r="F28" i="3"/>
  <c r="D28" i="3"/>
  <c r="D19" i="4"/>
  <c r="F55" i="3"/>
  <c r="D55" i="3"/>
  <c r="P28" i="3"/>
  <c r="I7" i="7" l="1"/>
  <c r="I8" i="7"/>
  <c r="G24" i="7"/>
  <c r="G100" i="7" s="1"/>
  <c r="G23" i="7"/>
  <c r="G99" i="7" s="1"/>
  <c r="G131" i="7" s="1"/>
  <c r="G133" i="7" s="1"/>
  <c r="G135" i="7" s="1"/>
  <c r="G25" i="7"/>
  <c r="G101" i="7" s="1"/>
  <c r="E40" i="7"/>
  <c r="E88" i="7" s="1"/>
  <c r="F88" i="7"/>
  <c r="F132" i="7"/>
  <c r="F133" i="7" s="1"/>
  <c r="F135" i="7" s="1"/>
  <c r="B19" i="8" s="1"/>
  <c r="B20" i="8" s="1"/>
  <c r="B21" i="8" s="1"/>
  <c r="K5" i="7"/>
  <c r="H20" i="7"/>
  <c r="H27" i="7" s="1"/>
  <c r="H103" i="7" s="1"/>
  <c r="H132" i="7" s="1"/>
  <c r="G21" i="7"/>
  <c r="G97" i="7" s="1"/>
  <c r="F98" i="7"/>
  <c r="F104" i="7" s="1"/>
  <c r="J16" i="7"/>
  <c r="I173" i="7"/>
  <c r="I174" i="7" s="1"/>
  <c r="G96" i="7"/>
  <c r="N117" i="7"/>
  <c r="M117" i="7"/>
  <c r="K117" i="7"/>
  <c r="M121" i="7"/>
  <c r="G19" i="7"/>
  <c r="G40" i="7" s="1"/>
  <c r="L117" i="7"/>
  <c r="I3" i="7"/>
  <c r="H19" i="7"/>
  <c r="H40" i="7" s="1"/>
  <c r="F95" i="7"/>
  <c r="F171" i="7" s="1"/>
  <c r="E15" i="7"/>
  <c r="F15" i="7"/>
  <c r="F146" i="7"/>
  <c r="F147" i="7" s="1"/>
  <c r="N121" i="7"/>
  <c r="L121" i="7"/>
  <c r="H144" i="7"/>
  <c r="P144" i="7"/>
  <c r="E35" i="7"/>
  <c r="G144" i="7"/>
  <c r="O144" i="7"/>
  <c r="K121" i="7"/>
  <c r="G121" i="7"/>
  <c r="O121" i="7"/>
  <c r="I121" i="7"/>
  <c r="J121" i="7"/>
  <c r="H121" i="7"/>
  <c r="P121" i="7"/>
  <c r="I144" i="7"/>
  <c r="J144" i="7"/>
  <c r="K144" i="7"/>
  <c r="L144" i="7"/>
  <c r="I117" i="7"/>
  <c r="M144" i="7"/>
  <c r="J117" i="7"/>
  <c r="H117" i="7"/>
  <c r="P117" i="7"/>
  <c r="N144" i="7"/>
  <c r="K146" i="7"/>
  <c r="K147" i="7" s="1"/>
  <c r="K150" i="7" s="1"/>
  <c r="L146" i="7"/>
  <c r="L147" i="7" s="1"/>
  <c r="L150" i="7" s="1"/>
  <c r="I147" i="7"/>
  <c r="I150" i="7" s="1"/>
  <c r="J147" i="7"/>
  <c r="J150" i="7" s="1"/>
  <c r="G117" i="7"/>
  <c r="O117" i="7"/>
  <c r="M146" i="7"/>
  <c r="G109" i="7"/>
  <c r="N146" i="7"/>
  <c r="G146" i="7"/>
  <c r="O146" i="7"/>
  <c r="J108" i="7"/>
  <c r="H146" i="7"/>
  <c r="P146" i="7"/>
  <c r="I108" i="7"/>
  <c r="F107" i="7"/>
  <c r="F35" i="7"/>
  <c r="F144" i="7"/>
  <c r="F121" i="7"/>
  <c r="L47" i="3"/>
  <c r="L48" i="3"/>
  <c r="L49" i="3"/>
  <c r="L50" i="3"/>
  <c r="L51" i="3"/>
  <c r="L52" i="3"/>
  <c r="L42" i="3"/>
  <c r="L41" i="3"/>
  <c r="L40" i="3"/>
  <c r="L39" i="3"/>
  <c r="L32" i="3"/>
  <c r="L33" i="3"/>
  <c r="L34" i="3"/>
  <c r="L35" i="3"/>
  <c r="L31" i="3"/>
  <c r="L13" i="3"/>
  <c r="L14" i="3"/>
  <c r="L17" i="3"/>
  <c r="L18" i="3"/>
  <c r="L22" i="3"/>
  <c r="L23" i="3"/>
  <c r="L24" i="3"/>
  <c r="L25" i="3"/>
  <c r="L12" i="3"/>
  <c r="L20" i="4"/>
  <c r="H11" i="3"/>
  <c r="H12" i="3"/>
  <c r="H13" i="3"/>
  <c r="H14" i="3"/>
  <c r="H53" i="3"/>
  <c r="H44" i="3"/>
  <c r="H43" i="3"/>
  <c r="H36" i="3"/>
  <c r="H19" i="3"/>
  <c r="D37" i="4"/>
  <c r="D16" i="5" s="1"/>
  <c r="L16" i="4"/>
  <c r="P30" i="5"/>
  <c r="P31" i="5" s="1"/>
  <c r="P44" i="5"/>
  <c r="N44" i="5"/>
  <c r="P43" i="5"/>
  <c r="N43" i="5"/>
  <c r="P36" i="5"/>
  <c r="N36" i="5"/>
  <c r="P35" i="5"/>
  <c r="N35" i="5"/>
  <c r="P33" i="5"/>
  <c r="N33" i="5"/>
  <c r="N31" i="5"/>
  <c r="P29" i="5"/>
  <c r="N29" i="5"/>
  <c r="N30" i="5" s="1"/>
  <c r="P26" i="5"/>
  <c r="N26" i="5"/>
  <c r="P20" i="5"/>
  <c r="N20" i="5"/>
  <c r="P19" i="5"/>
  <c r="N19" i="5"/>
  <c r="P18" i="5"/>
  <c r="N18" i="5"/>
  <c r="P16" i="5"/>
  <c r="N16" i="5"/>
  <c r="P14" i="5"/>
  <c r="N14" i="5"/>
  <c r="P13" i="5"/>
  <c r="N13" i="5"/>
  <c r="P8" i="5"/>
  <c r="N8" i="5"/>
  <c r="F15" i="3"/>
  <c r="D15" i="3"/>
  <c r="G16" i="5"/>
  <c r="G15" i="5"/>
  <c r="G9" i="5"/>
  <c r="G10" i="5" s="1"/>
  <c r="D9" i="5"/>
  <c r="J14" i="5"/>
  <c r="I14" i="5"/>
  <c r="I4" i="5"/>
  <c r="I5" i="5"/>
  <c r="I7" i="5"/>
  <c r="I8" i="5"/>
  <c r="G6" i="5"/>
  <c r="D6" i="5"/>
  <c r="D15" i="5"/>
  <c r="G37" i="4"/>
  <c r="J4" i="5"/>
  <c r="J5" i="5"/>
  <c r="J8" i="5"/>
  <c r="J7" i="5"/>
  <c r="G44" i="1"/>
  <c r="D44" i="1"/>
  <c r="E16" i="2"/>
  <c r="G44" i="4"/>
  <c r="G45" i="4" s="1"/>
  <c r="H31" i="4"/>
  <c r="J29" i="4"/>
  <c r="H29" i="4"/>
  <c r="E29" i="4"/>
  <c r="I28" i="4"/>
  <c r="H28" i="4"/>
  <c r="H27" i="4"/>
  <c r="I27" i="4"/>
  <c r="I29" i="4" s="1"/>
  <c r="H24" i="4"/>
  <c r="J22" i="4"/>
  <c r="I22" i="4"/>
  <c r="H22" i="4"/>
  <c r="E22" i="4"/>
  <c r="H20" i="4"/>
  <c r="J18" i="4"/>
  <c r="I18" i="4"/>
  <c r="H18" i="4"/>
  <c r="E18" i="4"/>
  <c r="H17" i="4"/>
  <c r="J17" i="4"/>
  <c r="H16" i="4"/>
  <c r="J16" i="4"/>
  <c r="J15" i="4"/>
  <c r="H15" i="4"/>
  <c r="I15" i="4"/>
  <c r="J14" i="4"/>
  <c r="I14" i="4"/>
  <c r="H14" i="4"/>
  <c r="E14" i="4"/>
  <c r="H12" i="4"/>
  <c r="J12" i="4"/>
  <c r="J11" i="4"/>
  <c r="I11" i="4"/>
  <c r="H11" i="4"/>
  <c r="E11" i="4"/>
  <c r="J10" i="4"/>
  <c r="I10" i="4"/>
  <c r="H10" i="4"/>
  <c r="E10" i="4"/>
  <c r="B6" i="4"/>
  <c r="G54" i="3"/>
  <c r="I52" i="3"/>
  <c r="G52" i="3"/>
  <c r="H52" i="3"/>
  <c r="G51" i="3"/>
  <c r="I51" i="3"/>
  <c r="I50" i="3"/>
  <c r="G50" i="3"/>
  <c r="H50" i="3"/>
  <c r="G49" i="3"/>
  <c r="H49" i="3"/>
  <c r="H48" i="3"/>
  <c r="G48" i="3"/>
  <c r="I47" i="3"/>
  <c r="G47" i="3"/>
  <c r="G44" i="3"/>
  <c r="G43" i="3"/>
  <c r="G42" i="3"/>
  <c r="I42" i="3"/>
  <c r="H41" i="3"/>
  <c r="G41" i="3"/>
  <c r="G40" i="3"/>
  <c r="I40" i="3"/>
  <c r="G39" i="3"/>
  <c r="G36" i="3"/>
  <c r="I35" i="3"/>
  <c r="H35" i="3"/>
  <c r="G35" i="3"/>
  <c r="I34" i="3"/>
  <c r="H34" i="3"/>
  <c r="G34" i="3"/>
  <c r="G33" i="3"/>
  <c r="I33" i="3"/>
  <c r="I32" i="3"/>
  <c r="H32" i="3"/>
  <c r="G32" i="3"/>
  <c r="I31" i="3"/>
  <c r="G31" i="3"/>
  <c r="H31" i="3"/>
  <c r="G27" i="3"/>
  <c r="G26" i="3"/>
  <c r="H25" i="3"/>
  <c r="G25" i="3"/>
  <c r="I25" i="3"/>
  <c r="H24" i="3"/>
  <c r="G24" i="3"/>
  <c r="I23" i="3"/>
  <c r="G23" i="3"/>
  <c r="H23" i="3"/>
  <c r="G22" i="3"/>
  <c r="I22" i="3"/>
  <c r="G19" i="3"/>
  <c r="G18" i="3"/>
  <c r="H18" i="3"/>
  <c r="G17" i="3"/>
  <c r="G14" i="3"/>
  <c r="I14" i="3"/>
  <c r="G13" i="3"/>
  <c r="I12" i="3"/>
  <c r="G12" i="3"/>
  <c r="G11" i="3"/>
  <c r="I11" i="3"/>
  <c r="D21" i="8" l="1"/>
  <c r="C27" i="8" s="1"/>
  <c r="D20" i="8"/>
  <c r="H109" i="7"/>
  <c r="G107" i="7"/>
  <c r="H24" i="7"/>
  <c r="H100" i="7" s="1"/>
  <c r="J8" i="7"/>
  <c r="H21" i="7"/>
  <c r="H97" i="7" s="1"/>
  <c r="H23" i="7"/>
  <c r="H99" i="7" s="1"/>
  <c r="H25" i="7"/>
  <c r="H101" i="7" s="1"/>
  <c r="J7" i="7"/>
  <c r="H96" i="7"/>
  <c r="G22" i="7"/>
  <c r="G28" i="7" s="1"/>
  <c r="G29" i="7" s="1"/>
  <c r="J126" i="7"/>
  <c r="J129" i="7" s="1"/>
  <c r="H95" i="7"/>
  <c r="H171" i="7" s="1"/>
  <c r="H88" i="7"/>
  <c r="G95" i="7"/>
  <c r="G171" i="7" s="1"/>
  <c r="G88" i="7"/>
  <c r="I20" i="7"/>
  <c r="I27" i="7" s="1"/>
  <c r="I103" i="7" s="1"/>
  <c r="P126" i="7"/>
  <c r="P129" i="7" s="1"/>
  <c r="G98" i="7"/>
  <c r="G104" i="7" s="1"/>
  <c r="G111" i="7" s="1"/>
  <c r="G112" i="7" s="1"/>
  <c r="N126" i="7"/>
  <c r="N129" i="7" s="1"/>
  <c r="H126" i="7"/>
  <c r="H129" i="7" s="1"/>
  <c r="M126" i="7"/>
  <c r="M129" i="7" s="1"/>
  <c r="L5" i="7"/>
  <c r="L126" i="7"/>
  <c r="L129" i="7" s="1"/>
  <c r="K16" i="7"/>
  <c r="J173" i="7"/>
  <c r="J174" i="7" s="1"/>
  <c r="K126" i="7"/>
  <c r="K129" i="7" s="1"/>
  <c r="F111" i="7"/>
  <c r="F112" i="7" s="1"/>
  <c r="F167" i="7" s="1"/>
  <c r="J3" i="7"/>
  <c r="I19" i="7"/>
  <c r="I40" i="7" s="1"/>
  <c r="F84" i="7"/>
  <c r="F150" i="7"/>
  <c r="O126" i="7"/>
  <c r="O129" i="7" s="1"/>
  <c r="G126" i="7"/>
  <c r="G129" i="7" s="1"/>
  <c r="I126" i="7"/>
  <c r="I129" i="7" s="1"/>
  <c r="O147" i="7"/>
  <c r="O150" i="7" s="1"/>
  <c r="G147" i="7"/>
  <c r="G150" i="7" s="1"/>
  <c r="N147" i="7"/>
  <c r="N150" i="7" s="1"/>
  <c r="M147" i="7"/>
  <c r="M150" i="7" s="1"/>
  <c r="P147" i="7"/>
  <c r="P150" i="7" s="1"/>
  <c r="H147" i="7"/>
  <c r="H150" i="7" s="1"/>
  <c r="F126" i="7"/>
  <c r="F129" i="7" s="1"/>
  <c r="H26" i="3"/>
  <c r="H27" i="3" s="1"/>
  <c r="G53" i="3"/>
  <c r="I6" i="5"/>
  <c r="H9" i="5"/>
  <c r="J9" i="5"/>
  <c r="I9" i="5"/>
  <c r="D10" i="5"/>
  <c r="I10" i="5" s="1"/>
  <c r="J6" i="5"/>
  <c r="G11" i="5"/>
  <c r="G17" i="5" s="1"/>
  <c r="G22" i="5" s="1"/>
  <c r="E9" i="5"/>
  <c r="E16" i="4"/>
  <c r="I16" i="4"/>
  <c r="E27" i="4"/>
  <c r="E15" i="4"/>
  <c r="E12" i="4"/>
  <c r="E17" i="4"/>
  <c r="I12" i="4"/>
  <c r="I17" i="4"/>
  <c r="I53" i="3"/>
  <c r="I43" i="3"/>
  <c r="H17" i="3"/>
  <c r="I17" i="3"/>
  <c r="I41" i="3"/>
  <c r="H39" i="3"/>
  <c r="I13" i="3"/>
  <c r="H22" i="3"/>
  <c r="I39" i="3"/>
  <c r="H51" i="3"/>
  <c r="H42" i="3"/>
  <c r="I18" i="3"/>
  <c r="H33" i="3"/>
  <c r="I49" i="3"/>
  <c r="H40" i="3"/>
  <c r="H47" i="3"/>
  <c r="I132" i="7" l="1"/>
  <c r="I109" i="7"/>
  <c r="H98" i="7"/>
  <c r="H104" i="7" s="1"/>
  <c r="I21" i="7"/>
  <c r="I97" i="7" s="1"/>
  <c r="I23" i="7"/>
  <c r="I99" i="7" s="1"/>
  <c r="I24" i="7"/>
  <c r="I100" i="7" s="1"/>
  <c r="K7" i="7"/>
  <c r="H131" i="7"/>
  <c r="H133" i="7" s="1"/>
  <c r="H135" i="7" s="1"/>
  <c r="H107" i="7"/>
  <c r="H22" i="7"/>
  <c r="H28" i="7" s="1"/>
  <c r="H29" i="7" s="1"/>
  <c r="I25" i="7"/>
  <c r="I101" i="7" s="1"/>
  <c r="K8" i="7"/>
  <c r="G30" i="7"/>
  <c r="G35" i="7" s="1"/>
  <c r="G84" i="7" s="1"/>
  <c r="G157" i="7" s="1"/>
  <c r="G81" i="7"/>
  <c r="I96" i="7"/>
  <c r="I98" i="7" s="1"/>
  <c r="I95" i="7"/>
  <c r="I171" i="7" s="1"/>
  <c r="I88" i="7"/>
  <c r="J20" i="7"/>
  <c r="M5" i="7"/>
  <c r="L16" i="7"/>
  <c r="K173" i="7"/>
  <c r="K174" i="7" s="1"/>
  <c r="K3" i="7"/>
  <c r="J19" i="7"/>
  <c r="J40" i="7" s="1"/>
  <c r="F85" i="7"/>
  <c r="B4" i="8" s="1"/>
  <c r="F157" i="7"/>
  <c r="F158" i="7" s="1"/>
  <c r="G168" i="7"/>
  <c r="G113" i="7"/>
  <c r="G115" i="7" s="1"/>
  <c r="G127" i="7" s="1"/>
  <c r="G130" i="7" s="1"/>
  <c r="F113" i="7"/>
  <c r="F168" i="7"/>
  <c r="H11" i="5"/>
  <c r="J10" i="5"/>
  <c r="D11" i="5"/>
  <c r="D17" i="5" s="1"/>
  <c r="D22" i="5" s="1"/>
  <c r="H54" i="3"/>
  <c r="J20" i="4"/>
  <c r="I20" i="4"/>
  <c r="E20" i="4"/>
  <c r="D44" i="4"/>
  <c r="D45" i="4" s="1"/>
  <c r="I26" i="3"/>
  <c r="I36" i="3"/>
  <c r="I19" i="3"/>
  <c r="F115" i="7" l="1"/>
  <c r="B3" i="8" s="1"/>
  <c r="B6" i="8"/>
  <c r="B5" i="8"/>
  <c r="I22" i="7"/>
  <c r="J23" i="7"/>
  <c r="J99" i="7" s="1"/>
  <c r="J131" i="7" s="1"/>
  <c r="J27" i="7"/>
  <c r="J103" i="7" s="1"/>
  <c r="I28" i="7"/>
  <c r="I29" i="7" s="1"/>
  <c r="H30" i="7"/>
  <c r="H35" i="7" s="1"/>
  <c r="H84" i="7" s="1"/>
  <c r="H157" i="7" s="1"/>
  <c r="L8" i="7"/>
  <c r="J24" i="7"/>
  <c r="J100" i="7" s="1"/>
  <c r="L7" i="7"/>
  <c r="I104" i="7"/>
  <c r="J25" i="7"/>
  <c r="J101" i="7" s="1"/>
  <c r="I107" i="7"/>
  <c r="I131" i="7"/>
  <c r="I133" i="7" s="1"/>
  <c r="I135" i="7" s="1"/>
  <c r="H111" i="7"/>
  <c r="G85" i="7"/>
  <c r="G167" i="7"/>
  <c r="H81" i="7"/>
  <c r="H154" i="7" s="1"/>
  <c r="G154" i="7"/>
  <c r="G158" i="7" s="1"/>
  <c r="J95" i="7"/>
  <c r="J171" i="7" s="1"/>
  <c r="J88" i="7"/>
  <c r="J96" i="7"/>
  <c r="J21" i="7"/>
  <c r="J97" i="7" s="1"/>
  <c r="K20" i="7"/>
  <c r="K27" i="7" s="1"/>
  <c r="K103" i="7" s="1"/>
  <c r="I30" i="7"/>
  <c r="I35" i="7" s="1"/>
  <c r="I84" i="7" s="1"/>
  <c r="I157" i="7" s="1"/>
  <c r="N5" i="7"/>
  <c r="G145" i="7"/>
  <c r="G151" i="7" s="1"/>
  <c r="G172" i="7"/>
  <c r="G176" i="7" s="1"/>
  <c r="L173" i="7"/>
  <c r="L174" i="7" s="1"/>
  <c r="M16" i="7"/>
  <c r="F166" i="7"/>
  <c r="F127" i="7"/>
  <c r="F130" i="7" s="1"/>
  <c r="F145" i="7" s="1"/>
  <c r="F151" i="7" s="1"/>
  <c r="F159" i="7" s="1"/>
  <c r="F161" i="7" s="1"/>
  <c r="F163" i="7" s="1"/>
  <c r="L3" i="7"/>
  <c r="K19" i="7"/>
  <c r="K40" i="7" s="1"/>
  <c r="E17" i="5"/>
  <c r="I17" i="5"/>
  <c r="J17" i="5"/>
  <c r="H17" i="5"/>
  <c r="I11" i="5"/>
  <c r="E11" i="5"/>
  <c r="J11" i="5"/>
  <c r="J24" i="4"/>
  <c r="I24" i="4"/>
  <c r="E24" i="4"/>
  <c r="E24" i="3"/>
  <c r="I27" i="3"/>
  <c r="E25" i="3"/>
  <c r="E11" i="3"/>
  <c r="E27" i="3"/>
  <c r="E14" i="3"/>
  <c r="E22" i="3"/>
  <c r="E23" i="3"/>
  <c r="E17" i="3"/>
  <c r="E12" i="3"/>
  <c r="E18" i="3"/>
  <c r="E13" i="3"/>
  <c r="I44" i="3"/>
  <c r="E44" i="3"/>
  <c r="E26" i="3"/>
  <c r="K132" i="7" l="1"/>
  <c r="K109" i="7"/>
  <c r="J107" i="7"/>
  <c r="J132" i="7"/>
  <c r="J133" i="7" s="1"/>
  <c r="J135" i="7" s="1"/>
  <c r="J109" i="7"/>
  <c r="K21" i="7"/>
  <c r="K97" i="7" s="1"/>
  <c r="K23" i="7"/>
  <c r="K99" i="7" s="1"/>
  <c r="I111" i="7"/>
  <c r="K24" i="7"/>
  <c r="K100" i="7" s="1"/>
  <c r="H112" i="7"/>
  <c r="H113" i="7" s="1"/>
  <c r="H115" i="7" s="1"/>
  <c r="H127" i="7" s="1"/>
  <c r="H130" i="7" s="1"/>
  <c r="M7" i="7"/>
  <c r="K25" i="7"/>
  <c r="K101" i="7" s="1"/>
  <c r="M8" i="7"/>
  <c r="K96" i="7"/>
  <c r="G166" i="7"/>
  <c r="L20" i="7"/>
  <c r="L27" i="7" s="1"/>
  <c r="L103" i="7" s="1"/>
  <c r="H85" i="7"/>
  <c r="H166" i="7" s="1"/>
  <c r="I81" i="7"/>
  <c r="I154" i="7" s="1"/>
  <c r="J98" i="7"/>
  <c r="J104" i="7" s="1"/>
  <c r="K95" i="7"/>
  <c r="K171" i="7" s="1"/>
  <c r="K88" i="7"/>
  <c r="J22" i="7"/>
  <c r="J28" i="7" s="1"/>
  <c r="J29" i="7" s="1"/>
  <c r="O5" i="7"/>
  <c r="H158" i="7"/>
  <c r="G159" i="7"/>
  <c r="G161" i="7" s="1"/>
  <c r="G163" i="7" s="1"/>
  <c r="M173" i="7"/>
  <c r="M174" i="7" s="1"/>
  <c r="N16" i="7"/>
  <c r="L19" i="7"/>
  <c r="L40" i="7" s="1"/>
  <c r="M3" i="7"/>
  <c r="I31" i="4"/>
  <c r="E31" i="4"/>
  <c r="J31" i="4"/>
  <c r="E34" i="3"/>
  <c r="I54" i="3"/>
  <c r="E33" i="3"/>
  <c r="E48" i="3"/>
  <c r="E54" i="3"/>
  <c r="E35" i="3"/>
  <c r="E32" i="3"/>
  <c r="E40" i="3"/>
  <c r="E50" i="3"/>
  <c r="E52" i="3"/>
  <c r="E53" i="3"/>
  <c r="E31" i="3"/>
  <c r="E41" i="3"/>
  <c r="E42" i="3"/>
  <c r="E51" i="3"/>
  <c r="E39" i="3"/>
  <c r="E43" i="3"/>
  <c r="E47" i="3"/>
  <c r="E49" i="3"/>
  <c r="E36" i="3"/>
  <c r="E19" i="3"/>
  <c r="L24" i="7" l="1"/>
  <c r="L100" i="7" s="1"/>
  <c r="J111" i="7"/>
  <c r="J112" i="7" s="1"/>
  <c r="J168" i="7" s="1"/>
  <c r="L132" i="7"/>
  <c r="L109" i="7"/>
  <c r="N7" i="7"/>
  <c r="H145" i="7"/>
  <c r="H151" i="7" s="1"/>
  <c r="H159" i="7" s="1"/>
  <c r="H161" i="7" s="1"/>
  <c r="H163" i="7" s="1"/>
  <c r="H172" i="7"/>
  <c r="H176" i="7" s="1"/>
  <c r="K22" i="7"/>
  <c r="K28" i="7" s="1"/>
  <c r="K29" i="7" s="1"/>
  <c r="H168" i="7"/>
  <c r="H167" i="7"/>
  <c r="I112" i="7"/>
  <c r="L21" i="7"/>
  <c r="L97" i="7" s="1"/>
  <c r="L23" i="7"/>
  <c r="L99" i="7" s="1"/>
  <c r="K98" i="7"/>
  <c r="K104" i="7" s="1"/>
  <c r="K111" i="7" s="1"/>
  <c r="K112" i="7" s="1"/>
  <c r="L25" i="7"/>
  <c r="L101" i="7" s="1"/>
  <c r="N8" i="7"/>
  <c r="K131" i="7"/>
  <c r="K133" i="7" s="1"/>
  <c r="K135" i="7" s="1"/>
  <c r="K107" i="7"/>
  <c r="L96" i="7"/>
  <c r="M20" i="7"/>
  <c r="M27" i="7" s="1"/>
  <c r="M103" i="7" s="1"/>
  <c r="J81" i="7"/>
  <c r="J154" i="7" s="1"/>
  <c r="I85" i="7"/>
  <c r="I166" i="7" s="1"/>
  <c r="L95" i="7"/>
  <c r="L171" i="7" s="1"/>
  <c r="L88" i="7"/>
  <c r="J30" i="7"/>
  <c r="J35" i="7" s="1"/>
  <c r="J84" i="7" s="1"/>
  <c r="J157" i="7" s="1"/>
  <c r="P5" i="7"/>
  <c r="I158" i="7"/>
  <c r="O16" i="7"/>
  <c r="N173" i="7"/>
  <c r="N174" i="7" s="1"/>
  <c r="M19" i="7"/>
  <c r="M40" i="7" s="1"/>
  <c r="N3" i="7"/>
  <c r="G52" i="2"/>
  <c r="I50" i="2"/>
  <c r="H50" i="2"/>
  <c r="G50" i="2"/>
  <c r="G49" i="2"/>
  <c r="I49" i="2"/>
  <c r="I48" i="2"/>
  <c r="H48" i="2"/>
  <c r="G48" i="2"/>
  <c r="H47" i="2"/>
  <c r="G47" i="2"/>
  <c r="I47" i="2"/>
  <c r="G46" i="2"/>
  <c r="H46" i="2"/>
  <c r="I45" i="2"/>
  <c r="H45" i="2"/>
  <c r="G45" i="2"/>
  <c r="G42" i="2"/>
  <c r="G41" i="2"/>
  <c r="H40" i="2"/>
  <c r="G40" i="2"/>
  <c r="I40" i="2"/>
  <c r="G39" i="2"/>
  <c r="I39" i="2"/>
  <c r="I38" i="2"/>
  <c r="H38" i="2"/>
  <c r="G38" i="2"/>
  <c r="G37" i="2"/>
  <c r="G34" i="2"/>
  <c r="G33" i="2"/>
  <c r="I33" i="2"/>
  <c r="G32" i="2"/>
  <c r="I32" i="2"/>
  <c r="I31" i="2"/>
  <c r="H31" i="2"/>
  <c r="G31" i="2"/>
  <c r="G30" i="2"/>
  <c r="I29" i="2"/>
  <c r="H29" i="2"/>
  <c r="G29" i="2"/>
  <c r="G25" i="2"/>
  <c r="G24" i="2"/>
  <c r="E24" i="2"/>
  <c r="I23" i="2"/>
  <c r="H23" i="2"/>
  <c r="G23" i="2"/>
  <c r="G22" i="2"/>
  <c r="H22" i="2"/>
  <c r="I21" i="2"/>
  <c r="H21" i="2"/>
  <c r="G21" i="2"/>
  <c r="G20" i="2"/>
  <c r="I20" i="2"/>
  <c r="G17" i="2"/>
  <c r="I16" i="2"/>
  <c r="H16" i="2"/>
  <c r="G16" i="2"/>
  <c r="G15" i="2"/>
  <c r="I15" i="2"/>
  <c r="I14" i="2"/>
  <c r="H14" i="2"/>
  <c r="G14" i="2"/>
  <c r="E14" i="2"/>
  <c r="G13" i="2"/>
  <c r="I13" i="2"/>
  <c r="I12" i="2"/>
  <c r="H12" i="2"/>
  <c r="G12" i="2"/>
  <c r="G11" i="2"/>
  <c r="I11" i="2"/>
  <c r="G45" i="1"/>
  <c r="H31" i="1"/>
  <c r="J29" i="1"/>
  <c r="H29" i="1"/>
  <c r="E29" i="1"/>
  <c r="I28" i="1"/>
  <c r="H28" i="1"/>
  <c r="H27" i="1"/>
  <c r="I27" i="1"/>
  <c r="I29" i="1" s="1"/>
  <c r="H24" i="1"/>
  <c r="J22" i="1"/>
  <c r="I22" i="1"/>
  <c r="H22" i="1"/>
  <c r="E22" i="1"/>
  <c r="H20" i="1"/>
  <c r="J18" i="1"/>
  <c r="I18" i="1"/>
  <c r="H18" i="1"/>
  <c r="E18" i="1"/>
  <c r="J17" i="1"/>
  <c r="I17" i="1"/>
  <c r="H17" i="1"/>
  <c r="E17" i="1"/>
  <c r="H16" i="1"/>
  <c r="J15" i="1"/>
  <c r="I15" i="1"/>
  <c r="H15" i="1"/>
  <c r="E15" i="1"/>
  <c r="H14" i="1"/>
  <c r="J14" i="1"/>
  <c r="H12" i="1"/>
  <c r="H11" i="1"/>
  <c r="J11" i="1"/>
  <c r="J10" i="1"/>
  <c r="I10" i="1"/>
  <c r="H10" i="1"/>
  <c r="E10" i="1"/>
  <c r="B6" i="1"/>
  <c r="L98" i="7" l="1"/>
  <c r="L22" i="7"/>
  <c r="M25" i="7"/>
  <c r="M101" i="7" s="1"/>
  <c r="M132" i="7"/>
  <c r="M109" i="7"/>
  <c r="J113" i="7"/>
  <c r="J115" i="7" s="1"/>
  <c r="J127" i="7" s="1"/>
  <c r="J130" i="7" s="1"/>
  <c r="J145" i="7" s="1"/>
  <c r="J151" i="7" s="1"/>
  <c r="K30" i="7"/>
  <c r="K35" i="7" s="1"/>
  <c r="K84" i="7" s="1"/>
  <c r="K168" i="7"/>
  <c r="O8" i="7"/>
  <c r="L28" i="7"/>
  <c r="L29" i="7" s="1"/>
  <c r="M21" i="7"/>
  <c r="M22" i="7" s="1"/>
  <c r="M23" i="7"/>
  <c r="M99" i="7" s="1"/>
  <c r="L131" i="7"/>
  <c r="L133" i="7" s="1"/>
  <c r="L135" i="7" s="1"/>
  <c r="L107" i="7"/>
  <c r="I168" i="7"/>
  <c r="I167" i="7"/>
  <c r="L104" i="7"/>
  <c r="O7" i="7"/>
  <c r="K113" i="7"/>
  <c r="K115" i="7" s="1"/>
  <c r="K127" i="7" s="1"/>
  <c r="K130" i="7" s="1"/>
  <c r="K172" i="7" s="1"/>
  <c r="K176" i="7" s="1"/>
  <c r="I113" i="7"/>
  <c r="I115" i="7" s="1"/>
  <c r="I127" i="7" s="1"/>
  <c r="I130" i="7" s="1"/>
  <c r="M24" i="7"/>
  <c r="M100" i="7" s="1"/>
  <c r="N20" i="7"/>
  <c r="N27" i="7" s="1"/>
  <c r="N103" i="7" s="1"/>
  <c r="M96" i="7"/>
  <c r="J172" i="7"/>
  <c r="J176" i="7" s="1"/>
  <c r="J167" i="7"/>
  <c r="M95" i="7"/>
  <c r="M171" i="7" s="1"/>
  <c r="M88" i="7"/>
  <c r="K167" i="7"/>
  <c r="J85" i="7"/>
  <c r="K81" i="7"/>
  <c r="L81" i="7" s="1"/>
  <c r="K157" i="7"/>
  <c r="J158" i="7"/>
  <c r="J159" i="7" s="1"/>
  <c r="P16" i="7"/>
  <c r="P173" i="7" s="1"/>
  <c r="O173" i="7"/>
  <c r="O174" i="7" s="1"/>
  <c r="N19" i="7"/>
  <c r="N40" i="7" s="1"/>
  <c r="O3" i="7"/>
  <c r="G51" i="2"/>
  <c r="I41" i="2"/>
  <c r="I34" i="2"/>
  <c r="E12" i="2"/>
  <c r="E21" i="2"/>
  <c r="I25" i="2"/>
  <c r="E23" i="2"/>
  <c r="E25" i="2"/>
  <c r="E15" i="2"/>
  <c r="I17" i="2"/>
  <c r="I24" i="2"/>
  <c r="H32" i="2"/>
  <c r="E13" i="2"/>
  <c r="H15" i="2"/>
  <c r="H39" i="2"/>
  <c r="E22" i="2"/>
  <c r="H30" i="2"/>
  <c r="H34" i="2" s="1"/>
  <c r="E11" i="2"/>
  <c r="H13" i="2"/>
  <c r="I30" i="2"/>
  <c r="H37" i="2"/>
  <c r="H41" i="2" s="1"/>
  <c r="E20" i="2"/>
  <c r="H20" i="2"/>
  <c r="H24" i="2" s="1"/>
  <c r="I37" i="2"/>
  <c r="H49" i="2"/>
  <c r="H51" i="2" s="1"/>
  <c r="H11" i="2"/>
  <c r="H33" i="2"/>
  <c r="I12" i="1"/>
  <c r="J12" i="1"/>
  <c r="E12" i="1"/>
  <c r="E11" i="1"/>
  <c r="E14" i="1"/>
  <c r="I16" i="1"/>
  <c r="I11" i="1"/>
  <c r="J16" i="1"/>
  <c r="I14" i="1"/>
  <c r="E16" i="1"/>
  <c r="E27" i="1"/>
  <c r="N132" i="7" l="1"/>
  <c r="N109" i="7"/>
  <c r="L30" i="7"/>
  <c r="L35" i="7" s="1"/>
  <c r="L84" i="7" s="1"/>
  <c r="L157" i="7" s="1"/>
  <c r="K145" i="7"/>
  <c r="K151" i="7" s="1"/>
  <c r="I145" i="7"/>
  <c r="I151" i="7" s="1"/>
  <c r="I159" i="7" s="1"/>
  <c r="I161" i="7" s="1"/>
  <c r="I163" i="7" s="1"/>
  <c r="I172" i="7"/>
  <c r="I176" i="7" s="1"/>
  <c r="N21" i="7"/>
  <c r="N22" i="7" s="1"/>
  <c r="N23" i="7"/>
  <c r="N99" i="7" s="1"/>
  <c r="P8" i="7"/>
  <c r="M131" i="7"/>
  <c r="M133" i="7" s="1"/>
  <c r="M135" i="7" s="1"/>
  <c r="M107" i="7"/>
  <c r="P7" i="7"/>
  <c r="M28" i="7"/>
  <c r="N24" i="7"/>
  <c r="N100" i="7" s="1"/>
  <c r="L111" i="7"/>
  <c r="M97" i="7"/>
  <c r="M98" i="7" s="1"/>
  <c r="M104" i="7" s="1"/>
  <c r="N25" i="7"/>
  <c r="N101" i="7" s="1"/>
  <c r="N96" i="7"/>
  <c r="O20" i="7"/>
  <c r="N95" i="7"/>
  <c r="N171" i="7" s="1"/>
  <c r="N88" i="7"/>
  <c r="P174" i="7"/>
  <c r="J166" i="7"/>
  <c r="K85" i="7"/>
  <c r="K154" i="7"/>
  <c r="K158" i="7" s="1"/>
  <c r="J161" i="7"/>
  <c r="J163" i="7" s="1"/>
  <c r="L154" i="7"/>
  <c r="L85" i="7"/>
  <c r="P3" i="7"/>
  <c r="P19" i="7" s="1"/>
  <c r="P40" i="7" s="1"/>
  <c r="O19" i="7"/>
  <c r="O40" i="7" s="1"/>
  <c r="I42" i="2"/>
  <c r="I51" i="2"/>
  <c r="E17" i="2"/>
  <c r="H17" i="2"/>
  <c r="H25" i="2" s="1"/>
  <c r="H42" i="2"/>
  <c r="H52" i="2" s="1"/>
  <c r="D45" i="1"/>
  <c r="I20" i="1"/>
  <c r="J20" i="1"/>
  <c r="E20" i="1"/>
  <c r="K159" i="7" l="1"/>
  <c r="N97" i="7"/>
  <c r="N98" i="7" s="1"/>
  <c r="N104" i="7" s="1"/>
  <c r="M81" i="7"/>
  <c r="M154" i="7" s="1"/>
  <c r="O24" i="7"/>
  <c r="O100" i="7" s="1"/>
  <c r="O27" i="7"/>
  <c r="O103" i="7" s="1"/>
  <c r="O25" i="7"/>
  <c r="O101" i="7" s="1"/>
  <c r="M111" i="7"/>
  <c r="N131" i="7"/>
  <c r="N133" i="7" s="1"/>
  <c r="N135" i="7" s="1"/>
  <c r="N107" i="7"/>
  <c r="L112" i="7"/>
  <c r="L168" i="7" s="1"/>
  <c r="M29" i="7"/>
  <c r="M30" i="7" s="1"/>
  <c r="M35" i="7" s="1"/>
  <c r="M84" i="7" s="1"/>
  <c r="M157" i="7" s="1"/>
  <c r="N28" i="7"/>
  <c r="P20" i="7"/>
  <c r="P21" i="7" s="1"/>
  <c r="P97" i="7" s="1"/>
  <c r="O23" i="7"/>
  <c r="O99" i="7" s="1"/>
  <c r="P24" i="7"/>
  <c r="P100" i="7" s="1"/>
  <c r="O21" i="7"/>
  <c r="O97" i="7" s="1"/>
  <c r="O96" i="7"/>
  <c r="P95" i="7"/>
  <c r="P171" i="7" s="1"/>
  <c r="P88" i="7"/>
  <c r="O95" i="7"/>
  <c r="O171" i="7" s="1"/>
  <c r="O88" i="7"/>
  <c r="K166" i="7"/>
  <c r="K161" i="7"/>
  <c r="K163" i="7" s="1"/>
  <c r="L166" i="7"/>
  <c r="L158" i="7"/>
  <c r="I52" i="2"/>
  <c r="E48" i="2"/>
  <c r="E29" i="2"/>
  <c r="E52" i="2"/>
  <c r="E47" i="2"/>
  <c r="E40" i="2"/>
  <c r="D53" i="2"/>
  <c r="E37" i="2"/>
  <c r="E34" i="2"/>
  <c r="E30" i="2"/>
  <c r="E45" i="2"/>
  <c r="E39" i="2"/>
  <c r="E33" i="2"/>
  <c r="E31" i="2"/>
  <c r="E50" i="2"/>
  <c r="E32" i="2"/>
  <c r="E49" i="2"/>
  <c r="E38" i="2"/>
  <c r="E46" i="2"/>
  <c r="E41" i="2"/>
  <c r="E51" i="2"/>
  <c r="E42" i="2"/>
  <c r="J24" i="1"/>
  <c r="I24" i="1"/>
  <c r="E24" i="1"/>
  <c r="P96" i="7" l="1"/>
  <c r="N111" i="7"/>
  <c r="N112" i="7" s="1"/>
  <c r="P23" i="7"/>
  <c r="P99" i="7" s="1"/>
  <c r="P27" i="7"/>
  <c r="P103" i="7" s="1"/>
  <c r="L167" i="7"/>
  <c r="O132" i="7"/>
  <c r="O109" i="7"/>
  <c r="O98" i="7"/>
  <c r="O104" i="7" s="1"/>
  <c r="L113" i="7"/>
  <c r="L115" i="7" s="1"/>
  <c r="L127" i="7" s="1"/>
  <c r="L130" i="7" s="1"/>
  <c r="P131" i="7"/>
  <c r="P107" i="7"/>
  <c r="M85" i="7"/>
  <c r="M166" i="7" s="1"/>
  <c r="N81" i="7"/>
  <c r="N154" i="7" s="1"/>
  <c r="N29" i="7"/>
  <c r="N168" i="7" s="1"/>
  <c r="O131" i="7"/>
  <c r="O133" i="7" s="1"/>
  <c r="O135" i="7" s="1"/>
  <c r="O107" i="7"/>
  <c r="P25" i="7"/>
  <c r="P101" i="7" s="1"/>
  <c r="M112" i="7"/>
  <c r="M168" i="7" s="1"/>
  <c r="O22" i="7"/>
  <c r="O28" i="7" s="1"/>
  <c r="O29" i="7" s="1"/>
  <c r="N113" i="7"/>
  <c r="N115" i="7" s="1"/>
  <c r="N127" i="7" s="1"/>
  <c r="N130" i="7" s="1"/>
  <c r="N172" i="7" s="1"/>
  <c r="N176" i="7" s="1"/>
  <c r="P22" i="7"/>
  <c r="P98" i="7"/>
  <c r="M158" i="7"/>
  <c r="J31" i="1"/>
  <c r="I31" i="1"/>
  <c r="E31" i="1"/>
  <c r="P104" i="7" l="1"/>
  <c r="P132" i="7"/>
  <c r="P133" i="7" s="1"/>
  <c r="P109" i="7"/>
  <c r="P28" i="7"/>
  <c r="P29" i="7" s="1"/>
  <c r="M167" i="7"/>
  <c r="M113" i="7"/>
  <c r="M115" i="7" s="1"/>
  <c r="M127" i="7" s="1"/>
  <c r="M130" i="7" s="1"/>
  <c r="M145" i="7" s="1"/>
  <c r="M151" i="7" s="1"/>
  <c r="M159" i="7" s="1"/>
  <c r="M161" i="7" s="1"/>
  <c r="M163" i="7" s="1"/>
  <c r="N30" i="7"/>
  <c r="N35" i="7" s="1"/>
  <c r="L145" i="7"/>
  <c r="L151" i="7" s="1"/>
  <c r="L159" i="7" s="1"/>
  <c r="L161" i="7" s="1"/>
  <c r="L163" i="7" s="1"/>
  <c r="L172" i="7"/>
  <c r="L176" i="7" s="1"/>
  <c r="O111" i="7"/>
  <c r="N145" i="7"/>
  <c r="N151" i="7" s="1"/>
  <c r="O30" i="7"/>
  <c r="O35" i="7" s="1"/>
  <c r="O84" i="7" s="1"/>
  <c r="P30" i="7"/>
  <c r="P35" i="7" s="1"/>
  <c r="P84" i="7" s="1"/>
  <c r="P111" i="7" l="1"/>
  <c r="P112" i="7" s="1"/>
  <c r="P135" i="7"/>
  <c r="P168" i="7"/>
  <c r="M172" i="7"/>
  <c r="M176" i="7" s="1"/>
  <c r="P113" i="7"/>
  <c r="P115" i="7" s="1"/>
  <c r="P127" i="7" s="1"/>
  <c r="P130" i="7" s="1"/>
  <c r="P145" i="7" s="1"/>
  <c r="P151" i="7" s="1"/>
  <c r="N84" i="7"/>
  <c r="N167" i="7"/>
  <c r="O157" i="7"/>
  <c r="O112" i="7"/>
  <c r="O168" i="7" s="1"/>
  <c r="P157" i="7"/>
  <c r="P167" i="7"/>
  <c r="P172" i="7" l="1"/>
  <c r="O167" i="7"/>
  <c r="O113" i="7"/>
  <c r="O115" i="7" s="1"/>
  <c r="O127" i="7" s="1"/>
  <c r="O130" i="7" s="1"/>
  <c r="O145" i="7" s="1"/>
  <c r="O151" i="7" s="1"/>
  <c r="N157" i="7"/>
  <c r="N85" i="7"/>
  <c r="O81" i="7"/>
  <c r="P175" i="7"/>
  <c r="P176" i="7" s="1"/>
  <c r="O172" i="7" l="1"/>
  <c r="O176" i="7" s="1"/>
  <c r="C178" i="7" s="1"/>
  <c r="O154" i="7"/>
  <c r="O158" i="7" s="1"/>
  <c r="O159" i="7" s="1"/>
  <c r="O161" i="7" s="1"/>
  <c r="O163" i="7" s="1"/>
  <c r="O85" i="7"/>
  <c r="P81" i="7"/>
  <c r="N158" i="7"/>
  <c r="N159" i="7" s="1"/>
  <c r="N161" i="7" s="1"/>
  <c r="N163" i="7" s="1"/>
  <c r="N166" i="7"/>
  <c r="O166" i="7" l="1"/>
  <c r="P85" i="7"/>
  <c r="P154" i="7"/>
  <c r="C180" i="7"/>
  <c r="P166" i="7" l="1"/>
  <c r="P158" i="7"/>
  <c r="P159" i="7" s="1"/>
  <c r="P161" i="7" s="1"/>
  <c r="P163" i="7" s="1"/>
  <c r="E161" i="7" l="1"/>
  <c r="E43" i="7" l="1"/>
  <c r="F43" i="7"/>
  <c r="G43" i="7"/>
  <c r="H43" i="7"/>
  <c r="I43" i="7"/>
  <c r="J43" i="7"/>
  <c r="K43" i="7"/>
  <c r="L43" i="7"/>
  <c r="M43" i="7"/>
  <c r="N43" i="7"/>
  <c r="O43" i="7"/>
  <c r="P43" i="7"/>
  <c r="E50" i="7"/>
  <c r="F50" i="7"/>
  <c r="G50" i="7"/>
  <c r="H50" i="7"/>
  <c r="I50" i="7"/>
  <c r="J50" i="7"/>
  <c r="K50" i="7"/>
  <c r="L50" i="7"/>
  <c r="M50" i="7"/>
  <c r="N50" i="7"/>
  <c r="O50" i="7"/>
  <c r="P50" i="7"/>
  <c r="E58" i="7"/>
  <c r="F58" i="7"/>
  <c r="G58" i="7"/>
  <c r="H58" i="7"/>
  <c r="I58" i="7"/>
  <c r="J58" i="7"/>
  <c r="K58" i="7"/>
  <c r="L58" i="7"/>
  <c r="M58" i="7"/>
  <c r="N58" i="7"/>
  <c r="O58" i="7"/>
  <c r="P58" i="7"/>
  <c r="E62" i="7"/>
  <c r="F62" i="7"/>
  <c r="G62" i="7"/>
  <c r="H62" i="7"/>
  <c r="I62" i="7"/>
  <c r="J62" i="7"/>
  <c r="K62" i="7"/>
  <c r="L62" i="7"/>
  <c r="M62" i="7"/>
  <c r="N62" i="7"/>
  <c r="O62" i="7"/>
  <c r="P62" i="7"/>
  <c r="E68" i="7"/>
  <c r="F68" i="7"/>
  <c r="G68" i="7"/>
  <c r="H68" i="7"/>
  <c r="I68" i="7"/>
  <c r="J68" i="7"/>
  <c r="K68" i="7"/>
  <c r="L68" i="7"/>
  <c r="M68" i="7"/>
  <c r="N68" i="7"/>
  <c r="O68" i="7"/>
  <c r="P68" i="7"/>
  <c r="E76" i="7"/>
  <c r="F76" i="7"/>
  <c r="G76" i="7"/>
  <c r="H76" i="7"/>
  <c r="I76" i="7"/>
  <c r="J76" i="7"/>
  <c r="K76" i="7"/>
  <c r="L76" i="7"/>
  <c r="M76" i="7"/>
  <c r="N76" i="7"/>
  <c r="O76" i="7"/>
  <c r="P76" i="7"/>
  <c r="E86" i="7"/>
  <c r="F86" i="7"/>
  <c r="G86" i="7"/>
  <c r="H86" i="7"/>
  <c r="I86" i="7"/>
  <c r="J86" i="7"/>
  <c r="K86" i="7"/>
  <c r="L86" i="7"/>
  <c r="M86" i="7"/>
  <c r="N86" i="7"/>
  <c r="O86" i="7"/>
  <c r="P86" i="7"/>
  <c r="E89" i="7"/>
  <c r="F89" i="7"/>
  <c r="G89" i="7"/>
  <c r="H89" i="7"/>
  <c r="I89" i="7"/>
  <c r="J89" i="7"/>
  <c r="K89" i="7"/>
  <c r="L89" i="7"/>
  <c r="M89" i="7"/>
  <c r="N89" i="7"/>
  <c r="O89" i="7"/>
  <c r="P89" i="7"/>
  <c r="E90" i="7"/>
  <c r="F90" i="7"/>
  <c r="G90" i="7"/>
  <c r="H90" i="7"/>
  <c r="I90" i="7"/>
  <c r="J90" i="7"/>
  <c r="K90" i="7"/>
  <c r="L90" i="7"/>
  <c r="M90" i="7"/>
  <c r="N90" i="7"/>
  <c r="O90" i="7"/>
  <c r="P90" i="7"/>
  <c r="E91" i="7"/>
  <c r="F91" i="7"/>
  <c r="G91" i="7"/>
  <c r="H91" i="7"/>
  <c r="I91" i="7"/>
  <c r="J91" i="7"/>
  <c r="K91" i="7"/>
  <c r="L91" i="7"/>
  <c r="M91" i="7"/>
  <c r="N91" i="7"/>
  <c r="O91" i="7"/>
  <c r="P91" i="7"/>
  <c r="E93" i="7"/>
  <c r="F93" i="7"/>
  <c r="G93" i="7"/>
  <c r="H93" i="7"/>
  <c r="I93" i="7"/>
  <c r="J93" i="7"/>
  <c r="K93" i="7"/>
  <c r="L93" i="7"/>
  <c r="M93" i="7"/>
  <c r="N93" i="7"/>
  <c r="O93" i="7"/>
  <c r="P93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B7" i="8"/>
  <c r="B8" i="8"/>
  <c r="B15" i="8"/>
</calcChain>
</file>

<file path=xl/sharedStrings.xml><?xml version="1.0" encoding="utf-8"?>
<sst xmlns="http://schemas.openxmlformats.org/spreadsheetml/2006/main" count="627" uniqueCount="217">
  <si>
    <t>ALUICA S.A.S</t>
  </si>
  <si>
    <t>Nit: 830,021,151-5</t>
  </si>
  <si>
    <t xml:space="preserve">Estado de resultados integral  </t>
  </si>
  <si>
    <t>Expresado en pesos colombianos</t>
  </si>
  <si>
    <t/>
  </si>
  <si>
    <t>NOTAS</t>
  </si>
  <si>
    <t>DIC/2021</t>
  </si>
  <si>
    <t>Part</t>
  </si>
  <si>
    <t>DIC/2020</t>
  </si>
  <si>
    <t>VARIACION ABSOLUTA</t>
  </si>
  <si>
    <t>VARIACION RELATIVA</t>
  </si>
  <si>
    <t xml:space="preserve">INGRESO DE ACTIVIDADES ORDINARIAS </t>
  </si>
  <si>
    <t xml:space="preserve">Costo de ventas </t>
  </si>
  <si>
    <t xml:space="preserve">GANANCIA BRUTA </t>
  </si>
  <si>
    <t xml:space="preserve">  </t>
  </si>
  <si>
    <t xml:space="preserve">Otros Ingresos </t>
  </si>
  <si>
    <t xml:space="preserve">Costos de distribución </t>
  </si>
  <si>
    <t xml:space="preserve">Gastos de administración </t>
  </si>
  <si>
    <t xml:space="preserve">Costos financieros </t>
  </si>
  <si>
    <t xml:space="preserve">Otros Gastos </t>
  </si>
  <si>
    <t xml:space="preserve">GANANCIA (PERDIDA), ANTES DE IMPUESTO </t>
  </si>
  <si>
    <t xml:space="preserve">Gasto por impuesto a las ganancias </t>
  </si>
  <si>
    <t xml:space="preserve">GANANCIA (PERDIDA) PROCEDENTE DE OPERACIONES CONTINUADAS </t>
  </si>
  <si>
    <t>PARTIDAS DE OTRO RESULTADO INTEGRAL</t>
  </si>
  <si>
    <t>Por ingresos</t>
  </si>
  <si>
    <t>Por gastos</t>
  </si>
  <si>
    <t>TOTAL OTRO RESULTADO INTEGRAL</t>
  </si>
  <si>
    <t>TOTAL DE GANANCIA  O PERDIDA INTEGRAL</t>
  </si>
  <si>
    <t>(Las Notas hacen parte Integral de los Estados Financieros).</t>
  </si>
  <si>
    <t>Representante legal</t>
  </si>
  <si>
    <t>Contador Publico T.P No. 86001-T</t>
  </si>
  <si>
    <t>Revisor Fiscal T.P No. 55751-T</t>
  </si>
  <si>
    <t>Miembro de M.R Consulting S.A.S</t>
  </si>
  <si>
    <t>Ver informe adjunto</t>
  </si>
  <si>
    <t>BASE RESERVA LEGAL 10%</t>
  </si>
  <si>
    <t>RESERVA LEGAL 10%</t>
  </si>
  <si>
    <t xml:space="preserve">APLICA </t>
  </si>
  <si>
    <t>N/A</t>
  </si>
  <si>
    <t>S/A</t>
  </si>
  <si>
    <t xml:space="preserve">Estado de la situación financiera </t>
  </si>
  <si>
    <t>A 31 de Diciembre 2021 - 2020</t>
  </si>
  <si>
    <t xml:space="preserve">ACTIVO </t>
  </si>
  <si>
    <t xml:space="preserve">ACTIVO CORRIENTE </t>
  </si>
  <si>
    <t xml:space="preserve">Efectivo y equivalente al efectivo </t>
  </si>
  <si>
    <t xml:space="preserve">Otros activos no financieros </t>
  </si>
  <si>
    <t>Otros Activos Financieros</t>
  </si>
  <si>
    <t xml:space="preserve">Cuentas comerciales por cobrar y otros por cobrar </t>
  </si>
  <si>
    <t xml:space="preserve">Inventarios </t>
  </si>
  <si>
    <t xml:space="preserve">Activos por impuestos </t>
  </si>
  <si>
    <t xml:space="preserve">TOTAL ACTIVO CORRIENTE </t>
  </si>
  <si>
    <t xml:space="preserve">ACTIVOS NO CORRIENTES </t>
  </si>
  <si>
    <t xml:space="preserve">Propiedad, planta y equipo </t>
  </si>
  <si>
    <t xml:space="preserve">Propiedad de inversión </t>
  </si>
  <si>
    <t>Activos Intangibles</t>
  </si>
  <si>
    <t xml:space="preserve"> </t>
  </si>
  <si>
    <t xml:space="preserve">TOTAL ACTIVOS NO CORRIENTES </t>
  </si>
  <si>
    <t xml:space="preserve">TOTAL ACTIVOS </t>
  </si>
  <si>
    <t xml:space="preserve">PASIVOS </t>
  </si>
  <si>
    <t xml:space="preserve">PASIVOS CORRIENTES </t>
  </si>
  <si>
    <t xml:space="preserve">Otros pasivos no financieros </t>
  </si>
  <si>
    <t xml:space="preserve">Otros pasivos financieros </t>
  </si>
  <si>
    <t xml:space="preserve">Cuentas por pagar comerciales y otras c. por pagar </t>
  </si>
  <si>
    <t xml:space="preserve">Beneficios a los empleados </t>
  </si>
  <si>
    <t xml:space="preserve">Pasivos por impuestos </t>
  </si>
  <si>
    <t xml:space="preserve">TOTAL PASIVOS CORRIENTE </t>
  </si>
  <si>
    <t xml:space="preserve">PASIVOS NO CORRIENTES </t>
  </si>
  <si>
    <t xml:space="preserve">Provisiones </t>
  </si>
  <si>
    <t xml:space="preserve">Ingresos diferidos y acumulaciones (o devengos) </t>
  </si>
  <si>
    <t xml:space="preserve">TOTAL PASIVO NO CORRIENTE </t>
  </si>
  <si>
    <t xml:space="preserve">TOTAL PASIVOS </t>
  </si>
  <si>
    <t xml:space="preserve">PATRIMONIO </t>
  </si>
  <si>
    <t xml:space="preserve">Capital emitido </t>
  </si>
  <si>
    <t>Superavit  de Capital</t>
  </si>
  <si>
    <t>Ganancias acumuladas</t>
  </si>
  <si>
    <t>Ganancias retenidas Adopciòn NIIF</t>
  </si>
  <si>
    <t xml:space="preserve">Otras reservas </t>
  </si>
  <si>
    <t>Utilidad/Perdida del periodo</t>
  </si>
  <si>
    <t xml:space="preserve">TOTAL PATRIMONIO </t>
  </si>
  <si>
    <t xml:space="preserve">TOTAL DE PATRIMONIO Y PASIVOS </t>
  </si>
  <si>
    <t>Contador Publico T.P No. XXXX-T</t>
  </si>
  <si>
    <t>Revisor Fiscal T.P No. XXXX-T</t>
  </si>
  <si>
    <t>Contador Publico T.P No. XXXXX-T</t>
  </si>
  <si>
    <t>Revisor Fiscal T.P No. XXXXX-T</t>
  </si>
  <si>
    <t>A 31 de Diciembre 2022 - 2021</t>
  </si>
  <si>
    <t>DIC/2022</t>
  </si>
  <si>
    <t xml:space="preserve">Cuentas por pagar comerciales y otras cxp </t>
  </si>
  <si>
    <t>UTILIDAD OPERACIONAL</t>
  </si>
  <si>
    <t>EBITDA</t>
  </si>
  <si>
    <t>NOPAT</t>
  </si>
  <si>
    <t>Impuestos Operacionales</t>
  </si>
  <si>
    <t>Tax Shield Financiero</t>
  </si>
  <si>
    <t>Impuesto No Operacional</t>
  </si>
  <si>
    <t>OP</t>
  </si>
  <si>
    <t>NOP</t>
  </si>
  <si>
    <t>CxC Comerciales</t>
  </si>
  <si>
    <t>Deudores Varios</t>
  </si>
  <si>
    <t>FIN</t>
  </si>
  <si>
    <t>ESTADO DE RESULTADOS</t>
  </si>
  <si>
    <t>BALANCE GENERAL</t>
  </si>
  <si>
    <t>ACTIVOS CTES. OPERATIVOS</t>
  </si>
  <si>
    <t>PASIVOS CTES. OPERATIVOS</t>
  </si>
  <si>
    <t>CAPITAL TRABAJO NETO OPER.</t>
  </si>
  <si>
    <t>ACTIVOS FIJOS Y LP OPER.</t>
  </si>
  <si>
    <t>PASIVOS OPER. LP</t>
  </si>
  <si>
    <t>ACTIVOS NETOS OPERATIVOS</t>
  </si>
  <si>
    <t>ACTIVOS NO OPER. NETOS</t>
  </si>
  <si>
    <t>PASIVOS NO OPER.</t>
  </si>
  <si>
    <t>ACTIVOS NO OPER.</t>
  </si>
  <si>
    <t>ACTIVOS NETOS LP OPER.</t>
  </si>
  <si>
    <t>ACTIVOS TOTALES DE LA EMPRESA</t>
  </si>
  <si>
    <t>PASIVOS FINANCIEROS CTES.</t>
  </si>
  <si>
    <t>PASIVOS FINANCIEROS LP</t>
  </si>
  <si>
    <t>PASIVOS FINANCIEROS TOTALES</t>
  </si>
  <si>
    <t>PATRIMONIO</t>
  </si>
  <si>
    <t>PATRIMONIO + PASIVOS</t>
  </si>
  <si>
    <t>CAPITAL INVERTIDO OPERATIVO</t>
  </si>
  <si>
    <t>FLUJO DE CAJA LIBRE OPERATIVO</t>
  </si>
  <si>
    <t>FLUJO DE CAJA NO OPERATIVO BRUTO DISPONIBLE PARA INVERSIONES NO OPERATIVAS</t>
  </si>
  <si>
    <t>CAPITAL INVERTIDO NETO NO OPER.</t>
  </si>
  <si>
    <t>FLUJO CAJA DE LA DEUDA</t>
  </si>
  <si>
    <t>FLUJO DE CAJA DE LOS ACCIONISTAS</t>
  </si>
  <si>
    <t>AUMENTO (DISMINUCIÓN) CAJA</t>
  </si>
  <si>
    <t>CAJA FINAL</t>
  </si>
  <si>
    <t>ESTADO DE RESULTADOS (COP)</t>
  </si>
  <si>
    <t>BALANCE GENERAL (COP)</t>
  </si>
  <si>
    <t>FLUJO DE CAJA (COP)</t>
  </si>
  <si>
    <t>AJUSTE UTILIDAD ANTES DE IMPUESTOS</t>
  </si>
  <si>
    <t>UTILIDAD OPERATIVA</t>
  </si>
  <si>
    <t>DD&amp;A</t>
  </si>
  <si>
    <t>ACTIVOS CORRIENTES OPERATIVOS</t>
  </si>
  <si>
    <t>PASIVOS CORRIENTES OPERATIVOS</t>
  </si>
  <si>
    <t>KTNO</t>
  </si>
  <si>
    <t>EGO</t>
  </si>
  <si>
    <t>Impuesto no Operacional</t>
  </si>
  <si>
    <t>Otros Ingresos (Resultado Integral)</t>
  </si>
  <si>
    <t>Tax Shield</t>
  </si>
  <si>
    <t>FLUJO DE CAJA DISPONIBLE PARA ACCIONISTAS</t>
  </si>
  <si>
    <t>Caja Inicial</t>
  </si>
  <si>
    <t>Check Activos</t>
  </si>
  <si>
    <t>Check Pasivos</t>
  </si>
  <si>
    <t>Check Equity</t>
  </si>
  <si>
    <t>Check Utilidad Neta</t>
  </si>
  <si>
    <t>Check Impuestos</t>
  </si>
  <si>
    <t>Check Caja BS</t>
  </si>
  <si>
    <t>Check BS</t>
  </si>
  <si>
    <t>SUPUESTOS</t>
  </si>
  <si>
    <t>Tax rate</t>
  </si>
  <si>
    <t>x</t>
  </si>
  <si>
    <t>WACC</t>
  </si>
  <si>
    <t>VALORACION (COP)</t>
  </si>
  <si>
    <t>Flujo de Caja Libre Operativo</t>
  </si>
  <si>
    <t>Discount Factor</t>
  </si>
  <si>
    <t>Flujos Descontados</t>
  </si>
  <si>
    <t>Valor Terminal</t>
  </si>
  <si>
    <t>Equity Value</t>
  </si>
  <si>
    <t>(-) Deuda</t>
  </si>
  <si>
    <t>Enterprise Value</t>
  </si>
  <si>
    <t>THE PLUG (COP)</t>
  </si>
  <si>
    <t>Pasivos+Patrimonio Totales sin ajuste de Caja</t>
  </si>
  <si>
    <t>Activos Totales sin ajuste de Caja</t>
  </si>
  <si>
    <t>Plug</t>
  </si>
  <si>
    <t>Exceso de Caja</t>
  </si>
  <si>
    <t>Pasivos financieros requeridos</t>
  </si>
  <si>
    <t>Inflación Largo Plazo</t>
  </si>
  <si>
    <t>Crecimiento de Ventas</t>
  </si>
  <si>
    <t>Costo de Ventas/Ventas</t>
  </si>
  <si>
    <t>Otros Ingresos/Ventas</t>
  </si>
  <si>
    <t>Costos de Distribución/Ventas</t>
  </si>
  <si>
    <t>Gastos de Administración/Ventas</t>
  </si>
  <si>
    <t>Costos Financieros</t>
  </si>
  <si>
    <t>Tasa de Interés Activa</t>
  </si>
  <si>
    <t>Tasa de Interés Pasiva</t>
  </si>
  <si>
    <t>Tasa de Interés Pasiva/Activa</t>
  </si>
  <si>
    <t>Dividendos</t>
  </si>
  <si>
    <t>Otros Gastos/Ventas</t>
  </si>
  <si>
    <t>Variable de ajuste del modelo de planeación financiera???? (Plug)</t>
  </si>
  <si>
    <t>Margen EBITDA</t>
  </si>
  <si>
    <t>EVA Operativo</t>
  </si>
  <si>
    <t>EBITDAC</t>
  </si>
  <si>
    <t>EVA NO Operativo</t>
  </si>
  <si>
    <t>Rentabilidad sobre el PATRIMONIO</t>
  </si>
  <si>
    <t>EVA TOTAL</t>
  </si>
  <si>
    <t>Utilización de los activos fijos</t>
  </si>
  <si>
    <t>Margen EVA</t>
  </si>
  <si>
    <t>Tasa de crecimiento sostenible de la EMPRESA</t>
  </si>
  <si>
    <t>RSP</t>
  </si>
  <si>
    <t>EVA operativo, no operativo y total</t>
  </si>
  <si>
    <t>UODI/INOPdi</t>
  </si>
  <si>
    <t>EVA momentum (discriminado en ganancia en productividad y crecimiento rentable)</t>
  </si>
  <si>
    <t>ROIC</t>
  </si>
  <si>
    <t>UODI / INOPdi</t>
  </si>
  <si>
    <t>Ventas de equilibrio (podríamos sacarle una gráfica como en clase)</t>
  </si>
  <si>
    <t>Capital empleado fijo y Variable</t>
  </si>
  <si>
    <t>Utilidad mínima requerida</t>
  </si>
  <si>
    <t>Puntos de equilibrio operativo y económico</t>
  </si>
  <si>
    <t>Margenes de seguridad operativo y económico</t>
  </si>
  <si>
    <t>PE-EBITDA=CF-D&amp;A/indice de contribución</t>
  </si>
  <si>
    <t>Poner explícita la estructura de Capital</t>
  </si>
  <si>
    <t>Ke y Kd</t>
  </si>
  <si>
    <t>Múltiplos de salida (EV/EBITDA....)</t>
  </si>
  <si>
    <t>D/(E+D)</t>
  </si>
  <si>
    <t>E/(E+D)</t>
  </si>
  <si>
    <t>EVA Momentum</t>
  </si>
  <si>
    <t>Ventas</t>
  </si>
  <si>
    <t>Crecimiento en Ventas</t>
  </si>
  <si>
    <t>Crecimiento Rentable</t>
  </si>
  <si>
    <t>Ganancia en Productividad</t>
  </si>
  <si>
    <t>Participacion</t>
  </si>
  <si>
    <t>Prima de Riesgo</t>
  </si>
  <si>
    <t>Beta</t>
  </si>
  <si>
    <t>Libre Riesgo</t>
  </si>
  <si>
    <t>Riesgo País</t>
  </si>
  <si>
    <t>Ke</t>
  </si>
  <si>
    <t>Kd</t>
  </si>
  <si>
    <t>Tasa de Crecimiento Sostenible</t>
  </si>
  <si>
    <t>b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</si>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</sst>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-* #,##0_-;\-* #,##0_-;_-* &quot;-&quot;??_-;_-@_-"/>
    <numFmt numFmtId="167" formatCode="_-&quot;$&quot;* #,##0.00_-;\-&quot;$&quot;* #,##0.00_-;_-&quot;$&quot;* &quot;-&quot;_-;_-@_-"/>
    <numFmt numFmtId="168" formatCode="mmm/yyyy"/>
    <numFmt numFmtId="169" formatCode="0.0%"/>
    <numFmt numFmtId="170" formatCode="_-&quot;$&quot;\ * #,##0_-;\-&quot;$&quot;\ * #,##0_-;_-&quot;$&quot;\ * &quot;-&quot;??_-;_-@_-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indexed="18"/>
      <name val="Arial"/>
      <family val="2"/>
    </font>
    <font>
      <sz val="16"/>
      <color indexed="1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4"/>
      <color indexed="18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0" tint="-0.14999847407452621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4" tint="0.3999755851924192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2"/>
      <color rgb="FF000000"/>
      <name val="Arial"/>
      <family val="2"/>
    </font>
    <font>
      <b/>
      <sz val="8"/>
      <color theme="0" tint="-4.9989318521683403E-2"/>
      <name val="Arial"/>
      <family val="2"/>
    </font>
    <font>
      <b/>
      <sz val="10"/>
      <color theme="0" tint="-4.9989318521683403E-2"/>
      <name val="Arial"/>
      <family val="2"/>
    </font>
    <font>
      <b/>
      <sz val="12"/>
      <color rgb="FF000000"/>
      <name val="Arial"/>
      <family val="2"/>
    </font>
    <font>
      <b/>
      <sz val="7"/>
      <color theme="0" tint="-4.9989318521683403E-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rgb="FFFF0000"/>
      <name val="Arial"/>
      <family val="2"/>
    </font>
    <font>
      <b/>
      <sz val="11"/>
      <color rgb="FF0070C0"/>
      <name val="Arial"/>
      <family val="2"/>
    </font>
    <font>
      <sz val="11"/>
      <color rgb="FF0070C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8" tint="-0.249977111117893"/>
        <bgColor rgb="FFC0C0C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>
      <alignment horizontal="left" vertical="top"/>
    </xf>
    <xf numFmtId="0" fontId="18" fillId="0" borderId="0">
      <alignment horizontal="center" vertical="top"/>
    </xf>
    <xf numFmtId="0" fontId="27" fillId="0" borderId="0"/>
    <xf numFmtId="44" fontId="1" fillId="0" borderId="0" applyFont="0" applyFill="0" applyBorder="0" applyAlignment="0" applyProtection="0"/>
  </cellStyleXfs>
  <cellXfs count="35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41" fontId="2" fillId="0" borderId="0" xfId="2" applyFont="1"/>
    <xf numFmtId="0" fontId="6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49" fontId="9" fillId="3" borderId="0" xfId="1" applyNumberFormat="1" applyFont="1" applyFill="1" applyBorder="1" applyAlignment="1" applyProtection="1">
      <alignment horizontal="center" vertical="center" wrapText="1"/>
    </xf>
    <xf numFmtId="41" fontId="8" fillId="3" borderId="0" xfId="0" applyNumberFormat="1" applyFont="1" applyFill="1" applyAlignment="1">
      <alignment horizontal="right" vertical="center" wrapText="1"/>
    </xf>
    <xf numFmtId="9" fontId="8" fillId="3" borderId="0" xfId="4" applyFont="1" applyFill="1" applyBorder="1" applyAlignment="1" applyProtection="1">
      <alignment horizontal="center" vertical="center" wrapText="1"/>
    </xf>
    <xf numFmtId="41" fontId="10" fillId="3" borderId="0" xfId="2" applyFont="1" applyFill="1" applyBorder="1" applyAlignment="1" applyProtection="1">
      <alignment horizontal="center" vertical="center" wrapText="1"/>
    </xf>
    <xf numFmtId="9" fontId="10" fillId="3" borderId="0" xfId="4" applyFont="1" applyFill="1" applyBorder="1" applyAlignment="1" applyProtection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166" fontId="11" fillId="0" borderId="0" xfId="1" applyNumberFormat="1" applyFont="1" applyAlignment="1">
      <alignment vertical="center"/>
    </xf>
    <xf numFmtId="10" fontId="12" fillId="2" borderId="0" xfId="4" applyNumberFormat="1" applyFont="1" applyFill="1" applyBorder="1" applyAlignment="1" applyProtection="1">
      <alignment horizontal="right" vertical="center" wrapText="1"/>
    </xf>
    <xf numFmtId="41" fontId="11" fillId="0" borderId="0" xfId="2" applyFont="1" applyAlignment="1">
      <alignment vertical="center"/>
    </xf>
    <xf numFmtId="9" fontId="11" fillId="0" borderId="0" xfId="4" applyFont="1" applyAlignment="1">
      <alignment horizontal="center" vertical="center"/>
    </xf>
    <xf numFmtId="166" fontId="2" fillId="0" borderId="0" xfId="0" applyNumberFormat="1" applyFont="1"/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horizontal="center" vertical="top" wrapText="1"/>
    </xf>
    <xf numFmtId="166" fontId="14" fillId="0" borderId="0" xfId="1" applyNumberFormat="1" applyFont="1" applyAlignment="1">
      <alignment vertical="center"/>
    </xf>
    <xf numFmtId="10" fontId="15" fillId="2" borderId="0" xfId="4" applyNumberFormat="1" applyFont="1" applyFill="1" applyBorder="1" applyAlignment="1" applyProtection="1">
      <alignment horizontal="right" vertical="center" wrapText="1"/>
    </xf>
    <xf numFmtId="41" fontId="14" fillId="0" borderId="0" xfId="2" applyFont="1" applyAlignment="1">
      <alignment vertical="center"/>
    </xf>
    <xf numFmtId="9" fontId="14" fillId="0" borderId="0" xfId="4" applyFont="1" applyAlignment="1">
      <alignment horizontal="center" vertical="center"/>
    </xf>
    <xf numFmtId="0" fontId="9" fillId="2" borderId="0" xfId="0" applyFont="1" applyFill="1" applyAlignment="1">
      <alignment vertical="top" wrapText="1"/>
    </xf>
    <xf numFmtId="166" fontId="14" fillId="0" borderId="0" xfId="1" applyNumberFormat="1" applyFont="1"/>
    <xf numFmtId="167" fontId="14" fillId="0" borderId="0" xfId="3" applyNumberFormat="1" applyFont="1"/>
    <xf numFmtId="41" fontId="14" fillId="0" borderId="0" xfId="2" applyFont="1"/>
    <xf numFmtId="10" fontId="15" fillId="2" borderId="0" xfId="4" applyNumberFormat="1" applyFont="1" applyFill="1" applyBorder="1" applyAlignment="1" applyProtection="1">
      <alignment horizontal="right" vertical="top" wrapText="1"/>
    </xf>
    <xf numFmtId="0" fontId="9" fillId="2" borderId="0" xfId="0" applyFont="1" applyFill="1" applyAlignment="1">
      <alignment vertical="center" wrapText="1"/>
    </xf>
    <xf numFmtId="167" fontId="11" fillId="0" borderId="0" xfId="3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3" fillId="2" borderId="0" xfId="0" applyFont="1" applyFill="1" applyAlignment="1">
      <alignment vertical="center" wrapText="1"/>
    </xf>
    <xf numFmtId="166" fontId="14" fillId="0" borderId="0" xfId="1" applyNumberFormat="1" applyFont="1" applyFill="1" applyAlignment="1">
      <alignment vertical="center"/>
    </xf>
    <xf numFmtId="167" fontId="14" fillId="0" borderId="0" xfId="3" applyNumberFormat="1" applyFont="1" applyAlignment="1">
      <alignment vertical="center"/>
    </xf>
    <xf numFmtId="41" fontId="14" fillId="0" borderId="0" xfId="2" applyFont="1" applyFill="1" applyAlignment="1">
      <alignment vertical="center"/>
    </xf>
    <xf numFmtId="41" fontId="11" fillId="0" borderId="0" xfId="2" applyFont="1"/>
    <xf numFmtId="167" fontId="11" fillId="0" borderId="0" xfId="3" applyNumberFormat="1" applyFont="1"/>
    <xf numFmtId="9" fontId="11" fillId="0" borderId="0" xfId="2" applyNumberFormat="1" applyFont="1" applyAlignment="1">
      <alignment horizontal="center"/>
    </xf>
    <xf numFmtId="167" fontId="14" fillId="0" borderId="0" xfId="2" applyNumberFormat="1" applyFont="1"/>
    <xf numFmtId="167" fontId="11" fillId="0" borderId="0" xfId="2" applyNumberFormat="1" applyFont="1" applyAlignment="1">
      <alignment vertical="center"/>
    </xf>
    <xf numFmtId="0" fontId="17" fillId="0" borderId="0" xfId="5" quotePrefix="1" applyFont="1" applyAlignment="1">
      <alignment horizontal="left" vertical="top" wrapText="1"/>
    </xf>
    <xf numFmtId="41" fontId="17" fillId="0" borderId="0" xfId="5" quotePrefix="1" applyNumberFormat="1" applyFont="1" applyAlignment="1">
      <alignment horizontal="left" vertical="top" wrapText="1"/>
    </xf>
    <xf numFmtId="0" fontId="19" fillId="0" borderId="0" xfId="6" quotePrefix="1" applyFont="1" applyAlignment="1">
      <alignment horizontal="left" vertical="top" wrapText="1"/>
    </xf>
    <xf numFmtId="0" fontId="20" fillId="0" borderId="0" xfId="0" applyFont="1" applyAlignment="1">
      <alignment horizontal="center" wrapText="1"/>
    </xf>
    <xf numFmtId="0" fontId="21" fillId="0" borderId="0" xfId="0" applyFont="1"/>
    <xf numFmtId="0" fontId="22" fillId="0" borderId="0" xfId="5" quotePrefix="1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0" fontId="17" fillId="0" borderId="0" xfId="0" applyFont="1"/>
    <xf numFmtId="0" fontId="23" fillId="0" borderId="0" xfId="0" applyFont="1" applyAlignment="1">
      <alignment horizontal="center"/>
    </xf>
    <xf numFmtId="0" fontId="24" fillId="0" borderId="0" xfId="0" applyFont="1"/>
    <xf numFmtId="0" fontId="2" fillId="4" borderId="1" xfId="0" applyFont="1" applyFill="1" applyBorder="1"/>
    <xf numFmtId="0" fontId="3" fillId="4" borderId="1" xfId="0" applyFont="1" applyFill="1" applyBorder="1" applyAlignment="1">
      <alignment horizontal="center"/>
    </xf>
    <xf numFmtId="41" fontId="24" fillId="4" borderId="1" xfId="2" applyFont="1" applyFill="1" applyBorder="1"/>
    <xf numFmtId="0" fontId="24" fillId="4" borderId="1" xfId="0" applyFont="1" applyFill="1" applyBorder="1"/>
    <xf numFmtId="0" fontId="25" fillId="2" borderId="0" xfId="0" applyFont="1" applyFill="1" applyAlignment="1">
      <alignment vertical="top" wrapText="1"/>
    </xf>
    <xf numFmtId="0" fontId="26" fillId="5" borderId="0" xfId="0" applyFont="1" applyFill="1" applyAlignment="1">
      <alignment horizontal="center" vertical="center"/>
    </xf>
    <xf numFmtId="166" fontId="9" fillId="3" borderId="0" xfId="1" applyNumberFormat="1" applyFont="1" applyFill="1" applyBorder="1" applyAlignment="1" applyProtection="1">
      <alignment horizontal="center" vertical="center" wrapText="1"/>
    </xf>
    <xf numFmtId="41" fontId="26" fillId="5" borderId="0" xfId="0" applyNumberFormat="1" applyFont="1" applyFill="1" applyAlignment="1">
      <alignment horizontal="center" vertical="center" wrapText="1"/>
    </xf>
    <xf numFmtId="9" fontId="26" fillId="5" borderId="0" xfId="4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top" wrapText="1"/>
    </xf>
    <xf numFmtId="166" fontId="2" fillId="0" borderId="0" xfId="1" applyNumberFormat="1" applyFont="1" applyAlignment="1">
      <alignment horizontal="right"/>
    </xf>
    <xf numFmtId="10" fontId="2" fillId="0" borderId="0" xfId="4" applyNumberFormat="1" applyFont="1" applyAlignment="1">
      <alignment horizontal="right"/>
    </xf>
    <xf numFmtId="41" fontId="2" fillId="0" borderId="0" xfId="0" applyNumberFormat="1" applyFont="1" applyAlignment="1">
      <alignment horizontal="right"/>
    </xf>
    <xf numFmtId="9" fontId="2" fillId="0" borderId="0" xfId="4" applyFont="1"/>
    <xf numFmtId="41" fontId="2" fillId="0" borderId="0" xfId="0" applyNumberFormat="1" applyFont="1"/>
    <xf numFmtId="9" fontId="2" fillId="0" borderId="0" xfId="4" applyFont="1" applyAlignment="1"/>
    <xf numFmtId="0" fontId="13" fillId="2" borderId="0" xfId="0" applyFont="1" applyFill="1" applyAlignment="1">
      <alignment horizontal="left" vertical="top" wrapText="1"/>
    </xf>
    <xf numFmtId="166" fontId="15" fillId="2" borderId="0" xfId="1" applyNumberFormat="1" applyFont="1" applyFill="1" applyBorder="1" applyAlignment="1" applyProtection="1">
      <alignment horizontal="right" vertical="top" wrapText="1"/>
    </xf>
    <xf numFmtId="10" fontId="15" fillId="2" borderId="0" xfId="4" applyNumberFormat="1" applyFont="1" applyFill="1" applyBorder="1" applyAlignment="1" applyProtection="1">
      <alignment vertical="top" wrapText="1"/>
    </xf>
    <xf numFmtId="41" fontId="15" fillId="2" borderId="0" xfId="2" applyFont="1" applyFill="1" applyBorder="1" applyAlignment="1" applyProtection="1">
      <alignment horizontal="right" vertical="top" wrapText="1"/>
    </xf>
    <xf numFmtId="10" fontId="14" fillId="0" borderId="0" xfId="4" applyNumberFormat="1" applyFont="1" applyAlignment="1">
      <alignment wrapText="1"/>
    </xf>
    <xf numFmtId="41" fontId="14" fillId="0" borderId="0" xfId="0" applyNumberFormat="1" applyFont="1" applyAlignment="1">
      <alignment wrapText="1"/>
    </xf>
    <xf numFmtId="9" fontId="11" fillId="0" borderId="0" xfId="4" applyFont="1" applyAlignment="1">
      <alignment wrapText="1"/>
    </xf>
    <xf numFmtId="0" fontId="14" fillId="0" borderId="0" xfId="7" applyFont="1" applyAlignment="1">
      <alignment horizontal="left" vertical="top" wrapText="1"/>
    </xf>
    <xf numFmtId="166" fontId="14" fillId="2" borderId="0" xfId="1" applyNumberFormat="1" applyFont="1" applyFill="1" applyBorder="1" applyAlignment="1" applyProtection="1">
      <alignment horizontal="right" vertical="top" wrapText="1"/>
    </xf>
    <xf numFmtId="166" fontId="12" fillId="2" borderId="0" xfId="1" applyNumberFormat="1" applyFont="1" applyFill="1" applyBorder="1" applyAlignment="1" applyProtection="1">
      <alignment horizontal="right" vertical="top" wrapText="1"/>
    </xf>
    <xf numFmtId="10" fontId="12" fillId="2" borderId="0" xfId="4" applyNumberFormat="1" applyFont="1" applyFill="1" applyBorder="1" applyAlignment="1" applyProtection="1">
      <alignment vertical="top" wrapText="1"/>
    </xf>
    <xf numFmtId="41" fontId="12" fillId="2" borderId="0" xfId="2" applyFont="1" applyFill="1" applyBorder="1" applyAlignment="1" applyProtection="1">
      <alignment horizontal="right" vertical="top" wrapText="1"/>
    </xf>
    <xf numFmtId="10" fontId="11" fillId="0" borderId="0" xfId="4" applyNumberFormat="1" applyFont="1" applyAlignment="1">
      <alignment wrapText="1"/>
    </xf>
    <xf numFmtId="41" fontId="11" fillId="0" borderId="0" xfId="0" applyNumberFormat="1" applyFont="1" applyAlignment="1">
      <alignment wrapText="1"/>
    </xf>
    <xf numFmtId="166" fontId="14" fillId="0" borderId="0" xfId="1" applyNumberFormat="1" applyFont="1" applyAlignment="1">
      <alignment wrapText="1"/>
    </xf>
    <xf numFmtId="41" fontId="14" fillId="0" borderId="0" xfId="2" applyFont="1" applyAlignment="1">
      <alignment wrapText="1"/>
    </xf>
    <xf numFmtId="9" fontId="14" fillId="0" borderId="0" xfId="4" applyFont="1" applyAlignment="1">
      <alignment wrapText="1"/>
    </xf>
    <xf numFmtId="166" fontId="14" fillId="0" borderId="0" xfId="1" applyNumberFormat="1" applyFont="1" applyFill="1" applyBorder="1" applyAlignment="1" applyProtection="1">
      <alignment horizontal="right" vertical="top" wrapText="1"/>
    </xf>
    <xf numFmtId="166" fontId="12" fillId="2" borderId="2" xfId="1" applyNumberFormat="1" applyFont="1" applyFill="1" applyBorder="1" applyAlignment="1" applyProtection="1">
      <alignment horizontal="right" vertical="top" wrapText="1"/>
    </xf>
    <xf numFmtId="41" fontId="12" fillId="2" borderId="2" xfId="2" applyFont="1" applyFill="1" applyBorder="1" applyAlignment="1" applyProtection="1">
      <alignment horizontal="right" vertical="top" wrapText="1"/>
    </xf>
    <xf numFmtId="41" fontId="11" fillId="0" borderId="2" xfId="0" applyNumberFormat="1" applyFont="1" applyBorder="1" applyAlignment="1">
      <alignment wrapText="1"/>
    </xf>
    <xf numFmtId="43" fontId="2" fillId="0" borderId="0" xfId="0" applyNumberFormat="1" applyFont="1"/>
    <xf numFmtId="166" fontId="14" fillId="0" borderId="0" xfId="1" applyNumberFormat="1" applyFont="1" applyAlignment="1">
      <alignment horizontal="right" wrapText="1"/>
    </xf>
    <xf numFmtId="41" fontId="14" fillId="0" borderId="0" xfId="2" applyFont="1" applyAlignment="1">
      <alignment horizontal="right" wrapText="1"/>
    </xf>
    <xf numFmtId="0" fontId="13" fillId="2" borderId="0" xfId="0" applyFont="1" applyFill="1" applyAlignment="1">
      <alignment horizontal="left" vertical="center" wrapText="1"/>
    </xf>
    <xf numFmtId="166" fontId="15" fillId="2" borderId="0" xfId="1" applyNumberFormat="1" applyFont="1" applyFill="1" applyBorder="1" applyAlignment="1" applyProtection="1">
      <alignment horizontal="right" vertical="center" wrapText="1"/>
    </xf>
    <xf numFmtId="10" fontId="15" fillId="2" borderId="0" xfId="4" applyNumberFormat="1" applyFont="1" applyFill="1" applyBorder="1" applyAlignment="1" applyProtection="1">
      <alignment vertical="center" wrapText="1"/>
    </xf>
    <xf numFmtId="41" fontId="15" fillId="2" borderId="0" xfId="2" applyFont="1" applyFill="1" applyBorder="1" applyAlignment="1" applyProtection="1">
      <alignment horizontal="right" vertical="center" wrapText="1"/>
    </xf>
    <xf numFmtId="164" fontId="2" fillId="0" borderId="0" xfId="0" applyNumberFormat="1" applyFont="1"/>
    <xf numFmtId="166" fontId="15" fillId="0" borderId="0" xfId="1" applyNumberFormat="1" applyFont="1" applyFill="1" applyBorder="1" applyAlignment="1" applyProtection="1">
      <alignment horizontal="right" vertical="top" wrapText="1"/>
    </xf>
    <xf numFmtId="41" fontId="12" fillId="2" borderId="0" xfId="2" applyFont="1" applyFill="1" applyBorder="1" applyAlignment="1" applyProtection="1">
      <alignment vertical="top" wrapText="1"/>
    </xf>
    <xf numFmtId="0" fontId="23" fillId="0" borderId="0" xfId="0" applyFont="1" applyAlignment="1">
      <alignment horizontal="center" vertical="center"/>
    </xf>
    <xf numFmtId="166" fontId="28" fillId="0" borderId="0" xfId="1" applyNumberFormat="1" applyFont="1"/>
    <xf numFmtId="10" fontId="17" fillId="0" borderId="0" xfId="4" applyNumberFormat="1" applyFont="1"/>
    <xf numFmtId="41" fontId="17" fillId="0" borderId="0" xfId="0" applyNumberFormat="1" applyFont="1"/>
    <xf numFmtId="10" fontId="29" fillId="0" borderId="0" xfId="4" quotePrefix="1" applyNumberFormat="1" applyFont="1" applyBorder="1" applyAlignment="1">
      <alignment horizontal="center" vertical="top" wrapText="1"/>
    </xf>
    <xf numFmtId="41" fontId="29" fillId="0" borderId="0" xfId="6" quotePrefix="1" applyNumberFormat="1" applyFont="1" applyAlignment="1">
      <alignment horizontal="center" vertical="top" wrapText="1"/>
    </xf>
    <xf numFmtId="0" fontId="30" fillId="0" borderId="0" xfId="6" quotePrefix="1" applyFont="1" applyAlignment="1">
      <alignment horizontal="center" vertical="top" wrapText="1"/>
    </xf>
    <xf numFmtId="0" fontId="30" fillId="0" borderId="0" xfId="6" quotePrefix="1" applyFont="1" applyAlignment="1">
      <alignment horizontal="center" vertical="center" wrapText="1"/>
    </xf>
    <xf numFmtId="166" fontId="31" fillId="0" borderId="0" xfId="1" quotePrefix="1" applyNumberFormat="1" applyFont="1" applyBorder="1" applyAlignment="1">
      <alignment horizontal="center" vertical="top" wrapText="1"/>
    </xf>
    <xf numFmtId="10" fontId="32" fillId="0" borderId="0" xfId="4" quotePrefix="1" applyNumberFormat="1" applyFont="1" applyBorder="1" applyAlignment="1">
      <alignment horizontal="center" vertical="top" wrapText="1"/>
    </xf>
    <xf numFmtId="41" fontId="31" fillId="0" borderId="0" xfId="6" quotePrefix="1" applyNumberFormat="1" applyFont="1" applyAlignment="1">
      <alignment horizontal="center" vertical="top" wrapText="1"/>
    </xf>
    <xf numFmtId="0" fontId="16" fillId="0" borderId="0" xfId="5" quotePrefix="1" applyAlignment="1">
      <alignment horizontal="center" vertical="top" wrapText="1"/>
    </xf>
    <xf numFmtId="0" fontId="30" fillId="0" borderId="0" xfId="5" quotePrefix="1" applyFont="1" applyAlignment="1">
      <alignment horizontal="center" vertical="center" wrapText="1"/>
    </xf>
    <xf numFmtId="166" fontId="17" fillId="0" borderId="0" xfId="1" quotePrefix="1" applyNumberFormat="1" applyFont="1" applyAlignment="1">
      <alignment horizontal="center" vertical="top" wrapText="1"/>
    </xf>
    <xf numFmtId="10" fontId="16" fillId="0" borderId="0" xfId="4" quotePrefix="1" applyNumberFormat="1" applyFont="1" applyAlignment="1">
      <alignment horizontal="center" vertical="top" wrapText="1"/>
    </xf>
    <xf numFmtId="41" fontId="17" fillId="0" borderId="0" xfId="5" quotePrefix="1" applyNumberFormat="1" applyFont="1" applyAlignment="1">
      <alignment horizontal="center" vertical="top" wrapText="1"/>
    </xf>
    <xf numFmtId="0" fontId="33" fillId="0" borderId="0" xfId="0" applyFont="1" applyAlignment="1">
      <alignment horizontal="center" wrapText="1"/>
    </xf>
    <xf numFmtId="0" fontId="34" fillId="0" borderId="0" xfId="0" applyFont="1" applyAlignment="1">
      <alignment horizontal="center" vertical="center" wrapText="1"/>
    </xf>
    <xf numFmtId="166" fontId="33" fillId="0" borderId="0" xfId="1" applyNumberFormat="1" applyFont="1" applyAlignment="1">
      <alignment horizontal="center" wrapText="1"/>
    </xf>
    <xf numFmtId="10" fontId="33" fillId="0" borderId="0" xfId="4" applyNumberFormat="1" applyFont="1" applyAlignment="1">
      <alignment horizontal="center" wrapText="1"/>
    </xf>
    <xf numFmtId="41" fontId="33" fillId="0" borderId="0" xfId="0" applyNumberFormat="1" applyFont="1" applyAlignment="1">
      <alignment horizontal="center" wrapText="1"/>
    </xf>
    <xf numFmtId="0" fontId="35" fillId="0" borderId="0" xfId="6" quotePrefix="1" applyFont="1" applyAlignment="1">
      <alignment horizontal="left" vertical="top" wrapText="1"/>
    </xf>
    <xf numFmtId="0" fontId="36" fillId="0" borderId="0" xfId="0" applyFont="1" applyAlignment="1">
      <alignment horizontal="center" vertical="center" wrapText="1"/>
    </xf>
    <xf numFmtId="0" fontId="37" fillId="0" borderId="0" xfId="0" applyFont="1"/>
    <xf numFmtId="0" fontId="38" fillId="0" borderId="0" xfId="5" quotePrefix="1" applyFont="1" applyAlignment="1">
      <alignment horizontal="left" vertical="top" wrapText="1"/>
    </xf>
    <xf numFmtId="0" fontId="20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66" fontId="17" fillId="0" borderId="0" xfId="1" applyNumberFormat="1" applyFont="1" applyAlignment="1">
      <alignment wrapText="1"/>
    </xf>
    <xf numFmtId="0" fontId="17" fillId="0" borderId="0" xfId="0" applyFont="1" applyAlignment="1">
      <alignment horizontal="center" wrapText="1"/>
    </xf>
    <xf numFmtId="41" fontId="17" fillId="0" borderId="0" xfId="0" applyNumberFormat="1" applyFont="1" applyAlignment="1">
      <alignment horizontal="center" wrapText="1"/>
    </xf>
    <xf numFmtId="41" fontId="24" fillId="0" borderId="0" xfId="0" applyNumberFormat="1" applyFont="1"/>
    <xf numFmtId="9" fontId="24" fillId="0" borderId="0" xfId="4" applyFont="1" applyAlignment="1"/>
    <xf numFmtId="41" fontId="17" fillId="0" borderId="0" xfId="0" applyNumberFormat="1" applyFont="1" applyAlignment="1">
      <alignment wrapText="1"/>
    </xf>
    <xf numFmtId="166" fontId="30" fillId="0" borderId="0" xfId="1" quotePrefix="1" applyNumberFormat="1" applyFont="1" applyBorder="1" applyAlignment="1">
      <alignment vertical="top" wrapText="1"/>
    </xf>
    <xf numFmtId="0" fontId="30" fillId="0" borderId="0" xfId="6" quotePrefix="1" applyFont="1" applyAlignment="1">
      <alignment vertical="top" wrapText="1"/>
    </xf>
    <xf numFmtId="41" fontId="30" fillId="0" borderId="0" xfId="6" quotePrefix="1" applyNumberFormat="1" applyFont="1" applyAlignment="1">
      <alignment vertical="top" wrapText="1"/>
    </xf>
    <xf numFmtId="166" fontId="16" fillId="0" borderId="0" xfId="1" quotePrefix="1" applyNumberFormat="1" applyFont="1" applyAlignment="1">
      <alignment vertical="top" wrapText="1"/>
    </xf>
    <xf numFmtId="0" fontId="16" fillId="0" borderId="0" xfId="5" quotePrefix="1" applyAlignment="1">
      <alignment vertical="top" wrapText="1"/>
    </xf>
    <xf numFmtId="41" fontId="16" fillId="0" borderId="0" xfId="5" quotePrefix="1" applyNumberFormat="1" applyAlignment="1">
      <alignment vertical="top" wrapText="1"/>
    </xf>
    <xf numFmtId="166" fontId="33" fillId="0" borderId="0" xfId="1" applyNumberFormat="1" applyFont="1" applyAlignment="1">
      <alignment wrapText="1"/>
    </xf>
    <xf numFmtId="0" fontId="33" fillId="0" borderId="0" xfId="0" applyFont="1" applyAlignment="1">
      <alignment wrapText="1"/>
    </xf>
    <xf numFmtId="41" fontId="33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/>
    </xf>
    <xf numFmtId="166" fontId="2" fillId="0" borderId="0" xfId="1" applyNumberFormat="1" applyFont="1"/>
    <xf numFmtId="10" fontId="2" fillId="0" borderId="0" xfId="4" applyNumberFormat="1" applyFont="1"/>
    <xf numFmtId="0" fontId="39" fillId="6" borderId="0" xfId="0" applyFont="1" applyFill="1" applyAlignment="1">
      <alignment horizontal="center" vertical="center"/>
    </xf>
    <xf numFmtId="49" fontId="40" fillId="7" borderId="0" xfId="1" applyNumberFormat="1" applyFont="1" applyFill="1" applyBorder="1" applyAlignment="1" applyProtection="1">
      <alignment horizontal="center" vertical="center" wrapText="1"/>
    </xf>
    <xf numFmtId="9" fontId="39" fillId="7" borderId="0" xfId="4" applyFont="1" applyFill="1" applyBorder="1" applyAlignment="1" applyProtection="1">
      <alignment horizontal="center" vertical="center" wrapText="1"/>
    </xf>
    <xf numFmtId="41" fontId="39" fillId="6" borderId="0" xfId="0" applyNumberFormat="1" applyFont="1" applyFill="1" applyAlignment="1">
      <alignment horizontal="center" vertical="center" wrapText="1"/>
    </xf>
    <xf numFmtId="9" fontId="39" fillId="6" borderId="0" xfId="4" applyFont="1" applyFill="1" applyBorder="1" applyAlignment="1">
      <alignment horizontal="center" vertical="center" wrapText="1"/>
    </xf>
    <xf numFmtId="0" fontId="41" fillId="0" borderId="0" xfId="6" quotePrefix="1" applyFont="1" applyAlignment="1">
      <alignment horizontal="left" vertical="top" wrapText="1"/>
    </xf>
    <xf numFmtId="0" fontId="39" fillId="7" borderId="0" xfId="0" applyFont="1" applyFill="1" applyAlignment="1">
      <alignment vertical="center" wrapText="1"/>
    </xf>
    <xf numFmtId="0" fontId="39" fillId="7" borderId="0" xfId="0" applyFont="1" applyFill="1" applyAlignment="1">
      <alignment horizontal="center" vertical="center" wrapText="1"/>
    </xf>
    <xf numFmtId="41" fontId="39" fillId="7" borderId="0" xfId="0" applyNumberFormat="1" applyFont="1" applyFill="1" applyAlignment="1">
      <alignment horizontal="right" vertical="center" wrapText="1"/>
    </xf>
    <xf numFmtId="41" fontId="42" fillId="7" borderId="0" xfId="2" applyFont="1" applyFill="1" applyBorder="1" applyAlignment="1" applyProtection="1">
      <alignment horizontal="center" vertical="center" wrapText="1"/>
    </xf>
    <xf numFmtId="9" fontId="42" fillId="7" borderId="0" xfId="4" applyFont="1" applyFill="1" applyBorder="1" applyAlignment="1" applyProtection="1">
      <alignment horizontal="center" vertical="center" wrapText="1"/>
    </xf>
    <xf numFmtId="166" fontId="11" fillId="0" borderId="0" xfId="1" applyNumberFormat="1" applyFont="1" applyAlignment="1">
      <alignment horizontal="left" vertical="center"/>
    </xf>
    <xf numFmtId="10" fontId="12" fillId="2" borderId="0" xfId="4" applyNumberFormat="1" applyFont="1" applyFill="1" applyBorder="1" applyAlignment="1" applyProtection="1">
      <alignment horizontal="left" vertical="center" wrapText="1"/>
    </xf>
    <xf numFmtId="41" fontId="11" fillId="0" borderId="0" xfId="2" applyFont="1" applyAlignment="1">
      <alignment horizontal="left" vertical="center"/>
    </xf>
    <xf numFmtId="9" fontId="11" fillId="0" borderId="0" xfId="4" applyFont="1" applyAlignment="1">
      <alignment horizontal="left" vertical="center"/>
    </xf>
    <xf numFmtId="166" fontId="14" fillId="0" borderId="0" xfId="1" applyNumberFormat="1" applyFont="1" applyAlignment="1">
      <alignment horizontal="left" vertical="center"/>
    </xf>
    <xf numFmtId="10" fontId="15" fillId="2" borderId="0" xfId="4" applyNumberFormat="1" applyFont="1" applyFill="1" applyBorder="1" applyAlignment="1" applyProtection="1">
      <alignment horizontal="left" vertical="center" wrapText="1"/>
    </xf>
    <xf numFmtId="41" fontId="14" fillId="0" borderId="0" xfId="2" applyFont="1" applyAlignment="1">
      <alignment horizontal="left" vertical="center"/>
    </xf>
    <xf numFmtId="9" fontId="14" fillId="0" borderId="0" xfId="4" applyFont="1" applyAlignment="1">
      <alignment horizontal="left" vertical="center"/>
    </xf>
    <xf numFmtId="166" fontId="14" fillId="0" borderId="0" xfId="1" applyNumberFormat="1" applyFont="1" applyAlignment="1">
      <alignment horizontal="left"/>
    </xf>
    <xf numFmtId="167" fontId="14" fillId="0" borderId="0" xfId="3" applyNumberFormat="1" applyFont="1" applyAlignment="1">
      <alignment horizontal="left"/>
    </xf>
    <xf numFmtId="41" fontId="14" fillId="0" borderId="0" xfId="2" applyFont="1" applyAlignment="1">
      <alignment horizontal="left"/>
    </xf>
    <xf numFmtId="10" fontId="15" fillId="2" borderId="0" xfId="4" applyNumberFormat="1" applyFont="1" applyFill="1" applyBorder="1" applyAlignment="1" applyProtection="1">
      <alignment horizontal="left" vertical="top" wrapText="1"/>
    </xf>
    <xf numFmtId="9" fontId="0" fillId="0" borderId="0" xfId="4" applyFont="1"/>
    <xf numFmtId="166" fontId="0" fillId="0" borderId="0" xfId="0" applyNumberFormat="1"/>
    <xf numFmtId="0" fontId="13" fillId="8" borderId="0" xfId="0" applyFont="1" applyFill="1" applyAlignment="1">
      <alignment horizontal="left" vertical="top" wrapText="1" indent="1"/>
    </xf>
    <xf numFmtId="0" fontId="9" fillId="8" borderId="0" xfId="0" applyFont="1" applyFill="1" applyAlignment="1">
      <alignment horizontal="center" vertical="center" wrapText="1"/>
    </xf>
    <xf numFmtId="166" fontId="15" fillId="8" borderId="0" xfId="1" applyNumberFormat="1" applyFont="1" applyFill="1" applyBorder="1" applyAlignment="1" applyProtection="1">
      <alignment horizontal="right" vertical="top" wrapText="1"/>
    </xf>
    <xf numFmtId="10" fontId="15" fillId="8" borderId="0" xfId="4" applyNumberFormat="1" applyFont="1" applyFill="1" applyBorder="1" applyAlignment="1" applyProtection="1">
      <alignment vertical="top" wrapText="1"/>
    </xf>
    <xf numFmtId="10" fontId="14" fillId="8" borderId="0" xfId="4" applyNumberFormat="1" applyFont="1" applyFill="1" applyAlignment="1">
      <alignment wrapText="1"/>
    </xf>
    <xf numFmtId="41" fontId="14" fillId="8" borderId="0" xfId="0" applyNumberFormat="1" applyFont="1" applyFill="1" applyAlignment="1">
      <alignment wrapText="1"/>
    </xf>
    <xf numFmtId="9" fontId="11" fillId="8" borderId="0" xfId="4" applyFont="1" applyFill="1" applyAlignment="1">
      <alignment wrapText="1"/>
    </xf>
    <xf numFmtId="41" fontId="15" fillId="8" borderId="0" xfId="2" applyFont="1" applyFill="1" applyBorder="1" applyAlignment="1" applyProtection="1">
      <alignment horizontal="right" vertical="top" wrapText="1"/>
    </xf>
    <xf numFmtId="0" fontId="43" fillId="9" borderId="0" xfId="0" applyFont="1" applyFill="1" applyAlignment="1">
      <alignment horizontal="centerContinuous"/>
    </xf>
    <xf numFmtId="0" fontId="3" fillId="9" borderId="0" xfId="0" applyFont="1" applyFill="1" applyAlignment="1">
      <alignment horizontal="centerContinuous"/>
    </xf>
    <xf numFmtId="0" fontId="13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43" fillId="0" borderId="0" xfId="0" applyFont="1"/>
    <xf numFmtId="166" fontId="43" fillId="0" borderId="0" xfId="0" applyNumberFormat="1" applyFont="1"/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top"/>
    </xf>
    <xf numFmtId="0" fontId="43" fillId="10" borderId="0" xfId="0" applyFont="1" applyFill="1"/>
    <xf numFmtId="166" fontId="43" fillId="10" borderId="0" xfId="0" applyNumberFormat="1" applyFont="1" applyFill="1"/>
    <xf numFmtId="0" fontId="9" fillId="11" borderId="0" xfId="0" applyFont="1" applyFill="1" applyAlignment="1">
      <alignment horizontal="left" vertical="top"/>
    </xf>
    <xf numFmtId="0" fontId="43" fillId="11" borderId="0" xfId="0" applyFont="1" applyFill="1"/>
    <xf numFmtId="166" fontId="43" fillId="11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" fillId="12" borderId="0" xfId="0" applyFont="1" applyFill="1"/>
    <xf numFmtId="166" fontId="3" fillId="12" borderId="0" xfId="0" applyNumberFormat="1" applyFont="1" applyFill="1"/>
    <xf numFmtId="0" fontId="9" fillId="0" borderId="0" xfId="0" applyFont="1" applyAlignment="1">
      <alignment horizontal="left" vertical="top"/>
    </xf>
    <xf numFmtId="44" fontId="2" fillId="0" borderId="0" xfId="0" applyNumberFormat="1" applyFont="1"/>
    <xf numFmtId="166" fontId="2" fillId="0" borderId="0" xfId="0" applyNumberFormat="1" applyFont="1" applyAlignment="1">
      <alignment vertical="center"/>
    </xf>
    <xf numFmtId="166" fontId="11" fillId="13" borderId="0" xfId="1" applyNumberFormat="1" applyFont="1" applyFill="1" applyAlignment="1">
      <alignment vertical="center"/>
    </xf>
    <xf numFmtId="166" fontId="14" fillId="13" borderId="0" xfId="1" applyNumberFormat="1" applyFont="1" applyFill="1"/>
    <xf numFmtId="166" fontId="2" fillId="13" borderId="0" xfId="0" applyNumberFormat="1" applyFont="1" applyFill="1"/>
    <xf numFmtId="166" fontId="14" fillId="13" borderId="0" xfId="1" applyNumberFormat="1" applyFont="1" applyFill="1" applyAlignment="1">
      <alignment vertical="center"/>
    </xf>
    <xf numFmtId="41" fontId="14" fillId="13" borderId="0" xfId="0" applyNumberFormat="1" applyFont="1" applyFill="1" applyAlignment="1">
      <alignment wrapText="1"/>
    </xf>
    <xf numFmtId="41" fontId="14" fillId="14" borderId="0" xfId="0" applyNumberFormat="1" applyFont="1" applyFill="1" applyAlignment="1">
      <alignment wrapText="1"/>
    </xf>
    <xf numFmtId="41" fontId="17" fillId="15" borderId="0" xfId="0" applyNumberFormat="1" applyFont="1" applyFill="1"/>
    <xf numFmtId="15" fontId="2" fillId="15" borderId="0" xfId="0" applyNumberFormat="1" applyFont="1" applyFill="1"/>
    <xf numFmtId="0" fontId="2" fillId="15" borderId="0" xfId="0" applyFont="1" applyFill="1"/>
    <xf numFmtId="165" fontId="17" fillId="15" borderId="0" xfId="0" applyNumberFormat="1" applyFont="1" applyFill="1"/>
    <xf numFmtId="43" fontId="27" fillId="0" borderId="0" xfId="1" applyFont="1"/>
    <xf numFmtId="0" fontId="13" fillId="16" borderId="0" xfId="0" applyFont="1" applyFill="1" applyAlignment="1">
      <alignment horizontal="left" vertical="top" wrapText="1"/>
    </xf>
    <xf numFmtId="0" fontId="13" fillId="16" borderId="0" xfId="0" applyFont="1" applyFill="1" applyAlignment="1">
      <alignment horizontal="left" vertical="center" wrapText="1"/>
    </xf>
    <xf numFmtId="0" fontId="14" fillId="16" borderId="0" xfId="7" applyFont="1" applyFill="1" applyAlignment="1">
      <alignment horizontal="left" vertical="top" wrapText="1"/>
    </xf>
    <xf numFmtId="0" fontId="13" fillId="17" borderId="0" xfId="0" applyFont="1" applyFill="1" applyAlignment="1">
      <alignment horizontal="left" vertical="top" wrapText="1"/>
    </xf>
    <xf numFmtId="0" fontId="9" fillId="17" borderId="0" xfId="0" applyFont="1" applyFill="1" applyAlignment="1">
      <alignment horizontal="center" vertical="center" wrapText="1"/>
    </xf>
    <xf numFmtId="166" fontId="15" fillId="17" borderId="0" xfId="1" applyNumberFormat="1" applyFont="1" applyFill="1" applyBorder="1" applyAlignment="1" applyProtection="1">
      <alignment horizontal="right" vertical="top" wrapText="1"/>
    </xf>
    <xf numFmtId="10" fontId="15" fillId="17" borderId="0" xfId="4" applyNumberFormat="1" applyFont="1" applyFill="1" applyBorder="1" applyAlignment="1" applyProtection="1">
      <alignment vertical="top" wrapText="1"/>
    </xf>
    <xf numFmtId="41" fontId="15" fillId="17" borderId="0" xfId="2" applyFont="1" applyFill="1" applyBorder="1" applyAlignment="1" applyProtection="1">
      <alignment horizontal="right" vertical="top" wrapText="1"/>
    </xf>
    <xf numFmtId="10" fontId="14" fillId="17" borderId="0" xfId="4" applyNumberFormat="1" applyFont="1" applyFill="1" applyAlignment="1">
      <alignment wrapText="1"/>
    </xf>
    <xf numFmtId="41" fontId="14" fillId="17" borderId="0" xfId="0" applyNumberFormat="1" applyFont="1" applyFill="1" applyAlignment="1">
      <alignment wrapText="1"/>
    </xf>
    <xf numFmtId="9" fontId="11" fillId="17" borderId="0" xfId="4" applyFont="1" applyFill="1" applyAlignment="1">
      <alignment wrapText="1"/>
    </xf>
    <xf numFmtId="0" fontId="2" fillId="17" borderId="0" xfId="0" applyFont="1" applyFill="1"/>
    <xf numFmtId="41" fontId="2" fillId="17" borderId="0" xfId="0" applyNumberFormat="1" applyFont="1" applyFill="1"/>
    <xf numFmtId="0" fontId="9" fillId="0" borderId="0" xfId="0" applyFont="1" applyAlignment="1">
      <alignment horizontal="left" vertical="center" wrapText="1"/>
    </xf>
    <xf numFmtId="0" fontId="13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centerContinuous"/>
    </xf>
    <xf numFmtId="0" fontId="3" fillId="0" borderId="0" xfId="0" applyFont="1"/>
    <xf numFmtId="166" fontId="3" fillId="0" borderId="0" xfId="0" applyNumberFormat="1" applyFont="1"/>
    <xf numFmtId="166" fontId="2" fillId="0" borderId="0" xfId="1" applyNumberFormat="1" applyFont="1" applyFill="1"/>
    <xf numFmtId="0" fontId="45" fillId="7" borderId="0" xfId="0" applyFont="1" applyFill="1" applyAlignment="1">
      <alignment vertical="center" wrapText="1"/>
    </xf>
    <xf numFmtId="0" fontId="45" fillId="7" borderId="0" xfId="0" applyFont="1" applyFill="1" applyAlignment="1">
      <alignment horizontal="center" vertical="center" wrapText="1"/>
    </xf>
    <xf numFmtId="0" fontId="46" fillId="0" borderId="0" xfId="0" applyFont="1" applyAlignment="1">
      <alignment horizontal="left" vertical="center" wrapText="1"/>
    </xf>
    <xf numFmtId="166" fontId="47" fillId="0" borderId="0" xfId="1" applyNumberFormat="1" applyFont="1" applyFill="1" applyBorder="1" applyAlignment="1" applyProtection="1">
      <alignment horizontal="right" vertical="top" wrapText="1"/>
    </xf>
    <xf numFmtId="0" fontId="47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7" fillId="0" borderId="0" xfId="0" applyFont="1" applyAlignment="1">
      <alignment vertical="center" wrapText="1"/>
    </xf>
    <xf numFmtId="166" fontId="2" fillId="0" borderId="0" xfId="1" applyNumberFormat="1" applyFont="1" applyFill="1" applyAlignment="1">
      <alignment vertical="center"/>
    </xf>
    <xf numFmtId="0" fontId="46" fillId="0" borderId="0" xfId="0" applyFont="1" applyAlignment="1">
      <alignment horizontal="left" vertical="top"/>
    </xf>
    <xf numFmtId="0" fontId="47" fillId="0" borderId="0" xfId="0" applyFont="1" applyAlignment="1">
      <alignment horizontal="left" vertical="top"/>
    </xf>
    <xf numFmtId="0" fontId="46" fillId="0" borderId="0" xfId="0" applyFont="1" applyAlignment="1">
      <alignment horizontal="center" vertical="center" wrapText="1"/>
    </xf>
    <xf numFmtId="166" fontId="2" fillId="0" borderId="0" xfId="4" applyNumberFormat="1" applyFont="1" applyFill="1" applyAlignment="1">
      <alignment wrapText="1"/>
    </xf>
    <xf numFmtId="0" fontId="47" fillId="0" borderId="0" xfId="0" applyFont="1" applyAlignment="1">
      <alignment horizontal="left" vertical="top" wrapText="1"/>
    </xf>
    <xf numFmtId="0" fontId="46" fillId="0" borderId="0" xfId="0" applyFont="1" applyAlignment="1">
      <alignment horizontal="left" vertical="top" wrapText="1"/>
    </xf>
    <xf numFmtId="166" fontId="3" fillId="0" borderId="0" xfId="1" applyNumberFormat="1" applyFont="1" applyFill="1" applyAlignment="1">
      <alignment vertical="center"/>
    </xf>
    <xf numFmtId="0" fontId="46" fillId="0" borderId="0" xfId="0" applyFont="1" applyAlignment="1">
      <alignment horizontal="center" vertical="top" wrapText="1"/>
    </xf>
    <xf numFmtId="41" fontId="2" fillId="0" borderId="0" xfId="2" applyFont="1" applyFill="1"/>
    <xf numFmtId="166" fontId="2" fillId="0" borderId="0" xfId="1" applyNumberFormat="1" applyFont="1" applyFill="1" applyAlignment="1">
      <alignment horizontal="right"/>
    </xf>
    <xf numFmtId="0" fontId="46" fillId="11" borderId="0" xfId="0" applyFont="1" applyFill="1" applyAlignment="1">
      <alignment vertical="top" wrapText="1"/>
    </xf>
    <xf numFmtId="0" fontId="46" fillId="11" borderId="0" xfId="0" applyFont="1" applyFill="1" applyAlignment="1">
      <alignment horizontal="center" vertical="top" wrapText="1"/>
    </xf>
    <xf numFmtId="166" fontId="3" fillId="11" borderId="0" xfId="1" applyNumberFormat="1" applyFont="1" applyFill="1" applyAlignment="1">
      <alignment vertical="center"/>
    </xf>
    <xf numFmtId="41" fontId="3" fillId="11" borderId="0" xfId="2" applyFont="1" applyFill="1" applyAlignment="1">
      <alignment vertical="center"/>
    </xf>
    <xf numFmtId="0" fontId="46" fillId="11" borderId="0" xfId="0" applyFont="1" applyFill="1" applyAlignment="1">
      <alignment vertical="center" wrapText="1"/>
    </xf>
    <xf numFmtId="0" fontId="46" fillId="11" borderId="0" xfId="0" applyFont="1" applyFill="1" applyAlignment="1">
      <alignment horizontal="center" vertical="center" wrapText="1"/>
    </xf>
    <xf numFmtId="41" fontId="3" fillId="11" borderId="0" xfId="2" applyFont="1" applyFill="1"/>
    <xf numFmtId="0" fontId="3" fillId="18" borderId="0" xfId="0" applyFont="1" applyFill="1"/>
    <xf numFmtId="0" fontId="2" fillId="19" borderId="0" xfId="0" applyFont="1" applyFill="1"/>
    <xf numFmtId="0" fontId="3" fillId="19" borderId="0" xfId="0" applyFont="1" applyFill="1"/>
    <xf numFmtId="166" fontId="3" fillId="19" borderId="0" xfId="0" applyNumberFormat="1" applyFont="1" applyFill="1"/>
    <xf numFmtId="0" fontId="47" fillId="0" borderId="0" xfId="0" applyFont="1" applyAlignment="1">
      <alignment horizontal="left" vertical="center" wrapText="1"/>
    </xf>
    <xf numFmtId="0" fontId="44" fillId="20" borderId="0" xfId="0" applyFont="1" applyFill="1"/>
    <xf numFmtId="166" fontId="44" fillId="20" borderId="0" xfId="0" applyNumberFormat="1" applyFont="1" applyFill="1"/>
    <xf numFmtId="0" fontId="44" fillId="21" borderId="0" xfId="0" applyFont="1" applyFill="1"/>
    <xf numFmtId="166" fontId="44" fillId="21" borderId="0" xfId="0" applyNumberFormat="1" applyFont="1" applyFill="1"/>
    <xf numFmtId="0" fontId="45" fillId="6" borderId="0" xfId="0" applyFont="1" applyFill="1" applyAlignment="1">
      <alignment horizontal="center" vertical="center"/>
    </xf>
    <xf numFmtId="0" fontId="2" fillId="0" borderId="0" xfId="7" applyFont="1" applyAlignment="1">
      <alignment horizontal="left" vertical="top" wrapText="1"/>
    </xf>
    <xf numFmtId="0" fontId="46" fillId="11" borderId="0" xfId="0" applyFont="1" applyFill="1" applyAlignment="1">
      <alignment horizontal="left" vertical="top" wrapText="1"/>
    </xf>
    <xf numFmtId="41" fontId="46" fillId="11" borderId="0" xfId="2" applyFont="1" applyFill="1" applyBorder="1" applyAlignment="1" applyProtection="1">
      <alignment horizontal="right" vertical="top" wrapText="1"/>
    </xf>
    <xf numFmtId="41" fontId="2" fillId="0" borderId="0" xfId="2" applyFont="1" applyFill="1" applyAlignment="1">
      <alignment wrapText="1"/>
    </xf>
    <xf numFmtId="166" fontId="2" fillId="0" borderId="0" xfId="1" applyNumberFormat="1" applyFont="1" applyFill="1" applyAlignment="1">
      <alignment wrapText="1"/>
    </xf>
    <xf numFmtId="166" fontId="2" fillId="0" borderId="0" xfId="1" applyNumberFormat="1" applyFont="1" applyFill="1" applyBorder="1" applyAlignment="1">
      <alignment horizontal="right" wrapText="1"/>
    </xf>
    <xf numFmtId="41" fontId="2" fillId="0" borderId="0" xfId="2" applyFont="1" applyFill="1" applyBorder="1" applyAlignment="1">
      <alignment horizontal="right" wrapText="1"/>
    </xf>
    <xf numFmtId="0" fontId="48" fillId="0" borderId="0" xfId="0" applyFont="1"/>
    <xf numFmtId="166" fontId="48" fillId="0" borderId="0" xfId="0" applyNumberFormat="1" applyFont="1"/>
    <xf numFmtId="0" fontId="2" fillId="22" borderId="0" xfId="0" applyFont="1" applyFill="1"/>
    <xf numFmtId="0" fontId="2" fillId="22" borderId="0" xfId="0" applyFont="1" applyFill="1" applyAlignment="1">
      <alignment vertical="center"/>
    </xf>
    <xf numFmtId="0" fontId="2" fillId="23" borderId="0" xfId="0" applyFont="1" applyFill="1" applyAlignment="1">
      <alignment vertical="center"/>
    </xf>
    <xf numFmtId="0" fontId="2" fillId="23" borderId="0" xfId="0" applyFont="1" applyFill="1"/>
    <xf numFmtId="41" fontId="48" fillId="0" borderId="0" xfId="0" applyNumberFormat="1" applyFont="1"/>
    <xf numFmtId="168" fontId="45" fillId="7" borderId="0" xfId="1" applyNumberFormat="1" applyFont="1" applyFill="1" applyBorder="1" applyAlignment="1" applyProtection="1">
      <alignment horizontal="center" vertical="center" wrapText="1"/>
    </xf>
    <xf numFmtId="166" fontId="50" fillId="0" borderId="0" xfId="1" applyNumberFormat="1" applyFont="1" applyFill="1"/>
    <xf numFmtId="41" fontId="50" fillId="0" borderId="0" xfId="2" applyFont="1" applyFill="1" applyBorder="1" applyAlignment="1" applyProtection="1">
      <alignment horizontal="right" vertical="top" wrapText="1"/>
    </xf>
    <xf numFmtId="166" fontId="50" fillId="0" borderId="0" xfId="1" applyNumberFormat="1" applyFont="1" applyFill="1" applyBorder="1" applyAlignment="1" applyProtection="1">
      <alignment horizontal="right" vertical="top" wrapText="1"/>
    </xf>
    <xf numFmtId="41" fontId="50" fillId="0" borderId="0" xfId="2" applyFont="1" applyFill="1" applyBorder="1" applyAlignment="1" applyProtection="1">
      <alignment horizontal="right" vertical="center" wrapText="1"/>
    </xf>
    <xf numFmtId="166" fontId="50" fillId="0" borderId="0" xfId="1" applyNumberFormat="1" applyFont="1" applyFill="1" applyBorder="1" applyAlignment="1" applyProtection="1">
      <alignment horizontal="right" vertical="center" wrapText="1"/>
    </xf>
    <xf numFmtId="166" fontId="49" fillId="0" borderId="0" xfId="1" applyNumberFormat="1" applyFont="1" applyFill="1" applyAlignment="1">
      <alignment horizontal="right" vertical="center"/>
    </xf>
    <xf numFmtId="166" fontId="50" fillId="0" borderId="0" xfId="1" applyNumberFormat="1" applyFont="1" applyFill="1" applyAlignment="1">
      <alignment horizontal="right" vertical="center"/>
    </xf>
    <xf numFmtId="166" fontId="3" fillId="11" borderId="0" xfId="1" applyNumberFormat="1" applyFont="1" applyFill="1" applyAlignment="1">
      <alignment horizontal="right" vertical="center"/>
    </xf>
    <xf numFmtId="166" fontId="50" fillId="0" borderId="0" xfId="1" applyNumberFormat="1" applyFont="1" applyFill="1" applyAlignment="1">
      <alignment horizontal="right"/>
    </xf>
    <xf numFmtId="41" fontId="2" fillId="0" borderId="0" xfId="2" applyFont="1" applyFill="1" applyAlignment="1">
      <alignment horizontal="right"/>
    </xf>
    <xf numFmtId="166" fontId="2" fillId="0" borderId="0" xfId="1" applyNumberFormat="1" applyFont="1" applyFill="1" applyAlignment="1">
      <alignment horizontal="right" vertical="center"/>
    </xf>
    <xf numFmtId="41" fontId="3" fillId="11" borderId="0" xfId="2" applyFont="1" applyFill="1" applyAlignment="1">
      <alignment horizontal="right"/>
    </xf>
    <xf numFmtId="41" fontId="3" fillId="11" borderId="0" xfId="2" applyFont="1" applyFill="1" applyAlignment="1">
      <alignment horizontal="right" vertical="center"/>
    </xf>
    <xf numFmtId="169" fontId="2" fillId="0" borderId="0" xfId="4" applyNumberFormat="1" applyFont="1" applyAlignment="1">
      <alignment vertical="center"/>
    </xf>
    <xf numFmtId="9" fontId="2" fillId="0" borderId="0" xfId="0" applyNumberFormat="1" applyFont="1"/>
    <xf numFmtId="169" fontId="2" fillId="0" borderId="0" xfId="0" applyNumberFormat="1" applyFont="1"/>
    <xf numFmtId="9" fontId="50" fillId="0" borderId="0" xfId="0" applyNumberFormat="1" applyFont="1"/>
    <xf numFmtId="169" fontId="50" fillId="0" borderId="0" xfId="0" applyNumberFormat="1" applyFont="1"/>
    <xf numFmtId="166" fontId="51" fillId="0" borderId="0" xfId="1" applyNumberFormat="1" applyFont="1" applyFill="1" applyAlignment="1">
      <alignment vertical="center"/>
    </xf>
    <xf numFmtId="166" fontId="52" fillId="0" borderId="0" xfId="1" applyNumberFormat="1" applyFont="1" applyFill="1" applyAlignment="1">
      <alignment vertical="center"/>
    </xf>
    <xf numFmtId="9" fontId="52" fillId="0" borderId="0" xfId="0" applyNumberFormat="1" applyFont="1"/>
    <xf numFmtId="10" fontId="2" fillId="0" borderId="0" xfId="0" applyNumberFormat="1" applyFont="1"/>
    <xf numFmtId="10" fontId="50" fillId="0" borderId="0" xfId="4" applyNumberFormat="1" applyFont="1" applyAlignment="1">
      <alignment vertical="center"/>
    </xf>
    <xf numFmtId="10" fontId="2" fillId="0" borderId="0" xfId="4" applyNumberFormat="1" applyFont="1" applyAlignment="1">
      <alignment vertical="center"/>
    </xf>
    <xf numFmtId="43" fontId="2" fillId="0" borderId="0" xfId="1" applyFont="1"/>
    <xf numFmtId="166" fontId="3" fillId="0" borderId="0" xfId="1" applyNumberFormat="1" applyFont="1"/>
    <xf numFmtId="166" fontId="52" fillId="0" borderId="0" xfId="1" applyNumberFormat="1" applyFont="1" applyFill="1"/>
    <xf numFmtId="0" fontId="44" fillId="24" borderId="0" xfId="0" applyFont="1" applyFill="1"/>
    <xf numFmtId="166" fontId="44" fillId="24" borderId="0" xfId="0" applyNumberFormat="1" applyFont="1" applyFill="1"/>
    <xf numFmtId="41" fontId="47" fillId="0" borderId="0" xfId="0" applyNumberFormat="1" applyFont="1" applyAlignment="1">
      <alignment horizontal="center" vertical="top" wrapText="1"/>
    </xf>
    <xf numFmtId="0" fontId="46" fillId="3" borderId="0" xfId="0" applyFont="1" applyFill="1" applyAlignment="1">
      <alignment horizontal="left" vertical="top" wrapText="1"/>
    </xf>
    <xf numFmtId="0" fontId="46" fillId="3" borderId="0" xfId="0" applyFont="1" applyFill="1" applyAlignment="1">
      <alignment horizontal="center" vertical="center" wrapText="1"/>
    </xf>
    <xf numFmtId="166" fontId="2" fillId="3" borderId="0" xfId="1" applyNumberFormat="1" applyFont="1" applyFill="1" applyAlignment="1">
      <alignment horizontal="right"/>
    </xf>
    <xf numFmtId="169" fontId="2" fillId="4" borderId="0" xfId="4" applyNumberFormat="1" applyFont="1" applyFill="1" applyAlignment="1">
      <alignment vertical="center"/>
    </xf>
    <xf numFmtId="169" fontId="50" fillId="4" borderId="0" xfId="0" applyNumberFormat="1" applyFont="1" applyFill="1"/>
    <xf numFmtId="169" fontId="2" fillId="4" borderId="0" xfId="0" applyNumberFormat="1" applyFont="1" applyFill="1"/>
    <xf numFmtId="169" fontId="52" fillId="0" borderId="0" xfId="0" applyNumberFormat="1" applyFont="1"/>
    <xf numFmtId="10" fontId="0" fillId="0" borderId="0" xfId="0" applyNumberFormat="1"/>
    <xf numFmtId="10" fontId="0" fillId="0" borderId="0" xfId="4" applyNumberFormat="1" applyFont="1"/>
    <xf numFmtId="0" fontId="0" fillId="4" borderId="0" xfId="0" applyFill="1"/>
    <xf numFmtId="170" fontId="0" fillId="0" borderId="0" xfId="8" applyNumberFormat="1" applyFont="1"/>
    <xf numFmtId="169" fontId="0" fillId="0" borderId="0" xfId="4" applyNumberFormat="1" applyFont="1"/>
    <xf numFmtId="0" fontId="53" fillId="2" borderId="0" xfId="0" applyFont="1" applyFill="1" applyAlignment="1">
      <alignment horizontal="center" vertical="top" wrapText="1"/>
    </xf>
    <xf numFmtId="0" fontId="53" fillId="2" borderId="0" xfId="0" applyFont="1" applyFill="1" applyAlignment="1">
      <alignment horizontal="center" vertical="center" wrapText="1"/>
    </xf>
    <xf numFmtId="41" fontId="54" fillId="0" borderId="0" xfId="2" applyFont="1"/>
    <xf numFmtId="167" fontId="54" fillId="0" borderId="0" xfId="3" applyNumberFormat="1" applyFont="1"/>
    <xf numFmtId="41" fontId="55" fillId="3" borderId="0" xfId="0" applyNumberFormat="1" applyFont="1" applyFill="1" applyAlignment="1">
      <alignment horizontal="right" vertical="center" wrapText="1"/>
    </xf>
    <xf numFmtId="10" fontId="56" fillId="2" borderId="0" xfId="4" applyNumberFormat="1" applyFont="1" applyFill="1" applyBorder="1" applyAlignment="1" applyProtection="1">
      <alignment horizontal="right" vertical="center" wrapText="1"/>
    </xf>
    <xf numFmtId="10" fontId="54" fillId="2" borderId="0" xfId="4" applyNumberFormat="1" applyFont="1" applyFill="1" applyBorder="1" applyAlignment="1" applyProtection="1">
      <alignment horizontal="right" vertical="center" wrapText="1"/>
    </xf>
    <xf numFmtId="167" fontId="56" fillId="0" borderId="0" xfId="3" applyNumberFormat="1" applyFont="1" applyAlignment="1">
      <alignment vertical="center"/>
    </xf>
    <xf numFmtId="167" fontId="54" fillId="0" borderId="0" xfId="3" applyNumberFormat="1" applyFont="1" applyAlignment="1">
      <alignment vertical="center"/>
    </xf>
    <xf numFmtId="167" fontId="56" fillId="0" borderId="0" xfId="3" applyNumberFormat="1" applyFont="1"/>
    <xf numFmtId="167" fontId="56" fillId="0" borderId="0" xfId="2" applyNumberFormat="1" applyFont="1" applyAlignment="1">
      <alignment vertical="center"/>
    </xf>
    <xf numFmtId="41" fontId="15" fillId="4" borderId="0" xfId="2" applyFont="1" applyFill="1" applyBorder="1" applyAlignment="1" applyProtection="1">
      <alignment horizontal="right" vertical="top" wrapText="1"/>
    </xf>
    <xf numFmtId="41" fontId="15" fillId="4" borderId="0" xfId="2" applyFont="1" applyFill="1" applyBorder="1" applyAlignment="1" applyProtection="1">
      <alignment horizontal="right" vertical="center" wrapText="1"/>
    </xf>
    <xf numFmtId="41" fontId="12" fillId="4" borderId="0" xfId="2" applyFont="1" applyFill="1" applyBorder="1" applyAlignment="1" applyProtection="1">
      <alignment horizontal="right" vertical="top" wrapText="1"/>
    </xf>
    <xf numFmtId="0" fontId="53" fillId="4" borderId="0" xfId="0" applyFont="1" applyFill="1" applyAlignment="1">
      <alignment horizontal="center" vertical="center" wrapText="1"/>
    </xf>
    <xf numFmtId="41" fontId="12" fillId="4" borderId="2" xfId="2" applyFont="1" applyFill="1" applyBorder="1" applyAlignment="1" applyProtection="1">
      <alignment horizontal="right" vertical="top" wrapText="1"/>
    </xf>
    <xf numFmtId="166" fontId="46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0" fillId="0" borderId="3" xfId="0" applyBorder="1"/>
    <xf numFmtId="170" fontId="0" fillId="0" borderId="3" xfId="0" applyNumberFormat="1" applyBorder="1"/>
    <xf numFmtId="0" fontId="35" fillId="0" borderId="0" xfId="6" quotePrefix="1" applyFont="1" applyAlignment="1">
      <alignment horizontal="left" vertical="top" wrapText="1"/>
    </xf>
    <xf numFmtId="0" fontId="38" fillId="0" borderId="0" xfId="5" quotePrefix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7" fillId="0" borderId="0" xfId="5" quotePrefix="1" applyFont="1" applyAlignment="1">
      <alignment horizontal="left" vertical="top" wrapText="1"/>
    </xf>
    <xf numFmtId="0" fontId="19" fillId="0" borderId="0" xfId="6" quotePrefix="1" applyFont="1" applyAlignment="1">
      <alignment horizontal="left" vertical="top" wrapText="1"/>
    </xf>
    <xf numFmtId="0" fontId="22" fillId="0" borderId="0" xfId="5" quotePrefix="1" applyFont="1" applyAlignment="1">
      <alignment horizontal="left" vertical="top" wrapText="1"/>
    </xf>
    <xf numFmtId="0" fontId="41" fillId="0" borderId="0" xfId="6" quotePrefix="1" applyFont="1" applyAlignment="1">
      <alignment horizontal="left" vertical="top" wrapText="1"/>
    </xf>
    <xf numFmtId="0" fontId="17" fillId="0" borderId="0" xfId="0" applyFont="1" applyAlignment="1">
      <alignment horizontal="left" wrapText="1"/>
    </xf>
    <xf numFmtId="0" fontId="24" fillId="0" borderId="0" xfId="0" applyFont="1" applyAlignment="1">
      <alignment horizontal="left" wrapText="1"/>
    </xf>
    <xf numFmtId="10" fontId="0" fillId="0" borderId="3" xfId="0" applyNumberFormat="1" applyBorder="1"/>
    <xf numFmtId="10" fontId="0" fillId="25" borderId="0" xfId="0" applyNumberFormat="1" applyFill="1"/>
    <xf numFmtId="10" fontId="0" fillId="25" borderId="0" xfId="4" applyNumberFormat="1" applyFont="1" applyFill="1"/>
    <xf numFmtId="9" fontId="0" fillId="25" borderId="0" xfId="0" applyNumberFormat="1" applyFill="1"/>
  </cellXfs>
  <cellStyles count="9">
    <cellStyle name="Millares" xfId="1" builtinId="3"/>
    <cellStyle name="Millares [0]" xfId="2" builtinId="6"/>
    <cellStyle name="Moneda" xfId="8" builtinId="4"/>
    <cellStyle name="Moneda [0]" xfId="3" builtinId="7"/>
    <cellStyle name="Normal" xfId="0" builtinId="0"/>
    <cellStyle name="Normal 2" xfId="7" xr:uid="{0D0C99EC-3480-44DA-BEED-F41691538862}"/>
    <cellStyle name="Porcentaje" xfId="4" builtinId="5"/>
    <cellStyle name="S11" xfId="6" xr:uid="{A8E59001-96EE-4165-90FE-8A059644BE05}"/>
    <cellStyle name="S6" xfId="5" xr:uid="{8B886666-D914-49F8-8859-34C76E49A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438150</xdr:colOff>
      <xdr:row>0</xdr:row>
      <xdr:rowOff>38100</xdr:rowOff>
    </xdr:from>
    <xdr:to>
      <xdr:col>8</xdr:col>
      <xdr:colOff>651328</xdr:colOff>
      <xdr:row>5</xdr:row>
      <xdr:rowOff>101147</xdr:rowOff>
    </xdr:to>
    <xdr:pic>
      <xdr:nvPicPr>
        <xdr:cNvPr id="2" name="Imagen 1" descr="LOGOS ALUICA PEQUEÑO">
          <a:extLst>
            <a:ext uri="{FF2B5EF4-FFF2-40B4-BE49-F238E27FC236}">
              <a16:creationId xmlns:a16="http://schemas.microsoft.com/office/drawing/2014/main" id="{7835292E-039B-4286-9588-F4B5E19A485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8100"/>
          <a:ext cx="1213303" cy="11679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0</xdr:row>
      <xdr:rowOff>390525</xdr:rowOff>
    </xdr:from>
    <xdr:to>
      <xdr:col>9</xdr:col>
      <xdr:colOff>204787</xdr:colOff>
      <xdr:row>5</xdr:row>
      <xdr:rowOff>159544</xdr:rowOff>
    </xdr:to>
    <xdr:pic>
      <xdr:nvPicPr>
        <xdr:cNvPr id="2" name="Imagen 1" descr="LOGOS ALUICA PEQUEÑO">
          <a:extLst>
            <a:ext uri="{FF2B5EF4-FFF2-40B4-BE49-F238E27FC236}">
              <a16:creationId xmlns:a16="http://schemas.microsoft.com/office/drawing/2014/main" id="{F91A3891-2D50-4668-B6AF-F55E180FB6D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390525"/>
          <a:ext cx="1381125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0</xdr:row>
      <xdr:rowOff>390525</xdr:rowOff>
    </xdr:from>
    <xdr:to>
      <xdr:col>9</xdr:col>
      <xdr:colOff>204787</xdr:colOff>
      <xdr:row>5</xdr:row>
      <xdr:rowOff>159544</xdr:rowOff>
    </xdr:to>
    <xdr:pic>
      <xdr:nvPicPr>
        <xdr:cNvPr id="2" name="Imagen 1" descr="LOGOS ALUICA PEQUEÑO">
          <a:extLst>
            <a:ext uri="{FF2B5EF4-FFF2-40B4-BE49-F238E27FC236}">
              <a16:creationId xmlns:a16="http://schemas.microsoft.com/office/drawing/2014/main" id="{E9C41A43-4D89-4A55-B77B-7C3F8FBC56F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390525"/>
          <a:ext cx="1385887" cy="12549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438150</xdr:colOff>
      <xdr:row>0</xdr:row>
      <xdr:rowOff>38100</xdr:rowOff>
    </xdr:from>
    <xdr:to>
      <xdr:col>8</xdr:col>
      <xdr:colOff>651328</xdr:colOff>
      <xdr:row>5</xdr:row>
      <xdr:rowOff>101147</xdr:rowOff>
    </xdr:to>
    <xdr:pic>
      <xdr:nvPicPr>
        <xdr:cNvPr id="2" name="Imagen 1" descr="LOGOS ALUICA PEQUEÑO">
          <a:extLst>
            <a:ext uri="{FF2B5EF4-FFF2-40B4-BE49-F238E27FC236}">
              <a16:creationId xmlns:a16="http://schemas.microsoft.com/office/drawing/2014/main" id="{6B8A5629-3F6B-49D2-B40F-6A2D8341AA2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8100"/>
          <a:ext cx="1213303" cy="11679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25810</xdr:colOff>
      <xdr:row>1</xdr:row>
      <xdr:rowOff>59812</xdr:rowOff>
    </xdr:from>
    <xdr:to>
      <xdr:col>12</xdr:col>
      <xdr:colOff>119260</xdr:colOff>
      <xdr:row>6</xdr:row>
      <xdr:rowOff>24537</xdr:rowOff>
    </xdr:to>
    <xdr:pic>
      <xdr:nvPicPr>
        <xdr:cNvPr id="2" name="Imagen 1" descr="LOGOS ALUICA PEQUEÑO">
          <a:extLst>
            <a:ext uri="{FF2B5EF4-FFF2-40B4-BE49-F238E27FC236}">
              <a16:creationId xmlns:a16="http://schemas.microsoft.com/office/drawing/2014/main" id="{A8EBF25F-0B23-4359-95B1-A9106E6294C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9681" y="231877"/>
          <a:ext cx="1269225" cy="11445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317500</xdr:colOff>
      <xdr:row>0</xdr:row>
      <xdr:rowOff>44450</xdr:rowOff>
    </xdr:from>
    <xdr:to>
      <xdr:col>8</xdr:col>
      <xdr:colOff>628649</xdr:colOff>
      <xdr:row>6</xdr:row>
      <xdr:rowOff>92075</xdr:rowOff>
    </xdr:to>
    <xdr:pic>
      <xdr:nvPicPr>
        <xdr:cNvPr id="3" name="Imagen 2" descr="Interfaz de usuario gráfica, Aplicación, Word&#10;&#10;Descripción generada automáticamente">
          <a:extLst>
            <a:ext uri="{FF2B5EF4-FFF2-40B4-BE49-F238E27FC236}">
              <a16:creationId xmlns:a16="http://schemas.microsoft.com/office/drawing/2014/main" id="{0B8A6967-330F-4E67-995E-F7D4EFC966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3332" t="35448" r="13098" b="38594"/>
        <a:stretch/>
      </xdr:blipFill>
      <xdr:spPr bwMode="auto">
        <a:xfrm>
          <a:off x="7194550" y="44450"/>
          <a:ext cx="1311275" cy="14097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0</xdr:row>
      <xdr:rowOff>1446609</xdr:rowOff>
    </xdr:from>
    <xdr:to>
      <xdr:col>9</xdr:col>
      <xdr:colOff>635794</xdr:colOff>
      <xdr:row>6</xdr:row>
      <xdr:rowOff>130968</xdr:rowOff>
    </xdr:to>
    <xdr:pic>
      <xdr:nvPicPr>
        <xdr:cNvPr id="2" name="Imagen 1" descr="Interfaz de usuario gráfica, Aplicación, Word&#10;&#10;Descripción generada automáticamente">
          <a:extLst>
            <a:ext uri="{FF2B5EF4-FFF2-40B4-BE49-F238E27FC236}">
              <a16:creationId xmlns:a16="http://schemas.microsoft.com/office/drawing/2014/main" id="{9958F8C4-8338-4A4E-AC3B-1B9E692BF3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3332" t="35448" r="13098" b="38594"/>
        <a:stretch/>
      </xdr:blipFill>
      <xdr:spPr bwMode="auto">
        <a:xfrm>
          <a:off x="7172325" y="1446609"/>
          <a:ext cx="1312069" cy="141803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barriga.AYA.001\Desktop\AGFA\ACEROS\IMPUESTOS\impuestos%202011\DPG-Formulario_IVA%206%20bim%202011%20-%20cop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9.63.46\publico%20informes\ARCHIVOS%20TRABAJO%20FEB%202009\OTROS\INFORME%20FINANCIERO%20BIOIMAGEN%20ENERO%20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ctualicese.com/conferencias/declaracion%202005%20personas%20naturales/Formulario%20110%20obligados%20a%20llevar%20contabilida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puestos2\publico\Documents%20and%20Settings\pedrazj\Desktop\PROGRAMA_DECLARACION_SOCIEDADES_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edy_marin\c\jhon\WINDOWS\Archivos%20temporales%20de%20Internet\Content.IE5\GPA10DM3\PYG0601(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laudia\POWER\BACKUP\UAN\clara\cbr\ARCECANO\EST%20FINANC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9.63.63\publico%20maria%20eugenia\JOHANNA\RENTA%20SALUDCOOP%202007\datos\FAUSTO\Otros%20Temas%20Tributarios\Provision_renta_2005_Pepsi_definitiv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9.62.114\rentas%20empresas%20saludcoop%202007\Documents%20and%20Settings\Iris_Andrade\Configuraci&#243;n%20local\Archivos%20temporales%20de%20Internet\Content.IE5\2LYB0DE3\PLANTA-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9.62.114\rentas%20empresas%20saludcoop%202007\data\Excel%20bvc\Planta\PLANTA-9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9.63.63\publico%20maria%20eugenia\JOHANNA\RENTA%20SALUDCOOP%202007\Documents%20and%20Settings\nlozano\Local%20Settings\Temporary%20Internet%20Files\OLK19\ANEXOC%202003%20PARA%20SOCIEDADES.xls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0.99.63.63\publico%20maria%20eugenia\JOHANNA\RENTA%20SALUDCOOP%202007\Documents%20and%20Settings\cgilpaez\My%20Documents\Julian%20Gil\My%20Documents\Julian%20Gil\2004\Clientes\Ondeo%20Nalco\Renta%202003\Anexo%20C\ANEXOC%202003%20PARA%20SOCIEDADES.xls?6F2DB6D8" TargetMode="External"/><Relationship Id="rId1" Type="http://schemas.openxmlformats.org/officeDocument/2006/relationships/externalLinkPath" Target="file:///\\6F2DB6D8\ANEXOC%202003%20PARA%20SOCIEDADE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ioso\PUBLICO\2Archivos%20Gyna%20Mateus\Formatos%20y%20otros%202004\formulario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9.63.63\johanna%20smith\JOHANNA\RENTA%20SALUDCOOP%202007\Documents%20and%20Settings\cgilpaez\My%20Documents\Julian%20Gil\My%20Documents\Julian%20Gil\2004\Clientes\Ondeo%20Nalco\Renta%202003\Anexo%20C\ANEXOC%202003%20PARA%20SOCIEDADE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9.62.114\rentas%20empresas%20saludcoop%202007\Documents%20and%20Settings\eosanchezs\Mis%20documentos\Mis%20archivos%20recibidos\ICONTEC\ICONTEC%20DECLARACION%20RENTA%20200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ontabilidad\Escritorio\2008\Contabilidad\CEA\IVA\IVA%206%20BIMESTRE\Formulario-300-IVA-con-anexos-2008%20CEA%206B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9.63.85\publico%20hdo\Documents%20and%20Settings\slgonzalezc\Mis%20documentos\CONCILIACION%20MEGABANCO%20EPSICLINICAS\Nueva%20carpeta\otra%20vez%20conciliacion%20de%20diciembre%20megabanco%20epsiclinica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~1\GERENC~1\CONFIG~1\Temp\PLANTA-9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arodriguezma\Escritorio\COSTO\PROVICION%202012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X:\DIRECCION%20ADMINISTRATIVA\Claritza%20Barriga\INFORMACION%20ANUAL\ALUICA%202021\E.F%202021\EstadoSituacionFinanciera_NIIF%20%202021%20-%202020.xlsx" TargetMode="External"/><Relationship Id="rId1" Type="http://schemas.openxmlformats.org/officeDocument/2006/relationships/externalLinkPath" Target="file:///X:\DIRECCION%20ADMINISTRATIVA\Claritza%20Barriga\INFORMACION%20ANUAL\ALUICA%202021\E.F%202021\EstadoSituacionFinanciera_NIIF%20%202021%20-%202020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X:\DIRECCION%20ADMINISTRATIVA\Claritza%20Barriga\INFORMACION%20ANUAL\INFORMES%20A&#209;O%202022\INFORMES%20A&#209;O%20%202022\E.F%202022\EstadoSituacionFinanciera_NIIF%20%202022%20-%202021.xlsx" TargetMode="External"/><Relationship Id="rId1" Type="http://schemas.openxmlformats.org/officeDocument/2006/relationships/externalLinkPath" Target="file:///X:\DIRECCION%20ADMINISTRATIVA\Claritza%20Barriga\INFORMACION%20ANUAL\INFORMES%20A&#209;O%202022\INFORMES%20A&#209;O%20%202022\E.F%202022\EstadoSituacionFinanciera_NIIF%20%202022%20-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ulario"/>
      <sheetName val="Anexos"/>
      <sheetName val="IND Y CIO"/>
      <sheetName val="Hoja1"/>
      <sheetName val="RESUMEN AÑO 2011"/>
      <sheetName val="RESUMEN AÑO 2011 corregida"/>
      <sheetName val="RESUMEN AÑO 2011 para ica"/>
    </sheetNames>
    <sheetDataSet>
      <sheetData sheetId="0">
        <row r="51">
          <cell r="U51">
            <v>0</v>
          </cell>
        </row>
        <row r="59">
          <cell r="U59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Estados Financieros"/>
      <sheetName val="C x C "/>
      <sheetName val="C x  P"/>
      <sheetName val="Capital"/>
      <sheetName val="Historico de Costos 2008"/>
      <sheetName val="Inventario"/>
      <sheetName val="Detallado Inventario Enero 09"/>
      <sheetName val="Banco Bogota "/>
      <sheetName val="Banco Occidente"/>
      <sheetName val="Caja General"/>
      <sheetName val="Cajas"/>
      <sheetName val="Inversiones Progressa"/>
      <sheetName val="No Operacionales"/>
      <sheetName val="Conciliacion entre Empresas"/>
      <sheetName val="Diferidos"/>
      <sheetName val="Activos"/>
      <sheetName val="Evolucion  Resultados Sucursal"/>
      <sheetName val="BASE SUCURSAL"/>
      <sheetName val="BASE CUEN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Básicos"/>
      <sheetName val="Formulario"/>
      <sheetName val="tabla impto 2005"/>
      <sheetName val="Anticipo al 2006"/>
    </sheetNames>
    <sheetDataSet>
      <sheetData sheetId="0"/>
      <sheetData sheetId="1"/>
      <sheetData sheetId="2"/>
      <sheetData sheetId="3">
        <row r="3">
          <cell r="G3">
            <v>1</v>
          </cell>
          <cell r="H3">
            <v>0</v>
          </cell>
        </row>
        <row r="4">
          <cell r="G4">
            <v>2</v>
          </cell>
          <cell r="H4">
            <v>0</v>
          </cell>
        </row>
        <row r="6">
          <cell r="G6">
            <v>3</v>
          </cell>
          <cell r="H6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-CARÁTULA"/>
      <sheetName val="B-MENU"/>
      <sheetName val="C-INSTRUCCIONES"/>
      <sheetName val="1- DATOS INICIALES"/>
      <sheetName val="2 DECLARACION"/>
      <sheetName val="3 CONTROLES"/>
      <sheetName val="4 CÁLCULOS PRESUNT-ANTICIP."/>
      <sheetName val="5 CAMARA"/>
      <sheetName val="6 IMPTO PATRIMONIO"/>
      <sheetName val="7 SOCIOS O ACCIONISTAS"/>
      <sheetName val="8 Vrs. ABSOLUTOS"/>
    </sheetNames>
    <sheetDataSet>
      <sheetData sheetId="0" refreshError="1"/>
      <sheetData sheetId="1" refreshError="1"/>
      <sheetData sheetId="2" refreshError="1"/>
      <sheetData sheetId="3" refreshError="1">
        <row r="68">
          <cell r="C68">
            <v>0</v>
          </cell>
        </row>
        <row r="194">
          <cell r="F194">
            <v>0</v>
          </cell>
        </row>
        <row r="302">
          <cell r="E302">
            <v>0</v>
          </cell>
        </row>
        <row r="305">
          <cell r="E305">
            <v>0</v>
          </cell>
        </row>
        <row r="306">
          <cell r="E306">
            <v>0</v>
          </cell>
        </row>
        <row r="430">
          <cell r="E430">
            <v>0</v>
          </cell>
        </row>
      </sheetData>
      <sheetData sheetId="4" refreshError="1"/>
      <sheetData sheetId="5" refreshError="1"/>
      <sheetData sheetId="6" refreshError="1">
        <row r="23">
          <cell r="D23" t="e">
            <v>#DIV/0!</v>
          </cell>
        </row>
        <row r="45">
          <cell r="D45">
            <v>0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YG0003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E GENERAL"/>
      <sheetName val="RESULTADOS"/>
      <sheetName val="EST.CAMBIOS PATRIMONIO"/>
      <sheetName val="CAMBIOS S.FINANCIERA"/>
      <sheetName val="FLUJO DE EFECTIVO DIRECTO"/>
      <sheetName val="H.W. CAMBIOS S.FINANCIERA"/>
      <sheetName val="H.W. FLUJO EFECTIVO"/>
      <sheetName val="FLUJO DE EFECTIVO INDIRECTO"/>
      <sheetName val="Hoja1"/>
    </sheetNames>
    <sheetDataSet>
      <sheetData sheetId="0">
        <row r="10">
          <cell r="C10">
            <v>0</v>
          </cell>
          <cell r="E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Provision"/>
      <sheetName val="Impuestos"/>
      <sheetName val="AIXI"/>
      <sheetName val="Pasivos estimados"/>
      <sheetName val="Anticipo año siguiente"/>
      <sheetName val="Renta presuntiva"/>
      <sheetName val="Pérdidas y excesos por amort"/>
      <sheetName val="Pensiones de jubilacion"/>
      <sheetName val="Intereses presuntivos"/>
      <sheetName val="Reserva de cartera"/>
      <sheetName val="Anexo pagos exterior"/>
      <sheetName val="Límite gastos en el exterior"/>
      <sheetName val="Rentas líquidas especiales"/>
      <sheetName val="Aportes parafiscales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98"/>
      <sheetName val="abr-24-98"/>
      <sheetName val="MAY-98"/>
      <sheetName val="JUN-98"/>
      <sheetName val="JUL-15-98"/>
      <sheetName val="JUL-30-98 "/>
      <sheetName val="ago-24"/>
      <sheetName val="sep-16"/>
      <sheetName val="sep-30"/>
      <sheetName val="oct-15"/>
      <sheetName val="oct-31"/>
      <sheetName val="NOV-17"/>
      <sheetName val="NOV-17 (2)"/>
      <sheetName val="Inver-sep"/>
      <sheetName val="Hoja1"/>
      <sheetName val="DIC-23"/>
      <sheetName val="DIC-31"/>
      <sheetName val="RESUMEN"/>
      <sheetName val="DIC-31 (2)"/>
      <sheetName val="Hoja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2">
          <cell r="A2">
            <v>1101</v>
          </cell>
          <cell r="B2" t="str">
            <v>CONSEJO DIRECTIVO</v>
          </cell>
        </row>
        <row r="3">
          <cell r="A3">
            <v>1201</v>
          </cell>
          <cell r="B3" t="str">
            <v>PRESIDENCIA</v>
          </cell>
        </row>
        <row r="4">
          <cell r="A4">
            <v>1202</v>
          </cell>
          <cell r="B4" t="str">
            <v>AUDITORIA INTERNA</v>
          </cell>
        </row>
        <row r="5">
          <cell r="A5">
            <v>1300</v>
          </cell>
          <cell r="B5" t="str">
            <v>VICEPRESIDENCIA DE NEGOCIOS</v>
          </cell>
        </row>
        <row r="6">
          <cell r="A6">
            <v>130101</v>
          </cell>
          <cell r="B6" t="str">
            <v>GERENCIA DE OPERACIONES</v>
          </cell>
        </row>
        <row r="7">
          <cell r="A7">
            <v>130102</v>
          </cell>
          <cell r="B7" t="str">
            <v>CUMPLIMIENTO Y TRASPASOS</v>
          </cell>
        </row>
        <row r="8">
          <cell r="A8">
            <v>130103</v>
          </cell>
          <cell r="B8" t="str">
            <v>OFICIAL DE GARANTIAS</v>
          </cell>
        </row>
        <row r="9">
          <cell r="A9">
            <v>130104</v>
          </cell>
          <cell r="B9" t="str">
            <v>OFICIAL DE COMPENSACION</v>
          </cell>
        </row>
        <row r="10">
          <cell r="A10">
            <v>130105</v>
          </cell>
          <cell r="B10" t="str">
            <v>C.A.C. Y RUEDA DE NEGOCIACION</v>
          </cell>
        </row>
        <row r="11">
          <cell r="A11">
            <v>130106</v>
          </cell>
          <cell r="B11" t="str">
            <v>OFICINA MEDELLIN</v>
          </cell>
        </row>
        <row r="12">
          <cell r="A12">
            <v>130107</v>
          </cell>
          <cell r="B12" t="str">
            <v>OFICINA NORTE</v>
          </cell>
        </row>
        <row r="13">
          <cell r="A13">
            <v>130201</v>
          </cell>
          <cell r="B13" t="str">
            <v>RELACIONES EXTERNAS</v>
          </cell>
        </row>
        <row r="14">
          <cell r="A14">
            <v>130202</v>
          </cell>
          <cell r="B14" t="str">
            <v>BIBLIOTECA</v>
          </cell>
        </row>
        <row r="15">
          <cell r="A15">
            <v>130301</v>
          </cell>
          <cell r="B15" t="str">
            <v>GERENCIA TECNICA</v>
          </cell>
        </row>
        <row r="16">
          <cell r="A16">
            <v>130302</v>
          </cell>
          <cell r="B16" t="str">
            <v>ANALISIS ECONOMICO</v>
          </cell>
        </row>
        <row r="17">
          <cell r="A17">
            <v>130303</v>
          </cell>
          <cell r="B17" t="str">
            <v>DESARROLO Y ANALISIS DE PRODUCTOS</v>
          </cell>
        </row>
        <row r="18">
          <cell r="A18">
            <v>130304</v>
          </cell>
          <cell r="B18" t="str">
            <v>INFORMACION</v>
          </cell>
        </row>
        <row r="19">
          <cell r="A19">
            <v>130401</v>
          </cell>
          <cell r="B19" t="str">
            <v>GERENCIA DESARROLLO DEL MERCADO</v>
          </cell>
        </row>
        <row r="20">
          <cell r="A20" t="str">
            <v>140000</v>
          </cell>
          <cell r="B20" t="str">
            <v>VICEP FINANCIERA Y ADMINISTRATIVA</v>
          </cell>
        </row>
        <row r="21">
          <cell r="A21">
            <v>140101</v>
          </cell>
          <cell r="B21" t="str">
            <v>DIRECCION DE SISTEMAS</v>
          </cell>
        </row>
        <row r="22">
          <cell r="A22">
            <v>140102</v>
          </cell>
          <cell r="B22" t="str">
            <v>SISTEMAS</v>
          </cell>
        </row>
        <row r="23">
          <cell r="A23">
            <v>140103</v>
          </cell>
          <cell r="B23" t="str">
            <v>COORDINACION DESARROLLO</v>
          </cell>
        </row>
        <row r="24">
          <cell r="A24">
            <v>140201</v>
          </cell>
          <cell r="B24" t="str">
            <v>DIRECCION COMERCIAL</v>
          </cell>
        </row>
        <row r="25">
          <cell r="A25">
            <v>140202</v>
          </cell>
          <cell r="B25" t="str">
            <v>COORDINADORA COMERCIAL</v>
          </cell>
        </row>
        <row r="26">
          <cell r="A26">
            <v>140203</v>
          </cell>
          <cell r="B26" t="str">
            <v>ASISTENTE COMERCIAL</v>
          </cell>
        </row>
        <row r="27">
          <cell r="A27">
            <v>140301</v>
          </cell>
          <cell r="B27" t="str">
            <v>DIVISION DE CONTABILIDAD</v>
          </cell>
        </row>
        <row r="28">
          <cell r="A28">
            <v>140302</v>
          </cell>
          <cell r="B28" t="str">
            <v>DIVISION PRESUPUESTO Y TESORERIA</v>
          </cell>
        </row>
        <row r="29">
          <cell r="A29">
            <v>140401</v>
          </cell>
          <cell r="B29" t="str">
            <v>DIRECCION SERVICIOS ADMINISTRATIVOS</v>
          </cell>
        </row>
        <row r="30">
          <cell r="A30">
            <v>140402</v>
          </cell>
          <cell r="B30" t="str">
            <v>CORRESPONDENCIA</v>
          </cell>
        </row>
        <row r="31">
          <cell r="A31">
            <v>140403</v>
          </cell>
          <cell r="B31" t="str">
            <v>PUBLICACIONES</v>
          </cell>
        </row>
        <row r="32">
          <cell r="A32">
            <v>140404</v>
          </cell>
          <cell r="B32" t="str">
            <v>ARCHIVO Y ALMACEN</v>
          </cell>
        </row>
        <row r="33">
          <cell r="A33">
            <v>140405</v>
          </cell>
          <cell r="B33" t="str">
            <v>MANTENIMIENTO</v>
          </cell>
        </row>
        <row r="34">
          <cell r="A34">
            <v>140406</v>
          </cell>
          <cell r="B34" t="str">
            <v>ASEO Y CAFETERIA</v>
          </cell>
        </row>
        <row r="35">
          <cell r="A35">
            <v>140407</v>
          </cell>
          <cell r="B35" t="str">
            <v>CONMUTADOR</v>
          </cell>
        </row>
        <row r="36">
          <cell r="A36">
            <v>140501</v>
          </cell>
          <cell r="B36" t="str">
            <v>DIRECCION DE RECURSOS HUMANOS</v>
          </cell>
        </row>
        <row r="37">
          <cell r="A37">
            <v>140502</v>
          </cell>
          <cell r="B37" t="str">
            <v>COORDINACION DESARROLLO HUMANO</v>
          </cell>
        </row>
        <row r="38">
          <cell r="A38">
            <v>140503</v>
          </cell>
          <cell r="B38" t="str">
            <v>COORDINACION DE NOMINA</v>
          </cell>
        </row>
        <row r="39">
          <cell r="A39" t="str">
            <v>1500</v>
          </cell>
          <cell r="B39" t="str">
            <v>VICEPR. JURIDICA Y SECRETARIA GENERAL</v>
          </cell>
        </row>
        <row r="40">
          <cell r="A40" t="str">
            <v>150101</v>
          </cell>
          <cell r="B40" t="str">
            <v>DIRECCION JURIDICA</v>
          </cell>
        </row>
        <row r="41">
          <cell r="A41" t="str">
            <v>1502</v>
          </cell>
          <cell r="B41" t="str">
            <v>DIRECCION DE SEGUIMIENTO</v>
          </cell>
        </row>
        <row r="42">
          <cell r="A42" t="str">
            <v>150201</v>
          </cell>
          <cell r="B42" t="str">
            <v>SUBDIRECCION DE OPERACION Y ANALISIS FIN</v>
          </cell>
        </row>
        <row r="43">
          <cell r="A43" t="str">
            <v>150202</v>
          </cell>
          <cell r="B43" t="str">
            <v>COORDINACION DE INSPECCION</v>
          </cell>
        </row>
        <row r="44">
          <cell r="A44" t="str">
            <v>1601</v>
          </cell>
          <cell r="B44" t="str">
            <v>ENLACE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98"/>
      <sheetName val="abr-24-98"/>
      <sheetName val="MAY-98"/>
      <sheetName val="JUN-98"/>
      <sheetName val="JUL-15-98"/>
      <sheetName val="JUL-30-98 "/>
      <sheetName val="ago-24"/>
      <sheetName val="sep-16"/>
      <sheetName val="sep-30"/>
      <sheetName val="oct-15"/>
      <sheetName val="oct-31"/>
      <sheetName val="NOV-17"/>
      <sheetName val="NOV-17 (2)"/>
      <sheetName val="Inver-sep"/>
      <sheetName val="Hoja1"/>
      <sheetName val="DIC-23"/>
      <sheetName val="DIC-31"/>
      <sheetName val="RESUMEN"/>
      <sheetName val="DIC-31 (2)"/>
      <sheetName val="Hoja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2">
          <cell r="A2">
            <v>1101</v>
          </cell>
          <cell r="B2" t="str">
            <v>CONSEJO DIRECTIVO</v>
          </cell>
        </row>
        <row r="3">
          <cell r="A3">
            <v>1201</v>
          </cell>
          <cell r="B3" t="str">
            <v>PRESIDENCIA</v>
          </cell>
        </row>
        <row r="4">
          <cell r="A4">
            <v>1202</v>
          </cell>
          <cell r="B4" t="str">
            <v>AUDITORIA INTERNA</v>
          </cell>
        </row>
        <row r="5">
          <cell r="A5">
            <v>1300</v>
          </cell>
          <cell r="B5" t="str">
            <v>VICEPRESIDENCIA DE NEGOCIOS</v>
          </cell>
        </row>
        <row r="6">
          <cell r="A6">
            <v>130101</v>
          </cell>
          <cell r="B6" t="str">
            <v>GERENCIA DE OPERACIONES</v>
          </cell>
        </row>
        <row r="7">
          <cell r="A7">
            <v>130102</v>
          </cell>
          <cell r="B7" t="str">
            <v>CUMPLIMIENTO Y TRASPASOS</v>
          </cell>
        </row>
        <row r="8">
          <cell r="A8">
            <v>130103</v>
          </cell>
          <cell r="B8" t="str">
            <v>OFICIAL DE GARANTIAS</v>
          </cell>
        </row>
        <row r="9">
          <cell r="A9">
            <v>130104</v>
          </cell>
          <cell r="B9" t="str">
            <v>OFICIAL DE COMPENSACION</v>
          </cell>
        </row>
        <row r="10">
          <cell r="A10">
            <v>130105</v>
          </cell>
          <cell r="B10" t="str">
            <v>C.A.C. Y RUEDA DE NEGOCIACION</v>
          </cell>
        </row>
        <row r="11">
          <cell r="A11">
            <v>130106</v>
          </cell>
          <cell r="B11" t="str">
            <v>OFICINA MEDELLIN</v>
          </cell>
        </row>
        <row r="12">
          <cell r="A12">
            <v>130107</v>
          </cell>
          <cell r="B12" t="str">
            <v>OFICINA NORTE</v>
          </cell>
        </row>
        <row r="13">
          <cell r="A13">
            <v>130201</v>
          </cell>
          <cell r="B13" t="str">
            <v>RELACIONES EXTERNAS</v>
          </cell>
        </row>
        <row r="14">
          <cell r="A14">
            <v>130202</v>
          </cell>
          <cell r="B14" t="str">
            <v>BIBLIOTECA</v>
          </cell>
        </row>
        <row r="15">
          <cell r="A15">
            <v>130301</v>
          </cell>
          <cell r="B15" t="str">
            <v>GERENCIA TECNICA</v>
          </cell>
        </row>
        <row r="16">
          <cell r="A16">
            <v>130302</v>
          </cell>
          <cell r="B16" t="str">
            <v>ANALISIS ECONOMICO</v>
          </cell>
        </row>
        <row r="17">
          <cell r="A17">
            <v>130303</v>
          </cell>
          <cell r="B17" t="str">
            <v>DESARROLO Y ANALISIS DE PRODUCTOS</v>
          </cell>
        </row>
        <row r="18">
          <cell r="A18">
            <v>130304</v>
          </cell>
          <cell r="B18" t="str">
            <v>INFORMACION</v>
          </cell>
        </row>
        <row r="19">
          <cell r="A19">
            <v>130401</v>
          </cell>
          <cell r="B19" t="str">
            <v>GERENCIA DESARROLLO DEL MERCADO</v>
          </cell>
        </row>
        <row r="20">
          <cell r="A20" t="str">
            <v>140000</v>
          </cell>
          <cell r="B20" t="str">
            <v>VICEP FINANCIERA Y ADMINISTRATIVA</v>
          </cell>
        </row>
        <row r="21">
          <cell r="A21">
            <v>140101</v>
          </cell>
          <cell r="B21" t="str">
            <v>DIRECCION DE SISTEMAS</v>
          </cell>
        </row>
        <row r="22">
          <cell r="A22">
            <v>140102</v>
          </cell>
          <cell r="B22" t="str">
            <v>SISTEMAS</v>
          </cell>
        </row>
        <row r="23">
          <cell r="A23">
            <v>140103</v>
          </cell>
          <cell r="B23" t="str">
            <v>COORDINACION DESARROLLO</v>
          </cell>
        </row>
        <row r="24">
          <cell r="A24">
            <v>140201</v>
          </cell>
          <cell r="B24" t="str">
            <v>DIRECCION COMERCIAL</v>
          </cell>
        </row>
        <row r="25">
          <cell r="A25">
            <v>140202</v>
          </cell>
          <cell r="B25" t="str">
            <v>COORDINADORA COMERCIAL</v>
          </cell>
        </row>
        <row r="26">
          <cell r="A26">
            <v>140203</v>
          </cell>
          <cell r="B26" t="str">
            <v>ASISTENTE COMERCIAL</v>
          </cell>
        </row>
        <row r="27">
          <cell r="A27">
            <v>140301</v>
          </cell>
          <cell r="B27" t="str">
            <v>DIVISION DE CONTABILIDAD</v>
          </cell>
        </row>
        <row r="28">
          <cell r="A28">
            <v>140302</v>
          </cell>
          <cell r="B28" t="str">
            <v>DIVISION PRESUPUESTO Y TESORERIA</v>
          </cell>
        </row>
        <row r="29">
          <cell r="A29">
            <v>140401</v>
          </cell>
          <cell r="B29" t="str">
            <v>DIRECCION SERVICIOS ADMINISTRATIVOS</v>
          </cell>
        </row>
        <row r="30">
          <cell r="A30">
            <v>140402</v>
          </cell>
          <cell r="B30" t="str">
            <v>CORRESPONDENCIA</v>
          </cell>
        </row>
        <row r="31">
          <cell r="A31">
            <v>140403</v>
          </cell>
          <cell r="B31" t="str">
            <v>PUBLICACIONES</v>
          </cell>
        </row>
        <row r="32">
          <cell r="A32">
            <v>140404</v>
          </cell>
          <cell r="B32" t="str">
            <v>ARCHIVO Y ALMACEN</v>
          </cell>
        </row>
        <row r="33">
          <cell r="A33">
            <v>140405</v>
          </cell>
          <cell r="B33" t="str">
            <v>MANTENIMIENTO</v>
          </cell>
        </row>
        <row r="34">
          <cell r="A34">
            <v>140406</v>
          </cell>
          <cell r="B34" t="str">
            <v>ASEO Y CAFETERIA</v>
          </cell>
        </row>
        <row r="35">
          <cell r="A35">
            <v>140407</v>
          </cell>
          <cell r="B35" t="str">
            <v>CONMUTADOR</v>
          </cell>
        </row>
        <row r="36">
          <cell r="A36">
            <v>140501</v>
          </cell>
          <cell r="B36" t="str">
            <v>DIRECCION DE RECURSOS HUMANOS</v>
          </cell>
        </row>
        <row r="37">
          <cell r="A37">
            <v>140502</v>
          </cell>
          <cell r="B37" t="str">
            <v>COORDINACION DESARROLLO HUMANO</v>
          </cell>
        </row>
        <row r="38">
          <cell r="A38">
            <v>140503</v>
          </cell>
          <cell r="B38" t="str">
            <v>COORDINACION DE NOMINA</v>
          </cell>
        </row>
        <row r="39">
          <cell r="A39" t="str">
            <v>1500</v>
          </cell>
          <cell r="B39" t="str">
            <v>VICEPR. JURIDICA Y SECRETARIA GENERAL</v>
          </cell>
        </row>
        <row r="40">
          <cell r="A40" t="str">
            <v>150101</v>
          </cell>
          <cell r="B40" t="str">
            <v>DIRECCION JURIDICA</v>
          </cell>
        </row>
        <row r="41">
          <cell r="A41" t="str">
            <v>1502</v>
          </cell>
          <cell r="B41" t="str">
            <v>DIRECCION DE SEGUIMIENTO</v>
          </cell>
        </row>
        <row r="42">
          <cell r="A42" t="str">
            <v>150201</v>
          </cell>
          <cell r="B42" t="str">
            <v>SUBDIRECCION DE OPERACION Y ANALISIS FIN</v>
          </cell>
        </row>
        <row r="43">
          <cell r="A43" t="str">
            <v>150202</v>
          </cell>
          <cell r="B43" t="str">
            <v>COORDINACION DE INSPECCION</v>
          </cell>
        </row>
        <row r="44">
          <cell r="A44" t="str">
            <v>1601</v>
          </cell>
          <cell r="B44" t="str">
            <v>ENLACE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lasificaciones Contables"/>
      <sheetName val="Reclasificaciones Fiscales"/>
      <sheetName val="TMP"/>
      <sheetName val="Configuracion"/>
      <sheetName val="Informes"/>
      <sheetName val="Aviso"/>
      <sheetName val="Datos de entrada"/>
      <sheetName val="Validación"/>
      <sheetName val="Sumaria de analisis"/>
      <sheetName val="Calculo cuotas"/>
      <sheetName val="Calculo limite - Opcion 1 y 2"/>
      <sheetName val="Conc. Patrimonial"/>
      <sheetName val="Conc. Renta"/>
      <sheetName val="Desc. Trib."/>
      <sheetName val="Renta Presuntiva"/>
      <sheetName val="Perdidas fiscales y exces"/>
      <sheetName val="Anticipo Año Sig."/>
      <sheetName val="Calculo global aportes paraf"/>
      <sheetName val="13-7"/>
      <sheetName val="Ajustes inflación patri liqui"/>
      <sheetName val="Borrador formulario oficial"/>
      <sheetName val="Altas 2004"/>
      <sheetName val="Corrección monetaria"/>
      <sheetName val="Reajustes fiscales"/>
      <sheetName val="Reducción saldos"/>
      <sheetName val="Provisión renta 2004"/>
      <sheetName val="PYG sin conceptos"/>
      <sheetName val="PYG con conceptos"/>
      <sheetName val="ICA"/>
      <sheetName val="PAAG-2004"/>
      <sheetName val="Altas 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9">
          <cell r="Q19" t="str">
            <v>NO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70">
          <cell r="J70">
            <v>2637061703.1317291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lasificaciones contables"/>
      <sheetName val="Reclasificaciones Fiscales"/>
      <sheetName val="TMP"/>
      <sheetName val="Configuracion"/>
      <sheetName val="Informes"/>
      <sheetName val="Aviso"/>
      <sheetName val="Datos de entrada"/>
      <sheetName val="Validación"/>
      <sheetName val="Sumaria de analisis"/>
      <sheetName val="Calculo cuotas"/>
      <sheetName val="Calculo limite - Opcion 1 y 2"/>
      <sheetName val="Conc. Patrimonial"/>
      <sheetName val="Conc. Renta"/>
      <sheetName val="Desc. Trib."/>
      <sheetName val="Renta Presuntiva"/>
      <sheetName val="Perdidas fiscales y exces"/>
      <sheetName val="Anticipo Año Sig."/>
      <sheetName val="Calculo global aportes paraf"/>
      <sheetName val="13-7"/>
      <sheetName val="Ajustes inflación patri liqui"/>
      <sheetName val="Borrador formulario ofici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NTA"/>
      <sheetName val="IVA"/>
      <sheetName val="RETENCION"/>
      <sheetName val="LIQUIDACION"/>
    </sheetNames>
    <sheetDataSet>
      <sheetData sheetId="0"/>
      <sheetData sheetId="1"/>
      <sheetData sheetId="2"/>
      <sheetData sheetId="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lasificaciones contables"/>
      <sheetName val="Reclasificaciones Fiscales"/>
      <sheetName val="TMP"/>
      <sheetName val="Configuracion"/>
      <sheetName val="Informes"/>
      <sheetName val="Aviso"/>
      <sheetName val="Datos de entrada"/>
      <sheetName val="Validación"/>
      <sheetName val="Sumaria de analisis"/>
      <sheetName val="Calculo cuotas"/>
      <sheetName val="Calculo limite - Opcion 1 y 2"/>
      <sheetName val="Conc. Patrimonial"/>
      <sheetName val="Conc. Renta"/>
      <sheetName val="Desc. Trib."/>
      <sheetName val="Renta Presuntiva"/>
      <sheetName val="Perdidas fiscales y exces"/>
      <sheetName val="Anticipo Año Sig."/>
      <sheetName val="Calculo global aportes paraf"/>
      <sheetName val="13-7"/>
      <sheetName val="Ajustes inflación patri liqui"/>
      <sheetName val="Borrador formulario ofici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FORMULARIO"/>
      <sheetName val="ACTIVO"/>
      <sheetName val="nivel de detalle 6"/>
      <sheetName val="PASIVOS"/>
      <sheetName val="INGRESOS"/>
      <sheetName val="DEDUCCIONES"/>
      <sheetName val="COSTOS"/>
      <sheetName val="OTROS COSTOS"/>
      <sheetName val="DEMAS  RENGLONES"/>
      <sheetName val="BALANCE"/>
      <sheetName val="RENTA PRESUNTIVA"/>
      <sheetName val="CONCILIACION GENERAL DE RENTA"/>
      <sheetName val="CONCILIACION PATRIMONIO"/>
      <sheetName val="RTA COMPARACION PATRIM"/>
      <sheetName val="GASTOS NOMINA"/>
      <sheetName val="IMPUESTOS PAGADOS"/>
      <sheetName val="PROVISIONES CARTERA"/>
      <sheetName val="ANTICIPO AÑO 2007"/>
      <sheetName val="CORRECION MONETARIA A DECLARAR"/>
      <sheetName val="AXI PATRIMONIO"/>
      <sheetName val="GASTOS EN EL EXTERIOR"/>
      <sheetName val="RETENCIONES Y AUTORETENCIONES"/>
      <sheetName val="SALDO A PAGAR O A FAVOR"/>
      <sheetName val="CONCILIACION INGRESOS"/>
      <sheetName val="BENEFICIO AUDITORIA"/>
      <sheetName val="INTERES PRESUNTIVO"/>
      <sheetName val="RENTAS EXENTAS"/>
      <sheetName val="APORTES PARAFISCALES"/>
      <sheetName val="AJUSTES FISCALES"/>
      <sheetName val="ICA PROVISIONADO"/>
      <sheetName val="AXI ACTIVOS FIJOS Y DEPRECIACIO"/>
      <sheetName val="ANEXO ACTIVOS REALES PRODUCTIVO"/>
      <sheetName val="Hoja5"/>
      <sheetName val="Hoja4"/>
      <sheetName val="Hoja3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ulario"/>
      <sheetName val="Anexos"/>
      <sheetName val="BALAN. IVA"/>
      <sheetName val="Ingresos"/>
      <sheetName val="LIBRO AUX."/>
      <sheetName val="BALAN. INGR"/>
      <sheetName val="planil. Iva"/>
      <sheetName val="Planilla Compras"/>
      <sheetName val="L. Compra (2)"/>
      <sheetName val="1355"/>
      <sheetName val="1355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uce diciembre sandra"/>
      <sheetName val="ultimo auxiliar 3"/>
      <sheetName val="ultimo auxiliar 2"/>
      <sheetName val="CONCILIACION DIC SANDRA (3)"/>
      <sheetName val="ultimo auxiliar 1"/>
      <sheetName val="CONCILIACION DIC SANDRA (2)"/>
      <sheetName val="auxiliar dic "/>
      <sheetName val="extract dic"/>
      <sheetName val="RELACION DE CHEQUES"/>
      <sheetName val="CONCILIACION DIC SANDRA"/>
      <sheetName val="conciliacion noviembr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98"/>
      <sheetName val="abr-24-98"/>
      <sheetName val="MAY-98"/>
      <sheetName val="JUN-98"/>
      <sheetName val="JUL-15-98"/>
      <sheetName val="JUL-30-98 "/>
      <sheetName val="ago-24"/>
      <sheetName val="sep-16"/>
      <sheetName val="sep-30"/>
      <sheetName val="oct-15"/>
      <sheetName val="oct-31"/>
      <sheetName val="NOV-17"/>
      <sheetName val="NOV-17 (2)"/>
      <sheetName val="Inver-sep"/>
      <sheetName val="Hoja1"/>
      <sheetName val="DIC-23"/>
      <sheetName val="DIC-31"/>
      <sheetName val="RESUMEN"/>
      <sheetName val="DIC-31 (2)"/>
      <sheetName val="Hoja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>
            <v>1101</v>
          </cell>
          <cell r="B2" t="str">
            <v>CONSEJO DIRECTIVO</v>
          </cell>
        </row>
        <row r="3">
          <cell r="A3">
            <v>1201</v>
          </cell>
          <cell r="B3" t="str">
            <v>PRESIDENCIA</v>
          </cell>
        </row>
        <row r="4">
          <cell r="A4">
            <v>1202</v>
          </cell>
          <cell r="B4" t="str">
            <v>AUDITORIA INTERNA</v>
          </cell>
        </row>
        <row r="5">
          <cell r="A5">
            <v>1300</v>
          </cell>
          <cell r="B5" t="str">
            <v>VICEPRESIDENCIA DE NEGOCIOS</v>
          </cell>
        </row>
        <row r="6">
          <cell r="A6">
            <v>130101</v>
          </cell>
          <cell r="B6" t="str">
            <v>GERENCIA DE OPERACIONES</v>
          </cell>
        </row>
        <row r="7">
          <cell r="A7">
            <v>130102</v>
          </cell>
          <cell r="B7" t="str">
            <v>CUMPLIMIENTO Y TRASPASOS</v>
          </cell>
        </row>
        <row r="8">
          <cell r="A8">
            <v>130103</v>
          </cell>
          <cell r="B8" t="str">
            <v>OFICIAL DE GARANTIAS</v>
          </cell>
        </row>
        <row r="9">
          <cell r="A9">
            <v>130104</v>
          </cell>
          <cell r="B9" t="str">
            <v>OFICIAL DE COMPENSACION</v>
          </cell>
        </row>
        <row r="10">
          <cell r="A10">
            <v>130105</v>
          </cell>
          <cell r="B10" t="str">
            <v>C.A.C. Y RUEDA DE NEGOCIACION</v>
          </cell>
        </row>
        <row r="11">
          <cell r="A11">
            <v>130106</v>
          </cell>
          <cell r="B11" t="str">
            <v>OFICINA MEDELLIN</v>
          </cell>
        </row>
        <row r="12">
          <cell r="A12">
            <v>130107</v>
          </cell>
          <cell r="B12" t="str">
            <v>OFICINA NORTE</v>
          </cell>
        </row>
        <row r="13">
          <cell r="A13">
            <v>130201</v>
          </cell>
          <cell r="B13" t="str">
            <v>RELACIONES EXTERNAS</v>
          </cell>
        </row>
        <row r="14">
          <cell r="A14">
            <v>130202</v>
          </cell>
          <cell r="B14" t="str">
            <v>BIBLIOTECA</v>
          </cell>
        </row>
        <row r="15">
          <cell r="A15">
            <v>130301</v>
          </cell>
          <cell r="B15" t="str">
            <v>GERENCIA TECNICA</v>
          </cell>
        </row>
        <row r="16">
          <cell r="A16">
            <v>130302</v>
          </cell>
          <cell r="B16" t="str">
            <v>ANALISIS ECONOMICO</v>
          </cell>
        </row>
        <row r="17">
          <cell r="A17">
            <v>130303</v>
          </cell>
          <cell r="B17" t="str">
            <v>DESARROLO Y ANALISIS DE PRODUCTOS</v>
          </cell>
        </row>
        <row r="18">
          <cell r="A18">
            <v>130304</v>
          </cell>
          <cell r="B18" t="str">
            <v>INFORMACION</v>
          </cell>
        </row>
        <row r="19">
          <cell r="A19">
            <v>130401</v>
          </cell>
          <cell r="B19" t="str">
            <v>GERENCIA DESARROLLO DEL MERCADO</v>
          </cell>
        </row>
        <row r="20">
          <cell r="A20" t="str">
            <v>140000</v>
          </cell>
          <cell r="B20" t="str">
            <v>VICEP FINANCIERA Y ADMINISTRATIVA</v>
          </cell>
        </row>
        <row r="21">
          <cell r="A21">
            <v>140101</v>
          </cell>
          <cell r="B21" t="str">
            <v>DIRECCION DE SISTEMAS</v>
          </cell>
        </row>
        <row r="22">
          <cell r="A22">
            <v>140102</v>
          </cell>
          <cell r="B22" t="str">
            <v>SISTEMAS</v>
          </cell>
        </row>
        <row r="23">
          <cell r="A23">
            <v>140103</v>
          </cell>
          <cell r="B23" t="str">
            <v>COORDINACION DESARROLLO</v>
          </cell>
        </row>
        <row r="24">
          <cell r="A24">
            <v>140201</v>
          </cell>
          <cell r="B24" t="str">
            <v>DIRECCION COMERCIAL</v>
          </cell>
        </row>
        <row r="25">
          <cell r="A25">
            <v>140202</v>
          </cell>
          <cell r="B25" t="str">
            <v>COORDINADORA COMERCIAL</v>
          </cell>
        </row>
        <row r="26">
          <cell r="A26">
            <v>140203</v>
          </cell>
          <cell r="B26" t="str">
            <v>ASISTENTE COMERCIAL</v>
          </cell>
        </row>
        <row r="27">
          <cell r="A27">
            <v>140301</v>
          </cell>
          <cell r="B27" t="str">
            <v>DIVISION DE CONTABILIDAD</v>
          </cell>
        </row>
        <row r="28">
          <cell r="A28">
            <v>140302</v>
          </cell>
          <cell r="B28" t="str">
            <v>DIVISION PRESUPUESTO Y TESORERIA</v>
          </cell>
        </row>
        <row r="29">
          <cell r="A29">
            <v>140401</v>
          </cell>
          <cell r="B29" t="str">
            <v>DIRECCION SERVICIOS ADMINISTRATIVOS</v>
          </cell>
        </row>
        <row r="30">
          <cell r="A30">
            <v>140402</v>
          </cell>
          <cell r="B30" t="str">
            <v>CORRESPONDENCIA</v>
          </cell>
        </row>
        <row r="31">
          <cell r="A31">
            <v>140403</v>
          </cell>
          <cell r="B31" t="str">
            <v>PUBLICACIONES</v>
          </cell>
        </row>
        <row r="32">
          <cell r="A32">
            <v>140404</v>
          </cell>
          <cell r="B32" t="str">
            <v>ARCHIVO Y ALMACEN</v>
          </cell>
        </row>
        <row r="33">
          <cell r="A33">
            <v>140405</v>
          </cell>
          <cell r="B33" t="str">
            <v>MANTENIMIENTO</v>
          </cell>
        </row>
        <row r="34">
          <cell r="A34">
            <v>140406</v>
          </cell>
          <cell r="B34" t="str">
            <v>ASEO Y CAFETERIA</v>
          </cell>
        </row>
        <row r="35">
          <cell r="A35">
            <v>140407</v>
          </cell>
          <cell r="B35" t="str">
            <v>CONMUTADOR</v>
          </cell>
        </row>
        <row r="36">
          <cell r="A36">
            <v>140501</v>
          </cell>
          <cell r="B36" t="str">
            <v>DIRECCION DE RECURSOS HUMANOS</v>
          </cell>
        </row>
        <row r="37">
          <cell r="A37">
            <v>140502</v>
          </cell>
          <cell r="B37" t="str">
            <v>COORDINACION DESARROLLO HUMANO</v>
          </cell>
        </row>
        <row r="38">
          <cell r="A38">
            <v>140503</v>
          </cell>
          <cell r="B38" t="str">
            <v>COORDINACION DE NOMINA</v>
          </cell>
        </row>
        <row r="39">
          <cell r="A39" t="str">
            <v>1500</v>
          </cell>
          <cell r="B39" t="str">
            <v>VICEPR. JURIDICA Y SECRETARIA GENERAL</v>
          </cell>
        </row>
        <row r="40">
          <cell r="A40" t="str">
            <v>150101</v>
          </cell>
          <cell r="B40" t="str">
            <v>DIRECCION JURIDICA</v>
          </cell>
        </row>
        <row r="41">
          <cell r="A41" t="str">
            <v>1502</v>
          </cell>
          <cell r="B41" t="str">
            <v>DIRECCION DE SEGUIMIENTO</v>
          </cell>
        </row>
        <row r="42">
          <cell r="A42" t="str">
            <v>150201</v>
          </cell>
          <cell r="B42" t="str">
            <v>SUBDIRECCION DE OPERACION Y ANALISIS FIN</v>
          </cell>
        </row>
        <row r="43">
          <cell r="A43" t="str">
            <v>150202</v>
          </cell>
          <cell r="B43" t="str">
            <v>COORDINACION DE INSPECCION</v>
          </cell>
        </row>
        <row r="44">
          <cell r="A44" t="str">
            <v>1601</v>
          </cell>
          <cell r="B44" t="str">
            <v>ENLACE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FS 2014"/>
      <sheetName val="ESF  2015"/>
      <sheetName val="ER 2015"/>
      <sheetName val="HTEF 2015"/>
      <sheetName val="HTEF 2015 (2)"/>
      <sheetName val="anexo ef (2)"/>
      <sheetName val="FLUJO EFECTIVO (3)"/>
      <sheetName val="FOM DE INDICADORES"/>
      <sheetName val="LEY E.F CONSOLIDADOS"/>
      <sheetName val="NIIF PYMES EF CONSOLIDADOS"/>
      <sheetName val="GASTOS NO DEDUCIBLES"/>
      <sheetName val="BFINAL 2021"/>
      <sheetName val="ESF "/>
      <sheetName val="ER "/>
      <sheetName val="ESTADO DE CAMBIOS EN EL PATRIMO"/>
      <sheetName val="FLUJO EFECTIVO"/>
      <sheetName val="IND FIN"/>
      <sheetName val="informes pàra flujo de efectivo"/>
      <sheetName val="ANEXO 1"/>
      <sheetName val="ANEXO CAJA"/>
      <sheetName val="ANEXO CORRECCION"/>
      <sheetName val="ANEXO 2"/>
      <sheetName val="ANEXO CLIE PROV COMPRA AC FIJO"/>
      <sheetName val="ANEXO 3"/>
      <sheetName val="CONCIL CONTABLE FISCAL RENTA"/>
      <sheetName val="ESTADO DE COSTOS"/>
      <sheetName val="TET"/>
      <sheetName val="EFE NIIF 2017"/>
      <sheetName val="CORRECCIONES"/>
      <sheetName val="PROVEEDORES"/>
      <sheetName val="PAGOS PENDIENTE"/>
      <sheetName val="NORMA DIST DE UTIL"/>
      <sheetName val="DIST. DE UTILID"/>
      <sheetName val="Hoja1"/>
      <sheetName val="CALCULO RESERVA LEGAL"/>
      <sheetName val="encabezado notas"/>
      <sheetName val="Informe de gestion"/>
      <sheetName val="Informe Gt LP"/>
      <sheetName val="informe er"/>
      <sheetName val="LOGO"/>
      <sheetName val="VARIACIONES  2 NIVELES EN AÑOS"/>
      <sheetName val="BPNIIF FINAL 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>
        <row r="6">
          <cell r="B6" t="str">
            <v>A 31 de Diciembre 2021 - 2020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FS 2014"/>
      <sheetName val="ESF  2015"/>
      <sheetName val="ER 2015"/>
      <sheetName val="HTEF 2015"/>
      <sheetName val="HTEF 2015 (2)"/>
      <sheetName val="anexo ef (2)"/>
      <sheetName val="FLUJO EFECTIVO (3)"/>
      <sheetName val="FOM DE INDICADORES"/>
      <sheetName val="GASTOS NO DEDUCIBLES"/>
      <sheetName val="BFINAL 2022"/>
      <sheetName val="ESF "/>
      <sheetName val="ER "/>
      <sheetName val="ESTADO DE CAMBIOS EN EL PATRIMO"/>
      <sheetName val="FLUJO EFECTIVO"/>
      <sheetName val="IND FIN"/>
      <sheetName val="informes pàra flujo de efectivo"/>
      <sheetName val="ANEXO 1"/>
      <sheetName val="ANEXO CORRECCION"/>
      <sheetName val="PARETOS"/>
      <sheetName val="PARTES RELACIONADAS"/>
      <sheetName val="ANEXO 2"/>
      <sheetName val="ANEXO 3"/>
      <sheetName val="CONCIL CONTABLE FISCAL RENTA"/>
      <sheetName val="BPT PREFINAL"/>
      <sheetName val="INFORME A REVISAR"/>
      <sheetName val="ESTADO DE COSTOS"/>
      <sheetName val="TET"/>
      <sheetName val="EFE NIIF 2017"/>
      <sheetName val="CORRECCIONES"/>
      <sheetName val="PROVEEDORES"/>
      <sheetName val="PAGOS PENDIENTE"/>
      <sheetName val="DIST. DE UTILID"/>
      <sheetName val="CALCULO RESERVA LEGAL"/>
      <sheetName val="encabezado notas"/>
      <sheetName val="Informe de gestion"/>
      <sheetName val="Informe Gt LP"/>
      <sheetName val="informe er"/>
      <sheetName val="LOGO"/>
      <sheetName val="NORMA DIST DE UTIL"/>
      <sheetName val="VARIACIONES  2 NIVELES EN AÑOS"/>
      <sheetName val="BPNIIF FINAL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F2">
            <v>37515549775.559998</v>
          </cell>
        </row>
      </sheetData>
      <sheetData sheetId="10">
        <row r="6">
          <cell r="B6" t="str">
            <v>A 31 de Diciembre 2022 - 2021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0">
          <cell r="O40">
            <v>14040144005.189219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E66F-3A4F-4B80-AB12-BB3AC3C37CCE}">
  <sheetPr>
    <tabColor theme="5" tint="-0.249977111117893"/>
  </sheetPr>
  <dimension ref="A3:N64"/>
  <sheetViews>
    <sheetView showGridLines="0" topLeftCell="A7" zoomScaleNormal="166" workbookViewId="0">
      <selection activeCell="N14" sqref="N14"/>
    </sheetView>
  </sheetViews>
  <sheetFormatPr baseColWidth="10" defaultColWidth="11.42578125" defaultRowHeight="15" x14ac:dyDescent="0.2"/>
  <cols>
    <col min="1" max="1" width="4.42578125" style="1" customWidth="1"/>
    <col min="2" max="2" width="43.28515625" style="1" customWidth="1"/>
    <col min="3" max="3" width="5.28515625" style="143" customWidth="1"/>
    <col min="4" max="4" width="16.7109375" style="144" bestFit="1" customWidth="1"/>
    <col min="5" max="5" width="8.5703125" style="145" bestFit="1" customWidth="1"/>
    <col min="6" max="6" width="16.28515625" style="68" bestFit="1" customWidth="1"/>
    <col min="7" max="7" width="8.5703125" style="67" bestFit="1" customWidth="1"/>
    <col min="8" max="8" width="15" style="68" customWidth="1"/>
    <col min="9" max="9" width="10.7109375" style="69" customWidth="1"/>
    <col min="10" max="10" width="16.85546875" style="1" bestFit="1" customWidth="1"/>
    <col min="11" max="16384" width="11.42578125" style="1"/>
  </cols>
  <sheetData>
    <row r="3" spans="2:10" ht="18.75" customHeight="1" x14ac:dyDescent="0.2">
      <c r="B3" s="347" t="s">
        <v>0</v>
      </c>
      <c r="C3" s="347"/>
      <c r="D3" s="347"/>
      <c r="E3" s="347"/>
      <c r="F3" s="347"/>
      <c r="G3" s="347"/>
      <c r="H3" s="347"/>
      <c r="I3" s="347"/>
      <c r="J3" s="58"/>
    </row>
    <row r="4" spans="2:10" ht="20.25" x14ac:dyDescent="0.2">
      <c r="B4" s="347" t="s">
        <v>1</v>
      </c>
      <c r="C4" s="347"/>
      <c r="D4" s="347"/>
      <c r="E4" s="347"/>
      <c r="F4" s="347"/>
      <c r="G4" s="347"/>
      <c r="H4" s="347"/>
      <c r="I4" s="347"/>
      <c r="J4" s="58"/>
    </row>
    <row r="5" spans="2:10" ht="18" customHeight="1" x14ac:dyDescent="0.2">
      <c r="B5" s="347" t="s">
        <v>39</v>
      </c>
      <c r="C5" s="347"/>
      <c r="D5" s="347"/>
      <c r="E5" s="347"/>
      <c r="F5" s="347"/>
      <c r="G5" s="347"/>
      <c r="H5" s="347"/>
      <c r="I5" s="347"/>
    </row>
    <row r="6" spans="2:10" ht="20.25" x14ac:dyDescent="0.2">
      <c r="B6" s="347" t="s">
        <v>40</v>
      </c>
      <c r="C6" s="347"/>
      <c r="D6" s="347"/>
      <c r="E6" s="347"/>
      <c r="F6" s="347"/>
      <c r="G6" s="347"/>
      <c r="H6" s="347"/>
      <c r="I6" s="347"/>
    </row>
    <row r="7" spans="2:10" ht="20.25" x14ac:dyDescent="0.2">
      <c r="B7" s="348" t="s">
        <v>3</v>
      </c>
      <c r="C7" s="348"/>
      <c r="D7" s="348"/>
      <c r="E7" s="348"/>
      <c r="F7" s="348"/>
      <c r="G7" s="348"/>
      <c r="H7" s="348"/>
      <c r="I7" s="348"/>
    </row>
    <row r="8" spans="2:10" ht="22.5" x14ac:dyDescent="0.2">
      <c r="B8" s="59"/>
      <c r="C8" s="59" t="s">
        <v>5</v>
      </c>
      <c r="D8" s="60" t="s">
        <v>6</v>
      </c>
      <c r="E8" s="10" t="s">
        <v>7</v>
      </c>
      <c r="F8" s="8" t="s">
        <v>8</v>
      </c>
      <c r="G8" s="10" t="s">
        <v>7</v>
      </c>
      <c r="H8" s="61" t="s">
        <v>9</v>
      </c>
      <c r="I8" s="62" t="s">
        <v>10</v>
      </c>
    </row>
    <row r="9" spans="2:10" ht="14.25" x14ac:dyDescent="0.2">
      <c r="B9" s="63" t="s">
        <v>41</v>
      </c>
      <c r="C9" s="14"/>
      <c r="D9" s="64"/>
      <c r="E9" s="65"/>
      <c r="F9" s="66"/>
    </row>
    <row r="10" spans="2:10" ht="14.25" x14ac:dyDescent="0.2">
      <c r="B10" s="63" t="s">
        <v>42</v>
      </c>
      <c r="C10" s="14"/>
      <c r="D10" s="64"/>
      <c r="E10" s="65"/>
      <c r="F10" s="66"/>
    </row>
    <row r="11" spans="2:10" ht="14.25" x14ac:dyDescent="0.2">
      <c r="B11" s="70" t="s">
        <v>43</v>
      </c>
      <c r="C11" s="14">
        <v>1.1000000000000001</v>
      </c>
      <c r="D11" s="71">
        <v>755101448.57000005</v>
      </c>
      <c r="E11" s="72">
        <f>+D11/$D$25</f>
        <v>2.2997234676156279E-2</v>
      </c>
      <c r="F11" s="73">
        <v>437372722.17000002</v>
      </c>
      <c r="G11" s="74">
        <f>+F11/$F$25</f>
        <v>1.3762059207689725E-2</v>
      </c>
      <c r="H11" s="75">
        <f>+D11-F11</f>
        <v>317728726.40000004</v>
      </c>
      <c r="I11" s="76">
        <f t="shared" ref="I11:I52" si="0">+D11/F11-1</f>
        <v>0.72644842783886232</v>
      </c>
    </row>
    <row r="12" spans="2:10" ht="14.25" x14ac:dyDescent="0.2">
      <c r="B12" s="70" t="s">
        <v>44</v>
      </c>
      <c r="C12" s="14">
        <v>1.2</v>
      </c>
      <c r="D12" s="71">
        <v>1727880423.0699999</v>
      </c>
      <c r="E12" s="72">
        <f t="shared" ref="E12:E15" si="1">+D12/$D$25</f>
        <v>5.2624017152833331E-2</v>
      </c>
      <c r="F12" s="73">
        <v>1193154283.24</v>
      </c>
      <c r="G12" s="74">
        <f t="shared" ref="G12:G17" si="2">+F12/$F$25</f>
        <v>3.7542944627157557E-2</v>
      </c>
      <c r="H12" s="75">
        <f t="shared" ref="H12:H16" si="3">+D12-F12</f>
        <v>534726139.82999992</v>
      </c>
      <c r="I12" s="76">
        <f t="shared" si="0"/>
        <v>0.44816177366262799</v>
      </c>
    </row>
    <row r="13" spans="2:10" ht="14.25" x14ac:dyDescent="0.2">
      <c r="B13" s="77" t="s">
        <v>45</v>
      </c>
      <c r="C13" s="14">
        <v>1.3</v>
      </c>
      <c r="D13" s="71">
        <v>21725046</v>
      </c>
      <c r="E13" s="72">
        <f t="shared" si="1"/>
        <v>6.6165411569326954E-4</v>
      </c>
      <c r="F13" s="73">
        <v>127925904</v>
      </c>
      <c r="G13" s="74">
        <f t="shared" si="2"/>
        <v>4.0252255703339072E-3</v>
      </c>
      <c r="H13" s="75">
        <f t="shared" si="3"/>
        <v>-106200858</v>
      </c>
      <c r="I13" s="76">
        <f t="shared" si="0"/>
        <v>-0.83017477054529942</v>
      </c>
    </row>
    <row r="14" spans="2:10" ht="14.25" x14ac:dyDescent="0.2">
      <c r="B14" s="70" t="s">
        <v>46</v>
      </c>
      <c r="C14" s="14">
        <v>2</v>
      </c>
      <c r="D14" s="71">
        <v>6439385556.9499998</v>
      </c>
      <c r="E14" s="72">
        <f t="shared" si="1"/>
        <v>0.19611677491001694</v>
      </c>
      <c r="F14" s="73">
        <v>5325026031.3999996</v>
      </c>
      <c r="G14" s="74">
        <f t="shared" si="2"/>
        <v>0.16755348427543623</v>
      </c>
      <c r="H14" s="75">
        <f t="shared" si="3"/>
        <v>1114359525.5500002</v>
      </c>
      <c r="I14" s="76">
        <f t="shared" si="0"/>
        <v>0.20926837145564603</v>
      </c>
    </row>
    <row r="15" spans="2:10" ht="14.25" x14ac:dyDescent="0.2">
      <c r="B15" s="70" t="s">
        <v>47</v>
      </c>
      <c r="C15" s="14">
        <v>3</v>
      </c>
      <c r="D15" s="71">
        <v>10564508473.16</v>
      </c>
      <c r="E15" s="72">
        <f t="shared" si="1"/>
        <v>0.32175078071377766</v>
      </c>
      <c r="F15" s="73">
        <v>10488725580.950001</v>
      </c>
      <c r="G15" s="74">
        <f t="shared" si="2"/>
        <v>0.33003078413778736</v>
      </c>
      <c r="H15" s="75">
        <f t="shared" si="3"/>
        <v>75782892.209999084</v>
      </c>
      <c r="I15" s="76">
        <f t="shared" si="0"/>
        <v>7.2251763691519866E-3</v>
      </c>
    </row>
    <row r="16" spans="2:10" ht="15" customHeight="1" x14ac:dyDescent="0.2">
      <c r="B16" s="70" t="s">
        <v>48</v>
      </c>
      <c r="C16" s="14">
        <v>7.1</v>
      </c>
      <c r="D16" s="78">
        <v>1201820000</v>
      </c>
      <c r="E16" s="72">
        <f>+D16/$D$25</f>
        <v>3.6602414987866316E-2</v>
      </c>
      <c r="F16" s="73">
        <v>1325799000</v>
      </c>
      <c r="G16" s="74">
        <f t="shared" si="2"/>
        <v>4.1716649005842661E-2</v>
      </c>
      <c r="H16" s="75">
        <f t="shared" si="3"/>
        <v>-123979000</v>
      </c>
      <c r="I16" s="76">
        <f t="shared" si="0"/>
        <v>-9.3512666701362712E-2</v>
      </c>
    </row>
    <row r="17" spans="2:9" ht="14.25" x14ac:dyDescent="0.2">
      <c r="B17" s="63" t="s">
        <v>49</v>
      </c>
      <c r="C17" s="14"/>
      <c r="D17" s="79">
        <v>20710420947.75</v>
      </c>
      <c r="E17" s="80">
        <f>SUM(E11:E16)</f>
        <v>0.63075287655634382</v>
      </c>
      <c r="F17" s="81">
        <v>18898003521.760002</v>
      </c>
      <c r="G17" s="82">
        <f t="shared" si="2"/>
        <v>0.59463114682424756</v>
      </c>
      <c r="H17" s="83">
        <f>SUM(H11:H16)</f>
        <v>1812417425.9899993</v>
      </c>
      <c r="I17" s="76">
        <f t="shared" si="0"/>
        <v>9.5905232735463253E-2</v>
      </c>
    </row>
    <row r="18" spans="2:9" ht="14.25" x14ac:dyDescent="0.2">
      <c r="B18" s="70" t="s">
        <v>14</v>
      </c>
      <c r="C18" s="14"/>
      <c r="D18" s="84"/>
      <c r="E18" s="74"/>
      <c r="F18" s="85"/>
      <c r="G18" s="74"/>
      <c r="H18" s="75"/>
      <c r="I18" s="86"/>
    </row>
    <row r="19" spans="2:9" ht="14.25" x14ac:dyDescent="0.2">
      <c r="B19" s="63" t="s">
        <v>50</v>
      </c>
      <c r="C19" s="14"/>
      <c r="D19" s="84"/>
      <c r="E19" s="74"/>
      <c r="F19" s="85"/>
      <c r="G19" s="74"/>
      <c r="H19" s="75"/>
      <c r="I19" s="86"/>
    </row>
    <row r="20" spans="2:9" ht="15" customHeight="1" x14ac:dyDescent="0.2">
      <c r="B20" s="70" t="s">
        <v>51</v>
      </c>
      <c r="C20" s="14">
        <v>4.0999999999999996</v>
      </c>
      <c r="D20" s="71">
        <v>10637138060.860001</v>
      </c>
      <c r="E20" s="72">
        <f t="shared" ref="E20:E25" si="4">+D20/$D$25</f>
        <v>0.32396277444777533</v>
      </c>
      <c r="F20" s="73">
        <v>11105028797.299999</v>
      </c>
      <c r="G20" s="74">
        <f t="shared" ref="G20:G25" si="5">+F20/$F$25</f>
        <v>0.34942294309826688</v>
      </c>
      <c r="H20" s="75">
        <f t="shared" ref="H20:H23" si="6">+D20-F20</f>
        <v>-467890736.43999863</v>
      </c>
      <c r="I20" s="76">
        <f t="shared" si="0"/>
        <v>-4.2133230357201623E-2</v>
      </c>
    </row>
    <row r="21" spans="2:9" ht="15" customHeight="1" x14ac:dyDescent="0.2">
      <c r="B21" s="70" t="s">
        <v>52</v>
      </c>
      <c r="C21" s="14">
        <v>4.5</v>
      </c>
      <c r="D21" s="71">
        <v>1223030000</v>
      </c>
      <c r="E21" s="72">
        <f t="shared" si="4"/>
        <v>3.7248382954693834E-2</v>
      </c>
      <c r="F21" s="73">
        <v>1223030000</v>
      </c>
      <c r="G21" s="74">
        <f t="shared" si="5"/>
        <v>3.8482992696189808E-2</v>
      </c>
      <c r="H21" s="75">
        <f t="shared" si="6"/>
        <v>0</v>
      </c>
      <c r="I21" s="76">
        <f t="shared" si="0"/>
        <v>0</v>
      </c>
    </row>
    <row r="22" spans="2:9" ht="15" customHeight="1" x14ac:dyDescent="0.2">
      <c r="B22" s="70" t="s">
        <v>53</v>
      </c>
      <c r="C22" s="14"/>
      <c r="D22" s="71">
        <v>0</v>
      </c>
      <c r="E22" s="72">
        <f t="shared" si="4"/>
        <v>0</v>
      </c>
      <c r="F22" s="73">
        <v>5970000</v>
      </c>
      <c r="G22" s="74">
        <f t="shared" si="5"/>
        <v>1.8784777674811997E-4</v>
      </c>
      <c r="H22" s="75">
        <f t="shared" si="6"/>
        <v>-5970000</v>
      </c>
      <c r="I22" s="76">
        <v>0</v>
      </c>
    </row>
    <row r="23" spans="2:9" ht="14.25" x14ac:dyDescent="0.2">
      <c r="B23" s="70" t="s">
        <v>48</v>
      </c>
      <c r="C23" s="14">
        <v>7.2</v>
      </c>
      <c r="D23" s="87">
        <v>263856489</v>
      </c>
      <c r="E23" s="72">
        <f t="shared" si="4"/>
        <v>8.0359660411870194E-3</v>
      </c>
      <c r="F23" s="73">
        <v>549019889</v>
      </c>
      <c r="G23" s="74">
        <f t="shared" si="5"/>
        <v>1.7275069604547673E-2</v>
      </c>
      <c r="H23" s="75">
        <f t="shared" si="6"/>
        <v>-285163400</v>
      </c>
      <c r="I23" s="76">
        <f t="shared" si="0"/>
        <v>-0.5194044982949606</v>
      </c>
    </row>
    <row r="24" spans="2:9" ht="14.25" x14ac:dyDescent="0.2">
      <c r="B24" s="63" t="s">
        <v>55</v>
      </c>
      <c r="C24" s="14"/>
      <c r="D24" s="79">
        <v>12124024549.860001</v>
      </c>
      <c r="E24" s="80">
        <f t="shared" si="4"/>
        <v>0.36924712344365618</v>
      </c>
      <c r="F24" s="81">
        <v>12883048686.299999</v>
      </c>
      <c r="G24" s="82">
        <f t="shared" si="5"/>
        <v>0.4053688531757525</v>
      </c>
      <c r="H24" s="83">
        <f>SUM(H20:H23)</f>
        <v>-759024136.43999863</v>
      </c>
      <c r="I24" s="76">
        <f t="shared" si="0"/>
        <v>-5.8916499884623996E-2</v>
      </c>
    </row>
    <row r="25" spans="2:9" thickBot="1" x14ac:dyDescent="0.25">
      <c r="B25" s="63" t="s">
        <v>56</v>
      </c>
      <c r="C25" s="14"/>
      <c r="D25" s="88">
        <v>32834445497.610001</v>
      </c>
      <c r="E25" s="80">
        <f t="shared" si="4"/>
        <v>1</v>
      </c>
      <c r="F25" s="89">
        <v>31781052208.060001</v>
      </c>
      <c r="G25" s="82">
        <f t="shared" si="5"/>
        <v>1</v>
      </c>
      <c r="H25" s="90">
        <f>+H17+H24</f>
        <v>1053393289.5500007</v>
      </c>
      <c r="I25" s="76">
        <f t="shared" si="0"/>
        <v>3.3145324536575593E-2</v>
      </c>
    </row>
    <row r="26" spans="2:9" thickTop="1" x14ac:dyDescent="0.2">
      <c r="B26" s="70" t="s">
        <v>14</v>
      </c>
      <c r="C26" s="14"/>
      <c r="D26" s="92"/>
      <c r="E26" s="74"/>
      <c r="F26" s="93"/>
      <c r="G26" s="74"/>
      <c r="H26" s="75"/>
      <c r="I26" s="86"/>
    </row>
    <row r="27" spans="2:9" ht="14.25" x14ac:dyDescent="0.2">
      <c r="B27" s="63" t="s">
        <v>57</v>
      </c>
      <c r="C27" s="14"/>
      <c r="D27" s="92"/>
      <c r="E27" s="74"/>
      <c r="F27" s="93"/>
      <c r="G27" s="74"/>
      <c r="H27" s="75"/>
      <c r="I27" s="86"/>
    </row>
    <row r="28" spans="2:9" ht="15" customHeight="1" x14ac:dyDescent="0.2">
      <c r="B28" s="63" t="s">
        <v>58</v>
      </c>
      <c r="C28" s="14"/>
      <c r="D28" s="92"/>
      <c r="E28" s="74"/>
      <c r="F28" s="93"/>
      <c r="G28" s="74"/>
      <c r="H28" s="75"/>
      <c r="I28" s="86"/>
    </row>
    <row r="29" spans="2:9" ht="14.25" x14ac:dyDescent="0.2">
      <c r="B29" s="70" t="s">
        <v>59</v>
      </c>
      <c r="C29" s="14">
        <v>5.2</v>
      </c>
      <c r="D29" s="71">
        <v>1944884000</v>
      </c>
      <c r="E29" s="72">
        <f t="shared" ref="E29:E34" si="7">+D29/$D$52</f>
        <v>5.923303928196582E-2</v>
      </c>
      <c r="F29" s="73">
        <v>2046420000</v>
      </c>
      <c r="G29" s="74">
        <f t="shared" ref="G29:G34" si="8">+F29/$F$52</f>
        <v>6.4391197202197853E-2</v>
      </c>
      <c r="H29" s="75">
        <f t="shared" ref="H29:H33" si="9">+D29-F29</f>
        <v>-101536000</v>
      </c>
      <c r="I29" s="76">
        <f t="shared" si="0"/>
        <v>-4.9616403279874155E-2</v>
      </c>
    </row>
    <row r="30" spans="2:9" ht="14.25" x14ac:dyDescent="0.2">
      <c r="B30" s="70" t="s">
        <v>60</v>
      </c>
      <c r="C30" s="14">
        <v>5.3</v>
      </c>
      <c r="D30" s="71">
        <v>2295243321.1700001</v>
      </c>
      <c r="E30" s="72">
        <f t="shared" si="7"/>
        <v>6.990352010944216E-2</v>
      </c>
      <c r="F30" s="73">
        <v>2730342363.25</v>
      </c>
      <c r="G30" s="74">
        <f t="shared" si="8"/>
        <v>8.5911012178118709E-2</v>
      </c>
      <c r="H30" s="75">
        <f t="shared" si="9"/>
        <v>-435099042.07999992</v>
      </c>
      <c r="I30" s="76">
        <f t="shared" si="0"/>
        <v>-0.15935695388840898</v>
      </c>
    </row>
    <row r="31" spans="2:9" s="33" customFormat="1" ht="15" customHeight="1" x14ac:dyDescent="0.2">
      <c r="B31" s="94" t="s">
        <v>61</v>
      </c>
      <c r="C31" s="14">
        <v>6.1</v>
      </c>
      <c r="D31" s="95">
        <v>7725520950.0100002</v>
      </c>
      <c r="E31" s="96">
        <f t="shared" si="7"/>
        <v>0.23528708442539104</v>
      </c>
      <c r="F31" s="97">
        <v>8361658286.2700005</v>
      </c>
      <c r="G31" s="74">
        <f t="shared" si="8"/>
        <v>0.26310199648586474</v>
      </c>
      <c r="H31" s="75">
        <f t="shared" si="9"/>
        <v>-636137336.26000023</v>
      </c>
      <c r="I31" s="76">
        <f t="shared" si="0"/>
        <v>-7.6077892025861571E-2</v>
      </c>
    </row>
    <row r="32" spans="2:9" ht="15" customHeight="1" x14ac:dyDescent="0.2">
      <c r="B32" s="70" t="s">
        <v>62</v>
      </c>
      <c r="C32" s="14">
        <v>6.2</v>
      </c>
      <c r="D32" s="71">
        <v>238563887</v>
      </c>
      <c r="E32" s="72">
        <f t="shared" si="7"/>
        <v>7.2656590778316108E-3</v>
      </c>
      <c r="F32" s="73">
        <v>163024849.31</v>
      </c>
      <c r="G32" s="74">
        <f t="shared" si="8"/>
        <v>5.1296240365021834E-3</v>
      </c>
      <c r="H32" s="75">
        <f>+D32-F32</f>
        <v>75539037.689999998</v>
      </c>
      <c r="I32" s="76">
        <f>+D32/F32-1</f>
        <v>0.46335904010779783</v>
      </c>
    </row>
    <row r="33" spans="2:10" ht="14.25" x14ac:dyDescent="0.2">
      <c r="B33" s="70" t="s">
        <v>63</v>
      </c>
      <c r="C33" s="14">
        <v>7</v>
      </c>
      <c r="D33" s="78">
        <v>1400982999.9453151</v>
      </c>
      <c r="E33" s="72">
        <f t="shared" si="7"/>
        <v>4.2668087695269828E-2</v>
      </c>
      <c r="F33" s="73">
        <v>1334443000</v>
      </c>
      <c r="G33" s="74">
        <f t="shared" si="8"/>
        <v>4.1988634966474384E-2</v>
      </c>
      <c r="H33" s="75">
        <f t="shared" si="9"/>
        <v>66539999.945315123</v>
      </c>
      <c r="I33" s="76">
        <f t="shared" si="0"/>
        <v>4.9863501060229076E-2</v>
      </c>
    </row>
    <row r="34" spans="2:10" ht="14.25" x14ac:dyDescent="0.2">
      <c r="B34" s="63" t="s">
        <v>64</v>
      </c>
      <c r="C34" s="14"/>
      <c r="D34" s="79">
        <v>13605195158.125315</v>
      </c>
      <c r="E34" s="72">
        <f t="shared" si="7"/>
        <v>0.41435739058990045</v>
      </c>
      <c r="F34" s="81">
        <v>14635888498.83</v>
      </c>
      <c r="G34" s="82">
        <f t="shared" si="8"/>
        <v>0.46052246486915788</v>
      </c>
      <c r="H34" s="83">
        <f>SUM(H29:H33)</f>
        <v>-1030693340.704685</v>
      </c>
      <c r="I34" s="76">
        <f t="shared" si="0"/>
        <v>-7.0422328018355684E-2</v>
      </c>
    </row>
    <row r="35" spans="2:10" ht="14.25" x14ac:dyDescent="0.2">
      <c r="B35" s="70" t="s">
        <v>14</v>
      </c>
      <c r="C35" s="14"/>
      <c r="D35" s="92"/>
      <c r="E35" s="72"/>
      <c r="F35" s="93"/>
      <c r="G35" s="74"/>
      <c r="H35" s="75"/>
      <c r="I35" s="86"/>
    </row>
    <row r="36" spans="2:10" ht="14.25" x14ac:dyDescent="0.2">
      <c r="B36" s="63" t="s">
        <v>65</v>
      </c>
      <c r="C36" s="14"/>
      <c r="D36" s="92"/>
      <c r="E36" s="72"/>
      <c r="F36" s="93"/>
      <c r="G36" s="74"/>
      <c r="H36" s="75"/>
      <c r="I36" s="86"/>
    </row>
    <row r="37" spans="2:10" ht="15" customHeight="1" x14ac:dyDescent="0.2">
      <c r="B37" s="70" t="s">
        <v>60</v>
      </c>
      <c r="C37" s="14">
        <v>5.3</v>
      </c>
      <c r="D37" s="71">
        <v>1961264510.98</v>
      </c>
      <c r="E37" s="72">
        <f t="shared" ref="E37:E42" si="10">+D37/$D$52</f>
        <v>5.9731921194890708E-2</v>
      </c>
      <c r="F37" s="73">
        <v>3153009184.98</v>
      </c>
      <c r="G37" s="74">
        <f t="shared" ref="G37:G42" si="11">+F37/$F$52</f>
        <v>9.9210345975111816E-2</v>
      </c>
      <c r="H37" s="75">
        <f t="shared" ref="H37:H40" si="12">+D37-F37</f>
        <v>-1191744674</v>
      </c>
      <c r="I37" s="76">
        <f t="shared" si="0"/>
        <v>-0.37797056845794108</v>
      </c>
    </row>
    <row r="38" spans="2:10" ht="14.25" x14ac:dyDescent="0.2">
      <c r="B38" s="70" t="s">
        <v>66</v>
      </c>
      <c r="C38" s="14">
        <v>8</v>
      </c>
      <c r="D38" s="71">
        <v>452006325.44</v>
      </c>
      <c r="E38" s="72">
        <f t="shared" si="10"/>
        <v>1.3766223811026542E-2</v>
      </c>
      <c r="F38" s="73">
        <v>192275625.22</v>
      </c>
      <c r="G38" s="74">
        <f t="shared" si="11"/>
        <v>6.0500081609429672E-3</v>
      </c>
      <c r="H38" s="75">
        <f t="shared" si="12"/>
        <v>259730700.22</v>
      </c>
      <c r="I38" s="76">
        <f t="shared" si="0"/>
        <v>1.3508248896490054</v>
      </c>
    </row>
    <row r="39" spans="2:10" ht="14.25" x14ac:dyDescent="0.2">
      <c r="B39" s="70" t="s">
        <v>67</v>
      </c>
      <c r="C39" s="14"/>
      <c r="D39" s="71">
        <v>4282558733.21</v>
      </c>
      <c r="E39" s="72">
        <f t="shared" si="10"/>
        <v>0.13042884288808676</v>
      </c>
      <c r="F39" s="73">
        <v>3504726255.8899999</v>
      </c>
      <c r="G39" s="74">
        <f t="shared" si="11"/>
        <v>0.11027722534119756</v>
      </c>
      <c r="H39" s="75">
        <f t="shared" si="12"/>
        <v>777832477.32000017</v>
      </c>
      <c r="I39" s="76">
        <f t="shared" si="0"/>
        <v>0.22193815451714216</v>
      </c>
    </row>
    <row r="40" spans="2:10" ht="14.25" x14ac:dyDescent="0.2">
      <c r="B40" s="70" t="s">
        <v>63</v>
      </c>
      <c r="C40" s="14">
        <v>7.2</v>
      </c>
      <c r="D40" s="99">
        <v>539915397</v>
      </c>
      <c r="E40" s="72">
        <f t="shared" si="10"/>
        <v>1.6443566772845666E-2</v>
      </c>
      <c r="F40" s="73">
        <v>1026572878</v>
      </c>
      <c r="G40" s="74">
        <f t="shared" si="11"/>
        <v>3.2301412530040659E-2</v>
      </c>
      <c r="H40" s="75">
        <f t="shared" si="12"/>
        <v>-486657481</v>
      </c>
      <c r="I40" s="76">
        <f t="shared" si="0"/>
        <v>-0.47406033359085098</v>
      </c>
    </row>
    <row r="41" spans="2:10" ht="14.25" x14ac:dyDescent="0.2">
      <c r="B41" s="63" t="s">
        <v>68</v>
      </c>
      <c r="C41" s="14"/>
      <c r="D41" s="79">
        <v>7235744966.6300001</v>
      </c>
      <c r="E41" s="80">
        <f t="shared" si="10"/>
        <v>0.22037055466684966</v>
      </c>
      <c r="F41" s="81">
        <v>7876583944.0900002</v>
      </c>
      <c r="G41" s="82">
        <f t="shared" si="11"/>
        <v>0.24783899200729301</v>
      </c>
      <c r="H41" s="100">
        <f>SUM(H37:H40)</f>
        <v>-640838977.4599998</v>
      </c>
      <c r="I41" s="76">
        <f t="shared" si="0"/>
        <v>-8.1360013682179821E-2</v>
      </c>
    </row>
    <row r="42" spans="2:10" ht="14.25" x14ac:dyDescent="0.2">
      <c r="B42" s="63" t="s">
        <v>69</v>
      </c>
      <c r="C42" s="14"/>
      <c r="D42" s="79">
        <v>20840940124.755314</v>
      </c>
      <c r="E42" s="80">
        <f t="shared" si="10"/>
        <v>0.63472794525675003</v>
      </c>
      <c r="F42" s="81">
        <v>22512472442.919998</v>
      </c>
      <c r="G42" s="82">
        <f t="shared" si="11"/>
        <v>0.7083614568764508</v>
      </c>
      <c r="H42" s="100">
        <f>+H34+H41</f>
        <v>-1671532318.1646848</v>
      </c>
      <c r="I42" s="76">
        <f t="shared" si="0"/>
        <v>-7.4249166652078147E-2</v>
      </c>
      <c r="J42" s="19"/>
    </row>
    <row r="43" spans="2:10" ht="15" customHeight="1" x14ac:dyDescent="0.2">
      <c r="B43" s="70" t="s">
        <v>14</v>
      </c>
      <c r="C43" s="14"/>
      <c r="D43" s="92"/>
      <c r="E43" s="72"/>
      <c r="F43" s="93"/>
      <c r="G43" s="74"/>
      <c r="H43" s="75"/>
      <c r="I43" s="86"/>
    </row>
    <row r="44" spans="2:10" ht="15" customHeight="1" x14ac:dyDescent="0.2">
      <c r="B44" s="63" t="s">
        <v>70</v>
      </c>
      <c r="C44" s="14"/>
      <c r="D44" s="92"/>
      <c r="E44" s="72"/>
      <c r="F44" s="93"/>
      <c r="G44" s="74"/>
      <c r="H44" s="75"/>
      <c r="I44" s="86"/>
    </row>
    <row r="45" spans="2:10" ht="14.25" x14ac:dyDescent="0.2">
      <c r="B45" s="70" t="s">
        <v>71</v>
      </c>
      <c r="C45" s="14">
        <v>9</v>
      </c>
      <c r="D45" s="71">
        <v>2060803967.3599999</v>
      </c>
      <c r="E45" s="72">
        <f>+D45/$D$52</f>
        <v>6.276347707681583E-2</v>
      </c>
      <c r="F45" s="73">
        <v>2060803967.3599999</v>
      </c>
      <c r="G45" s="74">
        <f t="shared" ref="G45:G50" si="13">+F45/$F$52</f>
        <v>6.4843792895568589E-2</v>
      </c>
      <c r="H45" s="75">
        <f t="shared" ref="H45:H49" si="14">+D45-F45</f>
        <v>0</v>
      </c>
      <c r="I45" s="76">
        <f t="shared" si="0"/>
        <v>0</v>
      </c>
    </row>
    <row r="46" spans="2:10" ht="14.25" x14ac:dyDescent="0.2">
      <c r="B46" s="70" t="s">
        <v>72</v>
      </c>
      <c r="C46" s="14">
        <v>9.1999999999999993</v>
      </c>
      <c r="D46" s="71">
        <v>2000000000</v>
      </c>
      <c r="E46" s="72">
        <f>+D46/$D$52</f>
        <v>6.0911642321049293E-2</v>
      </c>
      <c r="F46" s="73">
        <v>2000000000</v>
      </c>
      <c r="G46" s="74">
        <f t="shared" si="13"/>
        <v>6.2930578475775115E-2</v>
      </c>
      <c r="H46" s="75">
        <f t="shared" si="14"/>
        <v>0</v>
      </c>
      <c r="I46" s="76">
        <v>0</v>
      </c>
    </row>
    <row r="47" spans="2:10" ht="14.25" x14ac:dyDescent="0.2">
      <c r="B47" s="70" t="s">
        <v>73</v>
      </c>
      <c r="C47" s="14">
        <v>9.1</v>
      </c>
      <c r="D47" s="71">
        <v>1774057625.79</v>
      </c>
      <c r="E47" s="72">
        <f>+D47/$D$52</f>
        <v>5.4030381779525197E-2</v>
      </c>
      <c r="F47" s="73">
        <v>2403311966.3299999</v>
      </c>
      <c r="G47" s="74">
        <f t="shared" si="13"/>
        <v>7.5620906149449732E-2</v>
      </c>
      <c r="H47" s="75">
        <f t="shared" si="14"/>
        <v>-629254340.53999996</v>
      </c>
      <c r="I47" s="76">
        <f t="shared" si="0"/>
        <v>-0.2618279896059057</v>
      </c>
    </row>
    <row r="48" spans="2:10" ht="14.25" x14ac:dyDescent="0.2">
      <c r="B48" s="70" t="s">
        <v>74</v>
      </c>
      <c r="C48" s="14">
        <v>9</v>
      </c>
      <c r="D48" s="71">
        <v>3313032491.5100002</v>
      </c>
      <c r="E48" s="72">
        <f>+D48/$D$52</f>
        <v>0.10090112506043596</v>
      </c>
      <c r="F48" s="73">
        <v>3313032491.5100002</v>
      </c>
      <c r="G48" s="74">
        <f t="shared" si="13"/>
        <v>0.10424552559988141</v>
      </c>
      <c r="H48" s="75">
        <f t="shared" si="14"/>
        <v>0</v>
      </c>
      <c r="I48" s="76">
        <f t="shared" si="0"/>
        <v>0</v>
      </c>
    </row>
    <row r="49" spans="1:14" ht="15" customHeight="1" x14ac:dyDescent="0.2">
      <c r="B49" s="70" t="s">
        <v>75</v>
      </c>
      <c r="C49" s="14">
        <v>9</v>
      </c>
      <c r="D49" s="71">
        <v>120685682.13</v>
      </c>
      <c r="E49" s="72">
        <f t="shared" ref="E49" si="15">+D49/$D$52</f>
        <v>3.675581551587205E-3</v>
      </c>
      <c r="F49" s="73">
        <v>120685682.13</v>
      </c>
      <c r="G49" s="74">
        <f t="shared" si="13"/>
        <v>3.7974098950922072E-3</v>
      </c>
      <c r="H49" s="75">
        <f t="shared" si="14"/>
        <v>0</v>
      </c>
      <c r="I49" s="76">
        <f t="shared" si="0"/>
        <v>0</v>
      </c>
    </row>
    <row r="50" spans="1:14" ht="14.25" x14ac:dyDescent="0.2">
      <c r="B50" s="70" t="s">
        <v>76</v>
      </c>
      <c r="C50" s="14"/>
      <c r="D50" s="71">
        <v>2724925607.7146826</v>
      </c>
      <c r="E50" s="72">
        <f>+D50/$D$52</f>
        <v>8.298984698429232E-2</v>
      </c>
      <c r="F50" s="73">
        <v>-629254342.53999949</v>
      </c>
      <c r="G50" s="74">
        <f t="shared" si="13"/>
        <v>-1.9799669892217854E-2</v>
      </c>
      <c r="H50" s="75">
        <f>+D50-F50</f>
        <v>3354179950.2546821</v>
      </c>
      <c r="I50" s="76">
        <f t="shared" si="0"/>
        <v>-5.3304041362916275</v>
      </c>
    </row>
    <row r="51" spans="1:14" ht="14.25" x14ac:dyDescent="0.2">
      <c r="B51" s="63" t="s">
        <v>77</v>
      </c>
      <c r="C51" s="14"/>
      <c r="D51" s="79">
        <v>11993505374.504681</v>
      </c>
      <c r="E51" s="80">
        <f>+D51/$D$52</f>
        <v>0.36527205477370572</v>
      </c>
      <c r="F51" s="81">
        <v>9268579764.7900009</v>
      </c>
      <c r="G51" s="82">
        <f>SUM(G45:G50)</f>
        <v>0.2916385431235492</v>
      </c>
      <c r="H51" s="81">
        <f>SUM(H45:H50)</f>
        <v>2724925609.7146821</v>
      </c>
      <c r="I51" s="76">
        <f t="shared" si="0"/>
        <v>0.2939960251587066</v>
      </c>
    </row>
    <row r="52" spans="1:14" thickBot="1" x14ac:dyDescent="0.25">
      <c r="B52" s="63" t="s">
        <v>78</v>
      </c>
      <c r="C52" s="14"/>
      <c r="D52" s="88">
        <v>32834445498.259995</v>
      </c>
      <c r="E52" s="80">
        <f>+D52/$D$52</f>
        <v>1</v>
      </c>
      <c r="F52" s="89">
        <v>31781052207.709999</v>
      </c>
      <c r="G52" s="82">
        <f>+F52/$F$52</f>
        <v>1</v>
      </c>
      <c r="H52" s="89">
        <f>+H42+H51</f>
        <v>1053393291.5499973</v>
      </c>
      <c r="I52" s="76">
        <f t="shared" si="0"/>
        <v>3.3145324568405687E-2</v>
      </c>
    </row>
    <row r="53" spans="1:14" thickTop="1" x14ac:dyDescent="0.2">
      <c r="B53" s="51"/>
      <c r="C53" s="101"/>
      <c r="D53" s="102">
        <f>+D52-D25</f>
        <v>0.649993896484375</v>
      </c>
      <c r="E53" s="103"/>
      <c r="F53" s="104"/>
    </row>
    <row r="54" spans="1:14" ht="14.25" x14ac:dyDescent="0.2">
      <c r="B54" s="349" t="s">
        <v>28</v>
      </c>
      <c r="C54" s="349"/>
      <c r="D54" s="349"/>
      <c r="E54" s="105"/>
      <c r="F54" s="106"/>
    </row>
    <row r="55" spans="1:14" ht="14.25" x14ac:dyDescent="0.2">
      <c r="B55" s="107"/>
      <c r="C55" s="108"/>
      <c r="D55" s="109"/>
      <c r="E55" s="110"/>
      <c r="F55" s="111"/>
    </row>
    <row r="56" spans="1:14" ht="14.25" x14ac:dyDescent="0.2">
      <c r="B56" s="112"/>
      <c r="C56" s="113"/>
      <c r="D56" s="114"/>
      <c r="E56" s="115"/>
      <c r="F56" s="116"/>
    </row>
    <row r="57" spans="1:14" ht="14.25" x14ac:dyDescent="0.2">
      <c r="B57" s="117"/>
      <c r="C57" s="118"/>
      <c r="D57" s="119"/>
      <c r="E57" s="120"/>
      <c r="F57" s="121"/>
    </row>
    <row r="58" spans="1:14" s="124" customFormat="1" ht="15" customHeight="1" x14ac:dyDescent="0.25">
      <c r="B58" s="122"/>
      <c r="C58" s="123"/>
      <c r="D58" s="345"/>
      <c r="E58" s="345"/>
      <c r="F58" s="345"/>
      <c r="G58" s="345"/>
      <c r="H58" s="345"/>
      <c r="I58" s="345"/>
    </row>
    <row r="59" spans="1:14" s="47" customFormat="1" ht="16.149999999999999" customHeight="1" x14ac:dyDescent="0.2">
      <c r="B59" s="125" t="s">
        <v>29</v>
      </c>
      <c r="C59" s="126"/>
      <c r="D59" s="346" t="s">
        <v>79</v>
      </c>
      <c r="E59" s="346"/>
      <c r="F59" s="346"/>
      <c r="G59" s="346" t="s">
        <v>80</v>
      </c>
      <c r="H59" s="346"/>
      <c r="I59" s="346"/>
    </row>
    <row r="60" spans="1:14" ht="9.75" customHeight="1" x14ac:dyDescent="0.2">
      <c r="B60" s="50"/>
      <c r="C60" s="127"/>
      <c r="D60" s="128"/>
      <c r="E60" s="129"/>
      <c r="F60" s="130"/>
      <c r="G60" s="53" t="s">
        <v>33</v>
      </c>
      <c r="H60" s="131"/>
      <c r="I60" s="132"/>
    </row>
    <row r="61" spans="1:14" ht="14.25" x14ac:dyDescent="0.2">
      <c r="B61" s="50"/>
      <c r="C61" s="127"/>
      <c r="D61" s="128"/>
      <c r="E61" s="50"/>
      <c r="F61" s="133"/>
    </row>
    <row r="62" spans="1:14" ht="14.25" x14ac:dyDescent="0.2">
      <c r="C62" s="108"/>
      <c r="D62" s="134"/>
      <c r="E62" s="135"/>
      <c r="F62" s="136"/>
    </row>
    <row r="63" spans="1:14" ht="14.25" x14ac:dyDescent="0.2">
      <c r="C63" s="113"/>
      <c r="D63" s="137"/>
      <c r="E63" s="138"/>
      <c r="F63" s="139"/>
    </row>
    <row r="64" spans="1:14" s="67" customFormat="1" ht="14.25" x14ac:dyDescent="0.2">
      <c r="A64" s="1"/>
      <c r="B64" s="1"/>
      <c r="C64" s="118"/>
      <c r="D64" s="140"/>
      <c r="E64" s="141"/>
      <c r="F64" s="142"/>
      <c r="H64" s="68"/>
      <c r="I64" s="69"/>
      <c r="J64" s="1"/>
      <c r="K64" s="1"/>
      <c r="L64" s="1"/>
      <c r="M64" s="1"/>
      <c r="N64" s="1"/>
    </row>
  </sheetData>
  <mergeCells count="10">
    <mergeCell ref="D58:F58"/>
    <mergeCell ref="G58:I58"/>
    <mergeCell ref="D59:F59"/>
    <mergeCell ref="G59:I59"/>
    <mergeCell ref="B3:I3"/>
    <mergeCell ref="B4:I4"/>
    <mergeCell ref="B5:I5"/>
    <mergeCell ref="B6:I6"/>
    <mergeCell ref="B7:I7"/>
    <mergeCell ref="B54:D54"/>
  </mergeCells>
  <printOptions horizontalCentered="1" verticalCentered="1"/>
  <pageMargins left="0" right="0" top="0" bottom="0" header="0.31496062992125984" footer="0.31496062992125984"/>
  <pageSetup scale="80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57E1-2C43-4753-8A0E-72C52FF81577}">
  <sheetPr>
    <tabColor theme="5" tint="-0.249977111117893"/>
  </sheetPr>
  <dimension ref="B1:K46"/>
  <sheetViews>
    <sheetView showGridLines="0" topLeftCell="A10" zoomScale="88" zoomScaleNormal="160" workbookViewId="0">
      <selection activeCell="N14" sqref="N14"/>
    </sheetView>
  </sheetViews>
  <sheetFormatPr baseColWidth="10" defaultColWidth="11.42578125" defaultRowHeight="15" x14ac:dyDescent="0.25"/>
  <cols>
    <col min="1" max="1" width="6.7109375" style="1" customWidth="1"/>
    <col min="2" max="2" width="37.85546875" style="1" customWidth="1"/>
    <col min="3" max="3" width="8.42578125" style="2" customWidth="1"/>
    <col min="4" max="4" width="19.42578125" style="3" bestFit="1" customWidth="1"/>
    <col min="5" max="5" width="10" style="1" bestFit="1" customWidth="1"/>
    <col min="6" max="6" width="1.85546875" style="1" customWidth="1"/>
    <col min="7" max="7" width="19.85546875" style="3" bestFit="1" customWidth="1"/>
    <col min="8" max="8" width="15.7109375" style="1" bestFit="1" customWidth="1"/>
    <col min="9" max="9" width="19.85546875" style="1" bestFit="1" customWidth="1"/>
    <col min="10" max="10" width="10" style="1" bestFit="1" customWidth="1"/>
    <col min="11" max="11" width="16.85546875" style="1" bestFit="1" customWidth="1"/>
    <col min="12" max="16384" width="11.42578125" style="1"/>
  </cols>
  <sheetData>
    <row r="1" spans="2:11" ht="36" customHeight="1" x14ac:dyDescent="0.25"/>
    <row r="2" spans="2:11" ht="23.25" customHeight="1" x14ac:dyDescent="0.25"/>
    <row r="3" spans="2:11" ht="18.75" customHeight="1" x14ac:dyDescent="0.2">
      <c r="B3" s="347" t="s">
        <v>0</v>
      </c>
      <c r="C3" s="347"/>
      <c r="D3" s="347"/>
      <c r="E3" s="347"/>
      <c r="F3" s="347"/>
      <c r="G3" s="347"/>
      <c r="H3" s="347"/>
      <c r="I3" s="347"/>
      <c r="J3" s="347"/>
    </row>
    <row r="4" spans="2:11" ht="20.25" x14ac:dyDescent="0.2">
      <c r="B4" s="347" t="s">
        <v>1</v>
      </c>
      <c r="C4" s="347"/>
      <c r="D4" s="347"/>
      <c r="E4" s="347"/>
      <c r="F4" s="347"/>
      <c r="G4" s="347"/>
      <c r="H4" s="347"/>
      <c r="I4" s="347"/>
      <c r="J4" s="347"/>
    </row>
    <row r="5" spans="2:11" ht="18.75" customHeight="1" x14ac:dyDescent="0.2">
      <c r="B5" s="347" t="s">
        <v>2</v>
      </c>
      <c r="C5" s="347"/>
      <c r="D5" s="347"/>
      <c r="E5" s="347"/>
      <c r="F5" s="347"/>
      <c r="G5" s="347"/>
      <c r="H5" s="347"/>
      <c r="I5" s="347"/>
      <c r="J5" s="347"/>
    </row>
    <row r="6" spans="2:11" ht="20.25" x14ac:dyDescent="0.2">
      <c r="B6" s="347" t="str">
        <f>+'[19]ESF '!B6:I6</f>
        <v>A 31 de Diciembre 2021 - 2020</v>
      </c>
      <c r="C6" s="347"/>
      <c r="D6" s="347"/>
      <c r="E6" s="347"/>
      <c r="F6" s="347"/>
      <c r="G6" s="347"/>
      <c r="H6" s="347"/>
      <c r="I6" s="347"/>
      <c r="J6" s="347"/>
    </row>
    <row r="7" spans="2:11" ht="20.25" x14ac:dyDescent="0.2">
      <c r="B7" s="348" t="s">
        <v>3</v>
      </c>
      <c r="C7" s="348"/>
      <c r="D7" s="348"/>
      <c r="E7" s="348"/>
      <c r="F7" s="348"/>
      <c r="G7" s="348"/>
      <c r="H7" s="348"/>
      <c r="I7" s="348"/>
      <c r="J7" s="348"/>
    </row>
    <row r="8" spans="2:11" ht="14.25" x14ac:dyDescent="0.2">
      <c r="B8" s="4"/>
      <c r="C8" s="5"/>
    </row>
    <row r="9" spans="2:11" ht="23.25" customHeight="1" x14ac:dyDescent="0.2">
      <c r="B9" s="6" t="s">
        <v>4</v>
      </c>
      <c r="C9" s="7" t="s">
        <v>5</v>
      </c>
      <c r="D9" s="8" t="s">
        <v>6</v>
      </c>
      <c r="E9" s="9" t="s">
        <v>7</v>
      </c>
      <c r="F9" s="9"/>
      <c r="G9" s="8" t="s">
        <v>8</v>
      </c>
      <c r="H9" s="10" t="s">
        <v>7</v>
      </c>
      <c r="I9" s="11" t="s">
        <v>9</v>
      </c>
      <c r="J9" s="12" t="s">
        <v>10</v>
      </c>
    </row>
    <row r="10" spans="2:11" ht="25.5" x14ac:dyDescent="0.2">
      <c r="B10" s="13" t="s">
        <v>11</v>
      </c>
      <c r="C10" s="14">
        <v>10.1</v>
      </c>
      <c r="D10" s="15">
        <v>60053379137.809998</v>
      </c>
      <c r="E10" s="16">
        <f>+D10/$D$10</f>
        <v>1</v>
      </c>
      <c r="F10" s="16"/>
      <c r="G10" s="17">
        <v>37394688757.330002</v>
      </c>
      <c r="H10" s="16">
        <f>+G10/$G$10</f>
        <v>1</v>
      </c>
      <c r="I10" s="17">
        <f>+D10-G10</f>
        <v>22658690380.479996</v>
      </c>
      <c r="J10" s="18">
        <f>+(D10/G10-1)</f>
        <v>0.6059333860891809</v>
      </c>
      <c r="K10" s="19"/>
    </row>
    <row r="11" spans="2:11" ht="14.25" x14ac:dyDescent="0.2">
      <c r="B11" s="20" t="s">
        <v>12</v>
      </c>
      <c r="C11" s="21">
        <v>10.199999999999999</v>
      </c>
      <c r="D11" s="22">
        <v>51897171186</v>
      </c>
      <c r="E11" s="23">
        <f t="shared" ref="E11:E12" si="0">+D11/$D$10</f>
        <v>0.86418402979300801</v>
      </c>
      <c r="F11" s="23"/>
      <c r="G11" s="24">
        <v>29483514718.740002</v>
      </c>
      <c r="H11" s="23">
        <f t="shared" ref="H11:H12" si="1">+G11/$G$10</f>
        <v>0.78844123854248493</v>
      </c>
      <c r="I11" s="24">
        <f t="shared" ref="I11:I12" si="2">+D11-G11</f>
        <v>22413656467.259998</v>
      </c>
      <c r="J11" s="25">
        <f t="shared" ref="J11:J12" si="3">+(D11/G11-1)</f>
        <v>0.76020978777722403</v>
      </c>
    </row>
    <row r="12" spans="2:11" ht="14.25" x14ac:dyDescent="0.2">
      <c r="B12" s="26" t="s">
        <v>13</v>
      </c>
      <c r="C12" s="21"/>
      <c r="D12" s="15">
        <v>8156207951.8099976</v>
      </c>
      <c r="E12" s="16">
        <f t="shared" si="0"/>
        <v>0.13581597020699199</v>
      </c>
      <c r="F12" s="16"/>
      <c r="G12" s="17">
        <v>7911174038.5900002</v>
      </c>
      <c r="H12" s="16">
        <f t="shared" si="1"/>
        <v>0.21155876145751512</v>
      </c>
      <c r="I12" s="17">
        <f t="shared" si="2"/>
        <v>245033913.21999741</v>
      </c>
      <c r="J12" s="18">
        <f t="shared" si="3"/>
        <v>3.0973141536862148E-2</v>
      </c>
    </row>
    <row r="13" spans="2:11" ht="14.25" x14ac:dyDescent="0.2">
      <c r="B13" s="20" t="s">
        <v>14</v>
      </c>
      <c r="C13" s="21"/>
      <c r="D13" s="27"/>
      <c r="E13" s="28"/>
      <c r="F13" s="28"/>
      <c r="G13" s="29"/>
      <c r="H13" s="28"/>
      <c r="I13" s="28"/>
      <c r="J13" s="28"/>
    </row>
    <row r="14" spans="2:11" ht="14.25" x14ac:dyDescent="0.2">
      <c r="B14" s="20" t="s">
        <v>15</v>
      </c>
      <c r="C14" s="21">
        <v>11.1</v>
      </c>
      <c r="D14" s="27">
        <v>621747595</v>
      </c>
      <c r="E14" s="30">
        <f t="shared" ref="E14:E20" si="4">+D14/$D$10</f>
        <v>1.0353249124803099E-2</v>
      </c>
      <c r="F14" s="28"/>
      <c r="G14" s="29">
        <v>542085355.61000001</v>
      </c>
      <c r="H14" s="30">
        <f>+G14/$G$10</f>
        <v>1.4496319494135166E-2</v>
      </c>
      <c r="I14" s="24">
        <f t="shared" ref="I14:I18" si="5">+D14-G14</f>
        <v>79662239.389999986</v>
      </c>
      <c r="J14" s="25">
        <f t="shared" ref="J14:J18" si="6">+(D14/G14-1)</f>
        <v>0.14695515856604779</v>
      </c>
    </row>
    <row r="15" spans="2:11" ht="14.25" x14ac:dyDescent="0.2">
      <c r="B15" s="20" t="s">
        <v>16</v>
      </c>
      <c r="C15" s="21">
        <v>10.199999999999999</v>
      </c>
      <c r="D15" s="27">
        <v>1949592871.48</v>
      </c>
      <c r="E15" s="30">
        <f t="shared" si="4"/>
        <v>3.2464332556642488E-2</v>
      </c>
      <c r="F15" s="28"/>
      <c r="G15" s="29">
        <v>1412465074.45</v>
      </c>
      <c r="H15" s="30">
        <f t="shared" ref="H15:H24" si="7">+G15/$G$10</f>
        <v>3.7771809884983534E-2</v>
      </c>
      <c r="I15" s="24">
        <f t="shared" si="5"/>
        <v>537127797.02999997</v>
      </c>
      <c r="J15" s="25">
        <f t="shared" si="6"/>
        <v>0.38027686966996499</v>
      </c>
    </row>
    <row r="16" spans="2:11" ht="14.25" x14ac:dyDescent="0.2">
      <c r="B16" s="20" t="s">
        <v>17</v>
      </c>
      <c r="C16" s="21">
        <v>10.199999999999999</v>
      </c>
      <c r="D16" s="27">
        <v>1646078488.9200001</v>
      </c>
      <c r="E16" s="30">
        <f t="shared" si="4"/>
        <v>2.7410255884895218E-2</v>
      </c>
      <c r="F16" s="28"/>
      <c r="G16" s="29">
        <v>1416103261.5699999</v>
      </c>
      <c r="H16" s="30">
        <f t="shared" si="7"/>
        <v>3.7869101432016043E-2</v>
      </c>
      <c r="I16" s="24">
        <f t="shared" si="5"/>
        <v>229975227.35000014</v>
      </c>
      <c r="J16" s="25">
        <f t="shared" si="6"/>
        <v>0.16240004072516023</v>
      </c>
    </row>
    <row r="17" spans="2:10" ht="14.25" x14ac:dyDescent="0.2">
      <c r="B17" s="20" t="s">
        <v>18</v>
      </c>
      <c r="C17" s="21">
        <v>11.3</v>
      </c>
      <c r="D17" s="27">
        <v>829110027.19000006</v>
      </c>
      <c r="E17" s="30">
        <f>+D17/$D$10</f>
        <v>1.3806217719861612E-2</v>
      </c>
      <c r="F17" s="28"/>
      <c r="G17" s="29">
        <v>1460476548.73</v>
      </c>
      <c r="H17" s="30">
        <f>+G17/$G$10</f>
        <v>3.9055721474449266E-2</v>
      </c>
      <c r="I17" s="24">
        <f>+D17-G17</f>
        <v>-631366521.53999996</v>
      </c>
      <c r="J17" s="25">
        <f>+(D17/G17-1)</f>
        <v>-0.43230171829121333</v>
      </c>
    </row>
    <row r="18" spans="2:10" ht="14.25" x14ac:dyDescent="0.2">
      <c r="B18" s="20" t="s">
        <v>19</v>
      </c>
      <c r="C18" s="21">
        <v>11.2</v>
      </c>
      <c r="D18" s="27">
        <v>303311459.56</v>
      </c>
      <c r="E18" s="30">
        <f t="shared" si="4"/>
        <v>5.0506976279213762E-3</v>
      </c>
      <c r="F18" s="28"/>
      <c r="G18" s="29">
        <v>3630738148.9899998</v>
      </c>
      <c r="H18" s="30">
        <f t="shared" si="7"/>
        <v>9.7092348396089073E-2</v>
      </c>
      <c r="I18" s="24">
        <f t="shared" si="5"/>
        <v>-3327426689.4299998</v>
      </c>
      <c r="J18" s="25">
        <f t="shared" si="6"/>
        <v>-0.91646011165956009</v>
      </c>
    </row>
    <row r="19" spans="2:10" ht="14.25" x14ac:dyDescent="0.2">
      <c r="B19" s="20"/>
      <c r="C19" s="21"/>
      <c r="D19" s="27"/>
      <c r="E19" s="30"/>
      <c r="F19" s="28"/>
      <c r="G19" s="29"/>
      <c r="H19" s="28"/>
      <c r="I19" s="28"/>
      <c r="J19" s="28"/>
    </row>
    <row r="20" spans="2:10" s="33" customFormat="1" ht="25.5" x14ac:dyDescent="0.25">
      <c r="B20" s="31" t="s">
        <v>20</v>
      </c>
      <c r="C20" s="14"/>
      <c r="D20" s="15">
        <v>4049862699.6599975</v>
      </c>
      <c r="E20" s="16">
        <f t="shared" si="4"/>
        <v>6.7437715542474408E-2</v>
      </c>
      <c r="F20" s="32"/>
      <c r="G20" s="17">
        <v>533476360.46000051</v>
      </c>
      <c r="H20" s="16">
        <f t="shared" si="7"/>
        <v>1.4266099764112356E-2</v>
      </c>
      <c r="I20" s="17">
        <f t="shared" ref="I20" si="8">+D20-G20</f>
        <v>3516386339.1999969</v>
      </c>
      <c r="J20" s="18">
        <f t="shared" ref="J20" si="9">+(D20/G20-1)</f>
        <v>6.5914567164099331</v>
      </c>
    </row>
    <row r="21" spans="2:10" ht="14.25" x14ac:dyDescent="0.2">
      <c r="B21" s="26"/>
      <c r="C21" s="21"/>
      <c r="D21" s="27"/>
      <c r="E21" s="28"/>
      <c r="F21" s="28"/>
      <c r="G21" s="29"/>
      <c r="H21" s="28"/>
      <c r="I21" s="28"/>
      <c r="J21" s="28"/>
    </row>
    <row r="22" spans="2:10" s="33" customFormat="1" ht="14.25" x14ac:dyDescent="0.25">
      <c r="B22" s="34" t="s">
        <v>21</v>
      </c>
      <c r="C22" s="14">
        <v>7</v>
      </c>
      <c r="D22" s="35">
        <v>1400982999.9453151</v>
      </c>
      <c r="E22" s="23">
        <f t="shared" ref="E22:E24" si="10">+D22/$D$10</f>
        <v>2.332896200112821E-2</v>
      </c>
      <c r="F22" s="36"/>
      <c r="G22" s="37">
        <v>1204331000</v>
      </c>
      <c r="H22" s="23">
        <f t="shared" si="7"/>
        <v>3.2205937260647223E-2</v>
      </c>
      <c r="I22" s="24">
        <f t="shared" ref="I22" si="11">+D22-G22</f>
        <v>196651999.94531512</v>
      </c>
      <c r="J22" s="25">
        <f t="shared" ref="J22" si="12">+(D22/G22-1)</f>
        <v>0.16328733541303442</v>
      </c>
    </row>
    <row r="23" spans="2:10" ht="14.25" x14ac:dyDescent="0.2">
      <c r="B23" s="20"/>
      <c r="C23" s="21"/>
      <c r="D23" s="27"/>
      <c r="E23" s="30"/>
      <c r="F23" s="28"/>
      <c r="G23" s="29"/>
      <c r="H23" s="30"/>
      <c r="I23" s="28"/>
      <c r="J23" s="28"/>
    </row>
    <row r="24" spans="2:10" s="33" customFormat="1" ht="25.5" x14ac:dyDescent="0.25">
      <c r="B24" s="31" t="s">
        <v>22</v>
      </c>
      <c r="C24" s="14"/>
      <c r="D24" s="15">
        <v>2648879699.7146826</v>
      </c>
      <c r="E24" s="16">
        <f t="shared" si="10"/>
        <v>4.4108753541346198E-2</v>
      </c>
      <c r="F24" s="32"/>
      <c r="G24" s="17">
        <v>-670854639.53999949</v>
      </c>
      <c r="H24" s="16">
        <f t="shared" si="7"/>
        <v>-1.7939837496534865E-2</v>
      </c>
      <c r="I24" s="17">
        <f t="shared" ref="I24" si="13">+D24-G24</f>
        <v>3319734339.2546821</v>
      </c>
      <c r="J24" s="18">
        <f t="shared" ref="J24" si="14">+(D24/G24-1)</f>
        <v>-4.9485151381393173</v>
      </c>
    </row>
    <row r="25" spans="2:10" ht="14.25" x14ac:dyDescent="0.2">
      <c r="B25" s="20" t="s">
        <v>14</v>
      </c>
      <c r="C25" s="21"/>
      <c r="D25" s="29"/>
      <c r="E25" s="28"/>
      <c r="F25" s="28"/>
      <c r="G25" s="29"/>
      <c r="H25" s="28"/>
      <c r="I25" s="28"/>
      <c r="J25" s="28"/>
    </row>
    <row r="26" spans="2:10" ht="25.5" x14ac:dyDescent="0.2">
      <c r="B26" s="26" t="s">
        <v>23</v>
      </c>
      <c r="C26" s="21"/>
      <c r="D26" s="29"/>
      <c r="E26" s="28"/>
      <c r="F26" s="28"/>
      <c r="G26" s="29"/>
      <c r="H26" s="28"/>
      <c r="I26" s="28"/>
      <c r="J26" s="28"/>
    </row>
    <row r="27" spans="2:10" ht="14.25" x14ac:dyDescent="0.2">
      <c r="B27" s="20" t="s">
        <v>24</v>
      </c>
      <c r="C27" s="21">
        <v>11.4</v>
      </c>
      <c r="D27" s="27">
        <v>496089060</v>
      </c>
      <c r="E27" s="23">
        <f t="shared" ref="E27:E31" si="15">+D27/$D$10</f>
        <v>8.260801758741651E-3</v>
      </c>
      <c r="F27" s="28"/>
      <c r="G27" s="29">
        <v>708670310</v>
      </c>
      <c r="H27" s="23">
        <f t="shared" ref="H27:H31" si="16">+G27/$G$10</f>
        <v>1.8951095290533428E-2</v>
      </c>
      <c r="I27" s="24">
        <f t="shared" ref="I27:I28" si="17">+D27-G27</f>
        <v>-212581250</v>
      </c>
      <c r="J27" s="18">
        <v>0</v>
      </c>
    </row>
    <row r="28" spans="2:10" ht="14.25" x14ac:dyDescent="0.2">
      <c r="B28" s="20" t="s">
        <v>25</v>
      </c>
      <c r="C28" s="21"/>
      <c r="D28" s="35">
        <v>420043152</v>
      </c>
      <c r="E28" s="35">
        <v>0</v>
      </c>
      <c r="F28" s="28"/>
      <c r="G28" s="29">
        <v>667070013</v>
      </c>
      <c r="H28" s="23">
        <f t="shared" si="16"/>
        <v>1.7838629900863736E-2</v>
      </c>
      <c r="I28" s="24">
        <f t="shared" si="17"/>
        <v>-247026861</v>
      </c>
      <c r="J28" s="25">
        <v>0</v>
      </c>
    </row>
    <row r="29" spans="2:10" ht="14.25" x14ac:dyDescent="0.2">
      <c r="B29" s="26" t="s">
        <v>26</v>
      </c>
      <c r="C29" s="21"/>
      <c r="D29" s="38">
        <v>76045908</v>
      </c>
      <c r="E29" s="16">
        <f t="shared" si="15"/>
        <v>1.2663052286448441E-3</v>
      </c>
      <c r="F29" s="39"/>
      <c r="G29" s="38">
        <v>41600297</v>
      </c>
      <c r="H29" s="16">
        <f t="shared" si="16"/>
        <v>1.1124653896696928E-3</v>
      </c>
      <c r="I29" s="38">
        <f>+I27+I28</f>
        <v>-459608111</v>
      </c>
      <c r="J29" s="40">
        <f>SUM(J27:J28)</f>
        <v>0</v>
      </c>
    </row>
    <row r="30" spans="2:10" ht="14.25" x14ac:dyDescent="0.2">
      <c r="B30" s="20"/>
      <c r="C30" s="21"/>
      <c r="D30" s="29"/>
      <c r="E30" s="41"/>
      <c r="F30" s="41"/>
      <c r="G30" s="29"/>
      <c r="H30" s="41"/>
      <c r="I30" s="41"/>
      <c r="J30" s="41"/>
    </row>
    <row r="31" spans="2:10" ht="25.5" x14ac:dyDescent="0.2">
      <c r="B31" s="31" t="s">
        <v>27</v>
      </c>
      <c r="C31" s="14"/>
      <c r="D31" s="17">
        <v>2724925607.7146826</v>
      </c>
      <c r="E31" s="16">
        <f t="shared" si="15"/>
        <v>4.5375058769991039E-2</v>
      </c>
      <c r="F31" s="42"/>
      <c r="G31" s="17">
        <v>-629254342.53999949</v>
      </c>
      <c r="H31" s="16">
        <f t="shared" si="16"/>
        <v>-1.682737210686517E-2</v>
      </c>
      <c r="I31" s="17">
        <f t="shared" ref="I31" si="18">+D31-G31</f>
        <v>3354179950.2546821</v>
      </c>
      <c r="J31" s="18">
        <f t="shared" ref="J31" si="19">+(D31/G31-1)</f>
        <v>-5.3304041362916275</v>
      </c>
    </row>
    <row r="32" spans="2:10" ht="14.25" x14ac:dyDescent="0.2">
      <c r="B32" s="20"/>
      <c r="C32" s="21"/>
      <c r="D32" s="29"/>
      <c r="E32" s="29"/>
      <c r="F32" s="29"/>
      <c r="G32" s="29"/>
      <c r="H32" s="29"/>
      <c r="I32" s="29"/>
      <c r="J32" s="29"/>
    </row>
    <row r="33" spans="2:10" ht="14.25" x14ac:dyDescent="0.2">
      <c r="B33" s="349" t="s">
        <v>28</v>
      </c>
      <c r="C33" s="349"/>
      <c r="D33" s="349"/>
    </row>
    <row r="34" spans="2:10" ht="14.25" x14ac:dyDescent="0.2">
      <c r="B34" s="43"/>
      <c r="C34" s="43"/>
      <c r="D34" s="44"/>
    </row>
    <row r="35" spans="2:10" ht="14.25" x14ac:dyDescent="0.2">
      <c r="B35" s="43"/>
      <c r="C35" s="43"/>
      <c r="D35" s="43"/>
    </row>
    <row r="36" spans="2:10" ht="14.25" x14ac:dyDescent="0.2">
      <c r="B36" s="43"/>
      <c r="C36" s="43"/>
      <c r="D36" s="43"/>
    </row>
    <row r="37" spans="2:10" ht="14.25" x14ac:dyDescent="0.2">
      <c r="B37" s="20"/>
      <c r="C37" s="21"/>
    </row>
    <row r="38" spans="2:10" ht="14.25" x14ac:dyDescent="0.2">
      <c r="B38" s="20"/>
      <c r="C38" s="21"/>
    </row>
    <row r="39" spans="2:10" ht="14.25" x14ac:dyDescent="0.2">
      <c r="B39" s="20"/>
      <c r="C39" s="21"/>
    </row>
    <row r="40" spans="2:10" s="47" customFormat="1" ht="15" customHeight="1" x14ac:dyDescent="0.25">
      <c r="B40" s="45"/>
      <c r="C40" s="46"/>
      <c r="D40" s="350"/>
      <c r="E40" s="350"/>
      <c r="F40" s="350"/>
      <c r="G40" s="350"/>
      <c r="H40" s="350"/>
      <c r="I40" s="350"/>
      <c r="J40" s="350"/>
    </row>
    <row r="41" spans="2:10" ht="15" customHeight="1" x14ac:dyDescent="0.25">
      <c r="B41" s="48" t="s">
        <v>29</v>
      </c>
      <c r="C41" s="49"/>
      <c r="D41" s="351" t="s">
        <v>81</v>
      </c>
      <c r="E41" s="351"/>
      <c r="F41" s="351"/>
      <c r="G41" s="351"/>
      <c r="H41" s="351" t="s">
        <v>82</v>
      </c>
      <c r="I41" s="351"/>
      <c r="J41" s="351"/>
    </row>
    <row r="42" spans="2:10" ht="9.75" customHeight="1" x14ac:dyDescent="0.2">
      <c r="B42" s="51"/>
      <c r="C42" s="52"/>
      <c r="H42" s="53" t="s">
        <v>33</v>
      </c>
      <c r="I42" s="53"/>
      <c r="J42" s="53"/>
    </row>
    <row r="44" spans="2:10" x14ac:dyDescent="0.25">
      <c r="B44" s="54" t="s">
        <v>34</v>
      </c>
      <c r="C44" s="55"/>
      <c r="D44" s="56">
        <f>+D20-D22</f>
        <v>2648879699.7146826</v>
      </c>
      <c r="E44" s="57"/>
      <c r="F44" s="57"/>
      <c r="G44" s="56">
        <f>+G20-G22</f>
        <v>-670854639.53999949</v>
      </c>
    </row>
    <row r="45" spans="2:10" x14ac:dyDescent="0.25">
      <c r="B45" s="54" t="s">
        <v>35</v>
      </c>
      <c r="C45" s="55"/>
      <c r="D45" s="56">
        <f>+D44*0.1</f>
        <v>264887969.97146827</v>
      </c>
      <c r="E45" s="57"/>
      <c r="F45" s="57"/>
      <c r="G45" s="56">
        <f>+G44*0.1</f>
        <v>-67085463.953999951</v>
      </c>
    </row>
    <row r="46" spans="2:10" x14ac:dyDescent="0.25">
      <c r="B46" s="54" t="s">
        <v>36</v>
      </c>
      <c r="C46" s="55"/>
      <c r="D46" s="56" t="s">
        <v>37</v>
      </c>
      <c r="E46" s="57"/>
      <c r="F46" s="57"/>
      <c r="G46" s="56" t="s">
        <v>38</v>
      </c>
    </row>
  </sheetData>
  <mergeCells count="10">
    <mergeCell ref="D40:G40"/>
    <mergeCell ref="H40:J40"/>
    <mergeCell ref="D41:G41"/>
    <mergeCell ref="H41:J41"/>
    <mergeCell ref="B3:J3"/>
    <mergeCell ref="B4:J4"/>
    <mergeCell ref="B5:J5"/>
    <mergeCell ref="B6:J6"/>
    <mergeCell ref="B7:J7"/>
    <mergeCell ref="B33:D33"/>
  </mergeCells>
  <pageMargins left="0" right="0" top="0" bottom="0.74803149606299213" header="0.31496062992125984" footer="0.31496062992125984"/>
  <pageSetup scale="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1877-6D04-4F5D-A00D-550B2C14058D}">
  <dimension ref="B2:S46"/>
  <sheetViews>
    <sheetView showGridLines="0" workbookViewId="0">
      <selection activeCell="N14" sqref="N14"/>
    </sheetView>
  </sheetViews>
  <sheetFormatPr baseColWidth="10" defaultRowHeight="15" x14ac:dyDescent="0.25"/>
  <cols>
    <col min="2" max="2" width="38.28515625" bestFit="1" customWidth="1"/>
    <col min="4" max="4" width="16.85546875" bestFit="1" customWidth="1"/>
    <col min="7" max="7" width="14.42578125" bestFit="1" customWidth="1"/>
    <col min="9" max="9" width="14.42578125" bestFit="1" customWidth="1"/>
    <col min="12" max="12" width="39.140625" customWidth="1"/>
    <col min="14" max="14" width="16.85546875" bestFit="1" customWidth="1"/>
    <col min="15" max="15" width="7" bestFit="1" customWidth="1"/>
    <col min="16" max="16" width="16.85546875" bestFit="1" customWidth="1"/>
    <col min="17" max="17" width="7" bestFit="1" customWidth="1"/>
    <col min="18" max="18" width="13.140625" bestFit="1" customWidth="1"/>
    <col min="19" max="19" width="9.5703125" bestFit="1" customWidth="1"/>
  </cols>
  <sheetData>
    <row r="2" spans="2:19" x14ac:dyDescent="0.25">
      <c r="B2" s="180" t="s">
        <v>97</v>
      </c>
      <c r="C2" s="179"/>
      <c r="D2" s="179"/>
      <c r="E2" s="179"/>
      <c r="F2" s="179"/>
      <c r="G2" s="179"/>
      <c r="H2" s="179"/>
      <c r="I2" s="179"/>
      <c r="J2" s="179"/>
      <c r="L2" s="180" t="s">
        <v>98</v>
      </c>
      <c r="M2" s="180"/>
      <c r="N2" s="180"/>
      <c r="O2" s="180"/>
      <c r="P2" s="180"/>
      <c r="Q2" s="180"/>
      <c r="R2" s="180"/>
      <c r="S2" s="180"/>
    </row>
    <row r="3" spans="2:19" ht="22.5" x14ac:dyDescent="0.25">
      <c r="B3" s="152" t="s">
        <v>4</v>
      </c>
      <c r="C3" s="153" t="s">
        <v>5</v>
      </c>
      <c r="D3" s="147" t="s">
        <v>84</v>
      </c>
      <c r="E3" s="154" t="s">
        <v>7</v>
      </c>
      <c r="F3" s="154"/>
      <c r="G3" s="147" t="s">
        <v>6</v>
      </c>
      <c r="H3" s="148" t="s">
        <v>7</v>
      </c>
      <c r="I3" s="155" t="s">
        <v>9</v>
      </c>
      <c r="J3" s="156" t="s">
        <v>10</v>
      </c>
      <c r="L3" s="146"/>
      <c r="M3" s="146" t="s">
        <v>5</v>
      </c>
      <c r="N3" s="147" t="s">
        <v>84</v>
      </c>
      <c r="O3" s="148"/>
      <c r="P3" s="147" t="s">
        <v>6</v>
      </c>
      <c r="Q3" s="148"/>
      <c r="R3" s="149" t="s">
        <v>9</v>
      </c>
      <c r="S3" s="150" t="s">
        <v>10</v>
      </c>
    </row>
    <row r="4" spans="2:19" x14ac:dyDescent="0.25">
      <c r="B4" s="13" t="s">
        <v>11</v>
      </c>
      <c r="C4" s="13">
        <v>10.1</v>
      </c>
      <c r="D4" s="157">
        <v>90224924508.630005</v>
      </c>
      <c r="E4" s="158">
        <v>1</v>
      </c>
      <c r="F4" s="158"/>
      <c r="G4" s="159">
        <v>60053379137.809998</v>
      </c>
      <c r="H4" s="158">
        <v>1</v>
      </c>
      <c r="I4" s="159">
        <f t="shared" ref="I4:I10" si="0">+D4-G4</f>
        <v>30171545370.820007</v>
      </c>
      <c r="J4" s="160">
        <f t="shared" ref="J4" si="1">+(D4-G4)/G4</f>
        <v>0.50241211741944769</v>
      </c>
      <c r="L4" s="181" t="s">
        <v>43</v>
      </c>
      <c r="M4" s="14">
        <v>1.1000000000000001</v>
      </c>
      <c r="N4" s="71">
        <v>2376856670.0599999</v>
      </c>
      <c r="O4" s="72"/>
      <c r="P4" s="73">
        <v>755101448.57000005</v>
      </c>
      <c r="Q4" s="74"/>
      <c r="R4" s="75"/>
      <c r="S4" s="76"/>
    </row>
    <row r="5" spans="2:19" x14ac:dyDescent="0.25">
      <c r="B5" s="70" t="s">
        <v>12</v>
      </c>
      <c r="C5" s="63">
        <v>10.199999999999999</v>
      </c>
      <c r="D5" s="161">
        <v>70068461015.720001</v>
      </c>
      <c r="E5" s="162">
        <v>0.77659761310210862</v>
      </c>
      <c r="F5" s="162"/>
      <c r="G5" s="163">
        <v>51897171186</v>
      </c>
      <c r="H5" s="162">
        <v>0.86418402979300801</v>
      </c>
      <c r="I5" s="163">
        <f t="shared" si="0"/>
        <v>18171289829.720001</v>
      </c>
      <c r="J5" s="164">
        <f t="shared" ref="J5:J6" si="2">+(D5-G5)/G5</f>
        <v>0.35014027575017354</v>
      </c>
      <c r="L5" s="181" t="s">
        <v>94</v>
      </c>
      <c r="M5" s="14"/>
      <c r="N5" s="71">
        <v>7633538705.3000002</v>
      </c>
      <c r="O5" s="72"/>
      <c r="P5" s="73">
        <v>6439385556.9499998</v>
      </c>
      <c r="Q5" s="74"/>
      <c r="R5" s="75"/>
      <c r="S5" s="76"/>
    </row>
    <row r="6" spans="2:19" x14ac:dyDescent="0.25">
      <c r="B6" s="63" t="s">
        <v>13</v>
      </c>
      <c r="C6" s="63"/>
      <c r="D6" s="157">
        <f>+D4-D5</f>
        <v>20156463492.910004</v>
      </c>
      <c r="E6" s="158">
        <v>0.22340238689789138</v>
      </c>
      <c r="F6" s="158"/>
      <c r="G6" s="157">
        <f>+G4-G5</f>
        <v>8156207951.8099976</v>
      </c>
      <c r="H6" s="158">
        <v>0.13581597020699199</v>
      </c>
      <c r="I6" s="159">
        <f t="shared" si="0"/>
        <v>12000255541.100006</v>
      </c>
      <c r="J6" s="160">
        <f t="shared" si="2"/>
        <v>1.471303283584984</v>
      </c>
      <c r="L6" s="181" t="s">
        <v>47</v>
      </c>
      <c r="M6" s="14">
        <v>3</v>
      </c>
      <c r="N6" s="71">
        <v>10866193153.99</v>
      </c>
      <c r="O6" s="72"/>
      <c r="P6" s="73">
        <v>10564508473.16</v>
      </c>
      <c r="Q6" s="74"/>
      <c r="R6" s="75"/>
      <c r="S6" s="76"/>
    </row>
    <row r="7" spans="2:19" x14ac:dyDescent="0.25">
      <c r="B7" s="70" t="s">
        <v>16</v>
      </c>
      <c r="C7" s="63">
        <v>10.199999999999999</v>
      </c>
      <c r="D7" s="165">
        <v>2930296270.71</v>
      </c>
      <c r="E7" s="168">
        <v>3.2477680493151508E-2</v>
      </c>
      <c r="F7" s="166"/>
      <c r="G7" s="167">
        <v>1949592871.48</v>
      </c>
      <c r="H7" s="168">
        <v>3.2464332556642488E-2</v>
      </c>
      <c r="I7" s="163">
        <f t="shared" si="0"/>
        <v>980703399.23000002</v>
      </c>
      <c r="J7" s="164">
        <f t="shared" ref="J7:J11" si="3">+(D7-G7)/G7</f>
        <v>0.50302984462879974</v>
      </c>
      <c r="L7" s="181" t="s">
        <v>48</v>
      </c>
      <c r="M7" s="14">
        <v>7.1</v>
      </c>
      <c r="N7" s="71">
        <v>1569994000</v>
      </c>
      <c r="O7" s="72"/>
      <c r="P7" s="73">
        <v>1201820000</v>
      </c>
      <c r="Q7" s="74"/>
      <c r="R7" s="75"/>
      <c r="S7" s="76"/>
    </row>
    <row r="8" spans="2:19" x14ac:dyDescent="0.25">
      <c r="B8" s="70" t="s">
        <v>17</v>
      </c>
      <c r="C8" s="63">
        <v>10.199999999999999</v>
      </c>
      <c r="D8" s="165">
        <v>1976551926.4200001</v>
      </c>
      <c r="E8" s="168">
        <v>2.190693909897307E-2</v>
      </c>
      <c r="F8" s="166"/>
      <c r="G8" s="167">
        <v>1646078488.9200001</v>
      </c>
      <c r="H8" s="168">
        <v>2.7410255884895218E-2</v>
      </c>
      <c r="I8" s="163">
        <f t="shared" si="0"/>
        <v>330473437.5</v>
      </c>
      <c r="J8" s="164">
        <f t="shared" si="3"/>
        <v>0.20076408246901106</v>
      </c>
      <c r="K8" s="169"/>
      <c r="L8" s="182" t="s">
        <v>99</v>
      </c>
      <c r="M8" s="183"/>
      <c r="N8" s="184">
        <f>+N4+N5+N6+N7</f>
        <v>22446582529.349998</v>
      </c>
      <c r="O8" s="183"/>
      <c r="P8" s="184">
        <f>+P4+P5+P6+P7</f>
        <v>18960815478.68</v>
      </c>
      <c r="Q8" s="183"/>
      <c r="R8" s="183"/>
      <c r="S8" s="183"/>
    </row>
    <row r="9" spans="2:19" x14ac:dyDescent="0.25">
      <c r="B9" s="63" t="s">
        <v>86</v>
      </c>
      <c r="C9" s="63"/>
      <c r="D9" s="157">
        <f>+D4-D5-D7-D8</f>
        <v>15249615295.780005</v>
      </c>
      <c r="E9" s="158">
        <f t="shared" ref="E9" si="4">+D9/$D$4</f>
        <v>0.16901776730576681</v>
      </c>
      <c r="F9" s="158"/>
      <c r="G9" s="157">
        <f>+G4-G5-G7-G8</f>
        <v>4560536591.4099979</v>
      </c>
      <c r="H9" s="158">
        <f t="shared" ref="H9" si="5">+G9/$G$4</f>
        <v>7.5941381765454299E-2</v>
      </c>
      <c r="I9" s="159">
        <f t="shared" si="0"/>
        <v>10689078704.370007</v>
      </c>
      <c r="J9" s="160">
        <f t="shared" si="3"/>
        <v>2.3438204014201811</v>
      </c>
      <c r="L9" s="181" t="s">
        <v>59</v>
      </c>
      <c r="M9" s="14">
        <v>5.2</v>
      </c>
      <c r="N9" s="71">
        <v>2157079000</v>
      </c>
      <c r="O9" s="72"/>
      <c r="P9" s="73">
        <v>1944884000</v>
      </c>
      <c r="Q9" s="74"/>
      <c r="R9" s="75"/>
      <c r="S9" s="76"/>
    </row>
    <row r="10" spans="2:19" x14ac:dyDescent="0.25">
      <c r="B10" s="70" t="s">
        <v>89</v>
      </c>
      <c r="C10" s="63"/>
      <c r="D10" s="165">
        <f>'ER 2022-2021 '!D37*D9</f>
        <v>5406237527.0446253</v>
      </c>
      <c r="E10" s="168"/>
      <c r="F10" s="166"/>
      <c r="G10" s="165">
        <f>'ER 2022-2021 '!G37*G9</f>
        <v>1577642184.1980872</v>
      </c>
      <c r="H10" s="168"/>
      <c r="I10" s="163">
        <f t="shared" si="0"/>
        <v>3828595342.8465381</v>
      </c>
      <c r="J10" s="164">
        <f t="shared" si="3"/>
        <v>2.4267830698204906</v>
      </c>
      <c r="L10" s="181" t="s">
        <v>85</v>
      </c>
      <c r="M10" s="14">
        <v>6.1</v>
      </c>
      <c r="N10" s="71">
        <v>4480219088.4399996</v>
      </c>
      <c r="O10" s="72"/>
      <c r="P10" s="73">
        <v>7725520950.0100002</v>
      </c>
      <c r="Q10" s="74"/>
      <c r="R10" s="75"/>
      <c r="S10" s="76"/>
    </row>
    <row r="11" spans="2:19" x14ac:dyDescent="0.25">
      <c r="B11" s="63" t="s">
        <v>88</v>
      </c>
      <c r="C11" s="63"/>
      <c r="D11" s="157">
        <f>+D9-D10</f>
        <v>9843377768.7353783</v>
      </c>
      <c r="E11" s="158">
        <f t="shared" ref="E11" si="6">+D11/$D$4</f>
        <v>0.10909821008266801</v>
      </c>
      <c r="F11" s="158"/>
      <c r="G11" s="157">
        <f>+G9-G10</f>
        <v>2982894407.2119107</v>
      </c>
      <c r="H11" s="158">
        <f t="shared" ref="H11" si="7">+G11/$G$4</f>
        <v>4.967071711929464E-2</v>
      </c>
      <c r="I11" s="159">
        <f t="shared" ref="I11" si="8">+D11-G11</f>
        <v>6860483361.523468</v>
      </c>
      <c r="J11" s="160">
        <f t="shared" si="3"/>
        <v>2.2999417428040676</v>
      </c>
      <c r="L11" s="181" t="s">
        <v>62</v>
      </c>
      <c r="M11" s="14">
        <v>6.2</v>
      </c>
      <c r="N11" s="71">
        <v>275806899</v>
      </c>
      <c r="O11" s="72"/>
      <c r="P11" s="73">
        <v>238563887</v>
      </c>
      <c r="Q11" s="74"/>
      <c r="R11" s="75"/>
      <c r="S11" s="76"/>
    </row>
    <row r="12" spans="2:19" x14ac:dyDescent="0.25">
      <c r="B12" s="70" t="s">
        <v>18</v>
      </c>
      <c r="C12" s="63">
        <v>11.3</v>
      </c>
      <c r="D12" s="165">
        <v>701702582.53999996</v>
      </c>
      <c r="E12" s="168">
        <v>7.7772587382201929E-3</v>
      </c>
      <c r="F12" s="166"/>
      <c r="G12" s="165">
        <v>829110027.19000006</v>
      </c>
      <c r="H12" s="168">
        <v>1.3806217719861612E-2</v>
      </c>
      <c r="I12" s="163">
        <v>-127407444.6500001</v>
      </c>
      <c r="J12" s="164">
        <v>-0.15366771655362366</v>
      </c>
      <c r="L12" s="181" t="s">
        <v>63</v>
      </c>
      <c r="M12" s="14">
        <v>7</v>
      </c>
      <c r="N12" s="71">
        <v>5079950517.1600008</v>
      </c>
      <c r="O12" s="72"/>
      <c r="P12" s="73">
        <v>1400982999.9453151</v>
      </c>
      <c r="Q12" s="74"/>
      <c r="R12" s="75"/>
      <c r="S12" s="76"/>
    </row>
    <row r="13" spans="2:19" x14ac:dyDescent="0.25">
      <c r="B13" s="70" t="s">
        <v>19</v>
      </c>
      <c r="C13" s="63">
        <v>11.2</v>
      </c>
      <c r="D13" s="165">
        <v>629843016.67999995</v>
      </c>
      <c r="E13" s="168">
        <v>6.9808095724120615E-3</v>
      </c>
      <c r="F13" s="166"/>
      <c r="G13" s="165">
        <v>303311459.56</v>
      </c>
      <c r="H13" s="168">
        <v>5.0506976279213762E-3</v>
      </c>
      <c r="I13" s="163">
        <v>326531557.11999995</v>
      </c>
      <c r="J13" s="164">
        <v>1.0765552926806139</v>
      </c>
      <c r="L13" s="182" t="s">
        <v>100</v>
      </c>
      <c r="M13" s="183"/>
      <c r="N13" s="184">
        <f>+N9+N10+N11+N12</f>
        <v>11993055504.6</v>
      </c>
      <c r="O13" s="183"/>
      <c r="P13" s="184">
        <f>+P9+P10+P11+P12</f>
        <v>11309951836.955315</v>
      </c>
      <c r="Q13" s="183"/>
      <c r="R13" s="183"/>
      <c r="S13" s="183"/>
    </row>
    <row r="14" spans="2:19" x14ac:dyDescent="0.25">
      <c r="B14" s="70" t="s">
        <v>15</v>
      </c>
      <c r="C14" s="63">
        <v>11.1</v>
      </c>
      <c r="D14" s="165">
        <v>411173278.94</v>
      </c>
      <c r="E14" s="168">
        <v>4.5572028037626265E-3</v>
      </c>
      <c r="F14" s="166"/>
      <c r="G14" s="167">
        <v>621747595</v>
      </c>
      <c r="H14" s="168">
        <v>1.0353249124803099E-2</v>
      </c>
      <c r="I14" s="163">
        <f t="shared" ref="I14" si="9">+D14-G14</f>
        <v>-210574316.06</v>
      </c>
      <c r="J14" s="164">
        <f t="shared" ref="J14" si="10">+(D14-G14)/G14</f>
        <v>-0.33868135197209731</v>
      </c>
      <c r="L14" s="187" t="s">
        <v>101</v>
      </c>
      <c r="M14" s="188"/>
      <c r="N14" s="189">
        <f>+N8-N13</f>
        <v>10453527024.749998</v>
      </c>
      <c r="O14" s="188"/>
      <c r="P14" s="189">
        <f>+P8-P13</f>
        <v>7650863641.7246857</v>
      </c>
      <c r="Q14" s="188"/>
      <c r="R14" s="188"/>
      <c r="S14" s="188"/>
    </row>
    <row r="15" spans="2:19" x14ac:dyDescent="0.25">
      <c r="B15" s="70" t="s">
        <v>90</v>
      </c>
      <c r="C15" s="63"/>
      <c r="D15" s="165">
        <f>+'ER 2022-2021 '!D37*'EVA 2021-2022'!D12</f>
        <v>248765018.72159779</v>
      </c>
      <c r="E15" s="168"/>
      <c r="F15" s="166"/>
      <c r="G15" s="165">
        <f>+'ER 2022-2021 '!G37*'EVA 2021-2022'!G12</f>
        <v>286816897.0950315</v>
      </c>
      <c r="H15" s="168"/>
      <c r="I15" s="163"/>
      <c r="J15" s="164"/>
      <c r="L15" s="181" t="s">
        <v>51</v>
      </c>
      <c r="M15" s="14">
        <v>4.0999999999999996</v>
      </c>
      <c r="N15" s="71">
        <v>9741985241.0799999</v>
      </c>
      <c r="O15" s="72"/>
      <c r="P15" s="73">
        <v>10637138060.860001</v>
      </c>
      <c r="Q15" s="74"/>
      <c r="R15" s="75"/>
      <c r="S15" s="76"/>
    </row>
    <row r="16" spans="2:19" x14ac:dyDescent="0.25">
      <c r="B16" s="70" t="s">
        <v>91</v>
      </c>
      <c r="C16" s="63"/>
      <c r="D16" s="165">
        <f>+'ER 2022-2021 '!$D$37*('EVA 2021-2022'!D14-D13)</f>
        <v>-77521991.163025379</v>
      </c>
      <c r="E16" s="168"/>
      <c r="F16" s="166"/>
      <c r="G16" s="165">
        <f>+'ER 2022-2021 '!$G$37*('EVA 2021-2022'!G14-G13)</f>
        <v>110157712.84225951</v>
      </c>
      <c r="H16" s="168"/>
      <c r="I16" s="163"/>
      <c r="J16" s="164"/>
      <c r="L16" s="182" t="s">
        <v>102</v>
      </c>
      <c r="M16" s="183"/>
      <c r="N16" s="184">
        <f>+N15</f>
        <v>9741985241.0799999</v>
      </c>
      <c r="O16" s="183"/>
      <c r="P16" s="184">
        <f>+P15</f>
        <v>10637138060.860001</v>
      </c>
      <c r="Q16" s="183"/>
      <c r="R16" s="183"/>
      <c r="S16" s="183"/>
    </row>
    <row r="17" spans="2:19" x14ac:dyDescent="0.25">
      <c r="B17" s="185" t="s">
        <v>22</v>
      </c>
      <c r="C17" s="63"/>
      <c r="D17" s="157">
        <f>+D11-D12-D13+D14+D15-D16</f>
        <v>9249292458.3400002</v>
      </c>
      <c r="E17" s="158">
        <f t="shared" ref="E17" si="11">+D17/$D$4</f>
        <v>0.10251371789682469</v>
      </c>
      <c r="F17" s="158"/>
      <c r="G17" s="157">
        <f>+G11-G12-G13+G14+G15-G16</f>
        <v>2648879699.7146826</v>
      </c>
      <c r="H17" s="158">
        <f t="shared" ref="H17" si="12">+G17/$G$4</f>
        <v>4.4108753541346198E-2</v>
      </c>
      <c r="I17" s="159">
        <f t="shared" ref="I17" si="13">+D17-G17</f>
        <v>6600412758.6253176</v>
      </c>
      <c r="J17" s="160">
        <f t="shared" ref="J17" si="14">+(D17-G17)/G17</f>
        <v>2.4917752056978144</v>
      </c>
      <c r="L17" s="181" t="s">
        <v>67</v>
      </c>
      <c r="M17" s="14"/>
      <c r="N17" s="71">
        <v>1790011691.4200001</v>
      </c>
      <c r="O17" s="72"/>
      <c r="P17" s="73">
        <v>4282558733.21</v>
      </c>
      <c r="Q17" s="74"/>
      <c r="R17" s="75"/>
      <c r="S17" s="76"/>
    </row>
    <row r="18" spans="2:19" x14ac:dyDescent="0.25">
      <c r="B18" s="63"/>
      <c r="C18" s="63"/>
      <c r="D18" s="157"/>
      <c r="E18" s="158"/>
      <c r="F18" s="158"/>
      <c r="G18" s="157"/>
      <c r="H18" s="158"/>
      <c r="I18" s="159"/>
      <c r="J18" s="160"/>
      <c r="L18" s="182" t="s">
        <v>103</v>
      </c>
      <c r="M18" s="183"/>
      <c r="N18" s="184">
        <f>+N17</f>
        <v>1790011691.4200001</v>
      </c>
      <c r="O18" s="183"/>
      <c r="P18" s="184">
        <f>+P17</f>
        <v>4282558733.21</v>
      </c>
      <c r="Q18" s="183"/>
      <c r="R18" s="183"/>
      <c r="S18" s="183"/>
    </row>
    <row r="19" spans="2:19" x14ac:dyDescent="0.25">
      <c r="B19" s="186" t="s">
        <v>23</v>
      </c>
      <c r="C19" s="13"/>
      <c r="D19" s="157"/>
      <c r="E19" s="158"/>
      <c r="F19" s="158"/>
      <c r="G19" s="159"/>
      <c r="H19" s="158"/>
      <c r="I19" s="159"/>
      <c r="J19" s="160"/>
      <c r="L19" s="187" t="s">
        <v>108</v>
      </c>
      <c r="M19" s="188"/>
      <c r="N19" s="189">
        <f>+N16-N18</f>
        <v>7951973549.6599998</v>
      </c>
      <c r="O19" s="188"/>
      <c r="P19" s="189">
        <f>+P16-P18</f>
        <v>6354579327.6500006</v>
      </c>
      <c r="Q19" s="188"/>
      <c r="R19" s="188"/>
      <c r="S19" s="188"/>
    </row>
    <row r="20" spans="2:19" x14ac:dyDescent="0.25">
      <c r="B20" s="70" t="s">
        <v>24</v>
      </c>
      <c r="C20" s="63">
        <v>11.4</v>
      </c>
      <c r="D20" s="165">
        <v>1481685529</v>
      </c>
      <c r="E20" s="168">
        <v>1.6422130991733629E-2</v>
      </c>
      <c r="F20" s="166"/>
      <c r="G20" s="165">
        <v>496089060</v>
      </c>
      <c r="H20" s="168">
        <v>8.260801758741651E-3</v>
      </c>
      <c r="I20" s="163">
        <v>985596469</v>
      </c>
      <c r="J20" s="164">
        <v>0</v>
      </c>
      <c r="L20" s="190" t="s">
        <v>104</v>
      </c>
      <c r="M20" s="191"/>
      <c r="N20" s="192">
        <f>+N14+N19</f>
        <v>18405500574.409996</v>
      </c>
      <c r="O20" s="191"/>
      <c r="P20" s="192">
        <f>+P14+P19</f>
        <v>14005442969.374687</v>
      </c>
      <c r="Q20" s="191"/>
      <c r="R20" s="191"/>
      <c r="S20" s="191"/>
    </row>
    <row r="21" spans="2:19" x14ac:dyDescent="0.25">
      <c r="B21" s="70" t="s">
        <v>25</v>
      </c>
      <c r="C21" s="63"/>
      <c r="D21" s="165">
        <v>0</v>
      </c>
      <c r="E21" s="168">
        <v>0</v>
      </c>
      <c r="F21" s="166"/>
      <c r="G21" s="165">
        <v>420043152</v>
      </c>
      <c r="H21" s="168">
        <v>6.9944965300968069E-3</v>
      </c>
      <c r="I21" s="163">
        <v>-420043152</v>
      </c>
      <c r="J21" s="164">
        <v>0</v>
      </c>
      <c r="L21" s="181" t="s">
        <v>44</v>
      </c>
      <c r="M21" s="14">
        <v>1.2</v>
      </c>
      <c r="N21" s="71">
        <v>2594834404.1300001</v>
      </c>
      <c r="O21" s="72"/>
      <c r="P21" s="73">
        <v>1727880423.0699999</v>
      </c>
      <c r="Q21" s="74"/>
      <c r="R21" s="75"/>
      <c r="S21" s="76"/>
    </row>
    <row r="22" spans="2:19" x14ac:dyDescent="0.25">
      <c r="B22" s="185" t="s">
        <v>27</v>
      </c>
      <c r="C22" s="63"/>
      <c r="D22" s="157">
        <f>+D17+D20-D21</f>
        <v>10730977987.34</v>
      </c>
      <c r="E22" s="158"/>
      <c r="F22" s="158"/>
      <c r="G22" s="157">
        <f>+G17+G20-G21</f>
        <v>2724925607.7146826</v>
      </c>
      <c r="H22" s="158"/>
      <c r="I22" s="159"/>
      <c r="J22" s="160"/>
      <c r="L22" s="181" t="s">
        <v>45</v>
      </c>
      <c r="M22" s="14">
        <v>1.3</v>
      </c>
      <c r="N22" s="71">
        <v>0</v>
      </c>
      <c r="O22" s="72"/>
      <c r="P22" s="73">
        <v>21725046</v>
      </c>
      <c r="Q22" s="74"/>
      <c r="R22" s="75"/>
      <c r="S22" s="76"/>
    </row>
    <row r="23" spans="2:19" x14ac:dyDescent="0.25">
      <c r="L23" s="181" t="s">
        <v>95</v>
      </c>
      <c r="M23" s="14"/>
      <c r="N23" s="71">
        <v>268376392</v>
      </c>
      <c r="O23" s="72"/>
      <c r="P23" s="73">
        <v>0</v>
      </c>
      <c r="Q23" s="74"/>
      <c r="R23" s="75"/>
      <c r="S23" s="76"/>
    </row>
    <row r="24" spans="2:19" x14ac:dyDescent="0.25">
      <c r="L24" s="181" t="s">
        <v>52</v>
      </c>
      <c r="M24" s="14">
        <v>4.5</v>
      </c>
      <c r="N24" s="71">
        <v>1223030000</v>
      </c>
      <c r="O24" s="72"/>
      <c r="P24" s="73">
        <v>1223030000</v>
      </c>
      <c r="Q24" s="74"/>
      <c r="R24" s="75"/>
      <c r="S24" s="76"/>
    </row>
    <row r="25" spans="2:19" x14ac:dyDescent="0.25">
      <c r="L25" s="181" t="s">
        <v>48</v>
      </c>
      <c r="M25" s="14">
        <v>7.1</v>
      </c>
      <c r="N25" s="71">
        <v>1240741209.072855</v>
      </c>
      <c r="O25" s="72"/>
      <c r="P25" s="73">
        <v>263856489</v>
      </c>
      <c r="Q25" s="74"/>
      <c r="R25" s="75"/>
      <c r="S25" s="76"/>
    </row>
    <row r="26" spans="2:19" x14ac:dyDescent="0.25">
      <c r="L26" s="187" t="s">
        <v>107</v>
      </c>
      <c r="M26" s="188"/>
      <c r="N26" s="189">
        <f>+SUM(N21:N25)</f>
        <v>5326982005.2028551</v>
      </c>
      <c r="O26" s="188"/>
      <c r="P26" s="189">
        <f>+SUM(P21:P25)</f>
        <v>3236491958.0699997</v>
      </c>
      <c r="Q26" s="188"/>
      <c r="R26" s="188"/>
      <c r="S26" s="188"/>
    </row>
    <row r="27" spans="2:19" x14ac:dyDescent="0.25">
      <c r="L27" s="181" t="s">
        <v>66</v>
      </c>
      <c r="M27" s="14">
        <v>8</v>
      </c>
      <c r="N27" s="71">
        <v>217884946.44</v>
      </c>
      <c r="O27" s="72"/>
      <c r="P27" s="73">
        <v>452006325.44</v>
      </c>
      <c r="Q27" s="74"/>
      <c r="R27" s="75"/>
      <c r="S27" s="76"/>
    </row>
    <row r="28" spans="2:19" x14ac:dyDescent="0.25">
      <c r="L28" s="181" t="s">
        <v>63</v>
      </c>
      <c r="M28" s="14">
        <v>7.1</v>
      </c>
      <c r="N28" s="71">
        <v>35114588</v>
      </c>
      <c r="O28" s="72"/>
      <c r="P28" s="73">
        <v>539915397</v>
      </c>
      <c r="Q28" s="74"/>
      <c r="R28" s="75"/>
      <c r="S28" s="76"/>
    </row>
    <row r="29" spans="2:19" x14ac:dyDescent="0.25">
      <c r="L29" s="187" t="s">
        <v>106</v>
      </c>
      <c r="M29" s="188"/>
      <c r="N29" s="189">
        <f>+N27+N28</f>
        <v>252999534.44</v>
      </c>
      <c r="O29" s="188"/>
      <c r="P29" s="189">
        <f>+P27+P28</f>
        <v>991921722.44000006</v>
      </c>
      <c r="Q29" s="188"/>
      <c r="R29" s="188"/>
      <c r="S29" s="188"/>
    </row>
    <row r="30" spans="2:19" x14ac:dyDescent="0.25">
      <c r="L30" s="190" t="s">
        <v>105</v>
      </c>
      <c r="M30" s="191"/>
      <c r="N30" s="192">
        <f>+N26-N29</f>
        <v>5073982470.7628555</v>
      </c>
      <c r="O30" s="191"/>
      <c r="P30" s="192">
        <f>+P26-P29</f>
        <v>2244570235.6299996</v>
      </c>
      <c r="Q30" s="191"/>
      <c r="R30" s="191"/>
      <c r="S30" s="191"/>
    </row>
    <row r="31" spans="2:19" x14ac:dyDescent="0.25">
      <c r="L31" s="195" t="s">
        <v>109</v>
      </c>
      <c r="M31" s="195"/>
      <c r="N31" s="196">
        <f>+N30+N20</f>
        <v>23479483045.172852</v>
      </c>
      <c r="O31" s="195"/>
      <c r="P31" s="196">
        <f>+P30+P20</f>
        <v>16250013205.004686</v>
      </c>
      <c r="Q31" s="195"/>
      <c r="R31" s="195"/>
      <c r="S31" s="195"/>
    </row>
    <row r="32" spans="2:19" x14ac:dyDescent="0.25">
      <c r="L32" s="181" t="s">
        <v>60</v>
      </c>
      <c r="M32" s="14">
        <v>5.3</v>
      </c>
      <c r="N32" s="71">
        <v>518309522.00999999</v>
      </c>
      <c r="O32" s="72"/>
      <c r="P32" s="73">
        <v>2295243321.1700001</v>
      </c>
      <c r="Q32" s="74"/>
      <c r="R32" s="75"/>
      <c r="S32" s="76"/>
    </row>
    <row r="33" spans="12:19" x14ac:dyDescent="0.25">
      <c r="L33" s="197" t="s">
        <v>110</v>
      </c>
      <c r="M33" s="183"/>
      <c r="N33" s="184">
        <f>+N32</f>
        <v>518309522.00999999</v>
      </c>
      <c r="O33" s="183"/>
      <c r="P33" s="184">
        <f>+P32</f>
        <v>2295243321.1700001</v>
      </c>
      <c r="Q33" s="183"/>
      <c r="R33" s="183"/>
      <c r="S33" s="183"/>
    </row>
    <row r="34" spans="12:19" x14ac:dyDescent="0.25">
      <c r="L34" s="181" t="s">
        <v>60</v>
      </c>
      <c r="M34" s="14">
        <v>5.3</v>
      </c>
      <c r="N34" s="71">
        <v>236690165</v>
      </c>
      <c r="O34" s="72"/>
      <c r="P34" s="73">
        <v>1961264510.98</v>
      </c>
      <c r="Q34" s="74"/>
      <c r="R34" s="75"/>
      <c r="S34" s="76"/>
    </row>
    <row r="35" spans="12:19" x14ac:dyDescent="0.25">
      <c r="L35" s="197" t="s">
        <v>111</v>
      </c>
      <c r="M35" s="183"/>
      <c r="N35" s="184">
        <f>+N34</f>
        <v>236690165</v>
      </c>
      <c r="O35" s="183"/>
      <c r="P35" s="184">
        <f>+P34</f>
        <v>1961264510.98</v>
      </c>
      <c r="Q35" s="183"/>
      <c r="R35" s="183"/>
      <c r="S35" s="183"/>
    </row>
    <row r="36" spans="12:19" x14ac:dyDescent="0.25">
      <c r="L36" s="187" t="s">
        <v>112</v>
      </c>
      <c r="M36" s="188"/>
      <c r="N36" s="189">
        <f>+N33+N35</f>
        <v>754999687.00999999</v>
      </c>
      <c r="O36" s="188"/>
      <c r="P36" s="189">
        <f>+P33+P35</f>
        <v>4256507832.1500001</v>
      </c>
      <c r="Q36" s="188"/>
      <c r="R36" s="188"/>
      <c r="S36" s="188"/>
    </row>
    <row r="37" spans="12:19" x14ac:dyDescent="0.25">
      <c r="L37" s="181" t="s">
        <v>71</v>
      </c>
      <c r="M37" s="14">
        <v>9</v>
      </c>
      <c r="N37" s="71">
        <v>2060803967.3599999</v>
      </c>
      <c r="O37" s="72"/>
      <c r="P37" s="73">
        <v>2060803967.3599999</v>
      </c>
      <c r="Q37" s="74"/>
      <c r="R37" s="75"/>
      <c r="S37" s="76"/>
    </row>
    <row r="38" spans="12:19" x14ac:dyDescent="0.25">
      <c r="L38" s="181" t="s">
        <v>72</v>
      </c>
      <c r="M38" s="14">
        <v>9.1999999999999993</v>
      </c>
      <c r="N38" s="71">
        <v>2000000000</v>
      </c>
      <c r="O38" s="72"/>
      <c r="P38" s="73">
        <v>2000000000</v>
      </c>
      <c r="Q38" s="74"/>
      <c r="R38" s="75"/>
      <c r="S38" s="76"/>
    </row>
    <row r="39" spans="12:19" x14ac:dyDescent="0.25">
      <c r="L39" s="181" t="s">
        <v>73</v>
      </c>
      <c r="M39" s="14">
        <v>9.1</v>
      </c>
      <c r="N39" s="71">
        <v>4234095263.4499998</v>
      </c>
      <c r="O39" s="72"/>
      <c r="P39" s="73">
        <v>1774057625.79</v>
      </c>
      <c r="Q39" s="74"/>
      <c r="R39" s="75"/>
      <c r="S39" s="76"/>
    </row>
    <row r="40" spans="12:19" x14ac:dyDescent="0.25">
      <c r="L40" s="181" t="s">
        <v>74</v>
      </c>
      <c r="M40" s="14">
        <v>9</v>
      </c>
      <c r="N40" s="71">
        <v>3313032491.5100002</v>
      </c>
      <c r="O40" s="72"/>
      <c r="P40" s="73">
        <v>3313032491.5100002</v>
      </c>
      <c r="Q40" s="74"/>
      <c r="R40" s="75"/>
      <c r="S40" s="76"/>
    </row>
    <row r="41" spans="12:19" x14ac:dyDescent="0.25">
      <c r="L41" s="181" t="s">
        <v>75</v>
      </c>
      <c r="M41" s="14">
        <v>9</v>
      </c>
      <c r="N41" s="71">
        <v>385573649.13</v>
      </c>
      <c r="O41" s="72"/>
      <c r="P41" s="73">
        <v>120685682.13</v>
      </c>
      <c r="Q41" s="74"/>
      <c r="R41" s="75"/>
      <c r="S41" s="76"/>
    </row>
    <row r="42" spans="12:19" x14ac:dyDescent="0.25">
      <c r="L42" s="181" t="s">
        <v>76</v>
      </c>
      <c r="M42" s="14"/>
      <c r="N42" s="71">
        <v>10730977987.340004</v>
      </c>
      <c r="O42" s="72"/>
      <c r="P42" s="73">
        <v>2724925607.7146826</v>
      </c>
      <c r="Q42" s="74"/>
      <c r="R42" s="75"/>
      <c r="S42" s="76"/>
    </row>
    <row r="43" spans="12:19" x14ac:dyDescent="0.25">
      <c r="L43" s="187" t="s">
        <v>113</v>
      </c>
      <c r="M43" s="188"/>
      <c r="N43" s="189">
        <f>+SUM(N37:N42)</f>
        <v>22724483358.790001</v>
      </c>
      <c r="O43" s="188"/>
      <c r="P43" s="189">
        <f>+SUM(P37:P42)</f>
        <v>11993505374.504681</v>
      </c>
      <c r="Q43" s="188"/>
      <c r="R43" s="188"/>
      <c r="S43" s="188"/>
    </row>
    <row r="44" spans="12:19" x14ac:dyDescent="0.25">
      <c r="L44" s="190" t="s">
        <v>114</v>
      </c>
      <c r="M44" s="191"/>
      <c r="N44" s="192">
        <f>+N36+N43</f>
        <v>23479483045.799999</v>
      </c>
      <c r="O44" s="191"/>
      <c r="P44" s="192">
        <f>+P36+P43</f>
        <v>16250013206.65468</v>
      </c>
      <c r="Q44" s="191"/>
      <c r="R44" s="191"/>
      <c r="S44" s="191"/>
    </row>
    <row r="45" spans="12:19" x14ac:dyDescent="0.25">
      <c r="N45" s="170"/>
      <c r="P45" s="170"/>
    </row>
    <row r="46" spans="12:19" x14ac:dyDescent="0.25">
      <c r="N46" s="170"/>
      <c r="P46" s="1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42E2-5D49-4BDD-9F8B-F07E3774CF38}">
  <sheetPr>
    <tabColor theme="5" tint="-0.249977111117893"/>
  </sheetPr>
  <dimension ref="B1:K25"/>
  <sheetViews>
    <sheetView showGridLines="0" zoomScale="88" zoomScaleNormal="160" workbookViewId="0">
      <selection activeCell="G10" sqref="G10"/>
    </sheetView>
  </sheetViews>
  <sheetFormatPr baseColWidth="10" defaultColWidth="11.42578125" defaultRowHeight="15" x14ac:dyDescent="0.25"/>
  <cols>
    <col min="1" max="1" width="6.7109375" style="1" customWidth="1"/>
    <col min="2" max="2" width="37.85546875" style="1" customWidth="1"/>
    <col min="3" max="3" width="8.42578125" style="2" customWidth="1"/>
    <col min="4" max="4" width="19.42578125" style="3" bestFit="1" customWidth="1"/>
    <col min="5" max="5" width="10" style="1" bestFit="1" customWidth="1"/>
    <col min="6" max="6" width="1.85546875" style="1" customWidth="1"/>
    <col min="7" max="7" width="19.85546875" style="3" bestFit="1" customWidth="1"/>
    <col min="8" max="8" width="15.7109375" style="1" bestFit="1" customWidth="1"/>
    <col min="9" max="9" width="19.85546875" style="1" bestFit="1" customWidth="1"/>
    <col min="10" max="10" width="10" style="1" bestFit="1" customWidth="1"/>
    <col min="11" max="11" width="16.85546875" style="1" bestFit="1" customWidth="1"/>
    <col min="12" max="16384" width="11.42578125" style="1"/>
  </cols>
  <sheetData>
    <row r="1" spans="2:11" ht="36" customHeight="1" x14ac:dyDescent="0.25"/>
    <row r="2" spans="2:11" ht="23.25" customHeight="1" x14ac:dyDescent="0.25"/>
    <row r="3" spans="2:11" ht="18.75" customHeight="1" x14ac:dyDescent="0.2">
      <c r="B3" s="347" t="s">
        <v>0</v>
      </c>
      <c r="C3" s="347"/>
      <c r="D3" s="347"/>
      <c r="E3" s="347"/>
      <c r="F3" s="347"/>
      <c r="G3" s="347"/>
      <c r="H3" s="347"/>
      <c r="I3" s="347"/>
      <c r="J3" s="347"/>
    </row>
    <row r="4" spans="2:11" ht="20.25" x14ac:dyDescent="0.2">
      <c r="B4" s="347" t="s">
        <v>1</v>
      </c>
      <c r="C4" s="347"/>
      <c r="D4" s="347"/>
      <c r="E4" s="347"/>
      <c r="F4" s="347"/>
      <c r="G4" s="347"/>
      <c r="H4" s="347"/>
      <c r="I4" s="347"/>
      <c r="J4" s="347"/>
    </row>
    <row r="5" spans="2:11" ht="18.75" customHeight="1" x14ac:dyDescent="0.2">
      <c r="B5" s="347" t="s">
        <v>2</v>
      </c>
      <c r="C5" s="347"/>
      <c r="D5" s="347"/>
      <c r="E5" s="347"/>
      <c r="F5" s="347"/>
      <c r="G5" s="347"/>
      <c r="H5" s="347"/>
      <c r="I5" s="347"/>
      <c r="J5" s="347"/>
    </row>
    <row r="6" spans="2:11" ht="20.25" x14ac:dyDescent="0.2">
      <c r="B6" s="347" t="str">
        <f>+'[19]ESF '!B6:I6</f>
        <v>A 31 de Diciembre 2021 - 2020</v>
      </c>
      <c r="C6" s="347"/>
      <c r="D6" s="347"/>
      <c r="E6" s="347"/>
      <c r="F6" s="347"/>
      <c r="G6" s="347"/>
      <c r="H6" s="347"/>
      <c r="I6" s="347"/>
      <c r="J6" s="347"/>
    </row>
    <row r="7" spans="2:11" ht="20.25" x14ac:dyDescent="0.2">
      <c r="B7" s="348" t="s">
        <v>3</v>
      </c>
      <c r="C7" s="348"/>
      <c r="D7" s="348"/>
      <c r="E7" s="348"/>
      <c r="F7" s="348"/>
      <c r="G7" s="348"/>
      <c r="H7" s="348"/>
      <c r="I7" s="348"/>
      <c r="J7" s="348"/>
    </row>
    <row r="8" spans="2:11" ht="14.25" x14ac:dyDescent="0.2">
      <c r="B8" s="4"/>
      <c r="C8" s="5"/>
    </row>
    <row r="9" spans="2:11" ht="23.25" customHeight="1" x14ac:dyDescent="0.2">
      <c r="B9" s="6" t="s">
        <v>4</v>
      </c>
      <c r="C9" s="7" t="s">
        <v>5</v>
      </c>
      <c r="D9" s="8" t="s">
        <v>6</v>
      </c>
      <c r="E9" s="9" t="s">
        <v>7</v>
      </c>
      <c r="F9" s="329">
        <v>0</v>
      </c>
      <c r="G9" s="8" t="s">
        <v>8</v>
      </c>
      <c r="H9" s="10" t="s">
        <v>7</v>
      </c>
      <c r="I9" s="11" t="s">
        <v>9</v>
      </c>
      <c r="J9" s="12" t="s">
        <v>10</v>
      </c>
    </row>
    <row r="10" spans="2:11" ht="25.5" x14ac:dyDescent="0.2">
      <c r="B10" s="13" t="s">
        <v>11</v>
      </c>
      <c r="C10" s="14">
        <v>10.1</v>
      </c>
      <c r="D10" s="15">
        <v>60053379137.809998</v>
      </c>
      <c r="E10" s="16">
        <f>+D10/$D$10</f>
        <v>1</v>
      </c>
      <c r="F10" s="330">
        <v>0</v>
      </c>
      <c r="G10" s="17">
        <v>37394688757.330002</v>
      </c>
      <c r="H10" s="16">
        <f>+G10/$G$10</f>
        <v>1</v>
      </c>
      <c r="I10" s="17">
        <f>+D10-G10</f>
        <v>22658690380.479996</v>
      </c>
      <c r="J10" s="18">
        <f>+(D10/G10-1)</f>
        <v>0.6059333860891809</v>
      </c>
      <c r="K10" s="19"/>
    </row>
    <row r="11" spans="2:11" ht="14.25" x14ac:dyDescent="0.2">
      <c r="B11" s="20" t="s">
        <v>12</v>
      </c>
      <c r="C11" s="21">
        <v>10.199999999999999</v>
      </c>
      <c r="D11" s="22">
        <v>51897171186</v>
      </c>
      <c r="E11" s="23">
        <f t="shared" ref="E11:E12" si="0">+D11/$D$10</f>
        <v>0.86418402979300801</v>
      </c>
      <c r="F11" s="331">
        <v>0</v>
      </c>
      <c r="G11" s="24">
        <v>29483514718.740002</v>
      </c>
      <c r="H11" s="23">
        <f t="shared" ref="H11:H12" si="1">+G11/$G$10</f>
        <v>0.78844123854248493</v>
      </c>
      <c r="I11" s="24">
        <f t="shared" ref="I11:I12" si="2">+D11-G11</f>
        <v>22413656467.259998</v>
      </c>
      <c r="J11" s="25">
        <f t="shared" ref="J11:J12" si="3">+(D11/G11-1)</f>
        <v>0.76020978777722403</v>
      </c>
    </row>
    <row r="12" spans="2:11" ht="14.25" x14ac:dyDescent="0.2">
      <c r="B12" s="26" t="s">
        <v>13</v>
      </c>
      <c r="C12" s="325">
        <v>0</v>
      </c>
      <c r="D12" s="15">
        <v>8156207951.8099976</v>
      </c>
      <c r="E12" s="16">
        <f t="shared" si="0"/>
        <v>0.13581597020699199</v>
      </c>
      <c r="F12" s="330">
        <v>0</v>
      </c>
      <c r="G12" s="17">
        <v>7911174038.5900002</v>
      </c>
      <c r="H12" s="16">
        <f t="shared" si="1"/>
        <v>0.21155876145751512</v>
      </c>
      <c r="I12" s="17">
        <f t="shared" si="2"/>
        <v>245033913.21999741</v>
      </c>
      <c r="J12" s="18">
        <f t="shared" si="3"/>
        <v>3.0973141536862148E-2</v>
      </c>
    </row>
    <row r="13" spans="2:11" ht="14.25" x14ac:dyDescent="0.2">
      <c r="B13" s="20" t="s">
        <v>15</v>
      </c>
      <c r="C13" s="21">
        <v>11.1</v>
      </c>
      <c r="D13" s="27">
        <v>621747595</v>
      </c>
      <c r="E13" s="30">
        <f t="shared" ref="E13:E18" si="4">+D13/$D$10</f>
        <v>1.0353249124803099E-2</v>
      </c>
      <c r="F13" s="328">
        <v>0</v>
      </c>
      <c r="G13" s="29">
        <v>542085355.61000001</v>
      </c>
      <c r="H13" s="30">
        <f>+G13/$G$10</f>
        <v>1.4496319494135166E-2</v>
      </c>
      <c r="I13" s="24">
        <f t="shared" ref="I13:I17" si="5">+D13-G13</f>
        <v>79662239.389999986</v>
      </c>
      <c r="J13" s="25">
        <f t="shared" ref="J13:J17" si="6">+(D13/G13-1)</f>
        <v>0.14695515856604779</v>
      </c>
    </row>
    <row r="14" spans="2:11" ht="14.25" x14ac:dyDescent="0.2">
      <c r="B14" s="20" t="s">
        <v>16</v>
      </c>
      <c r="C14" s="21">
        <v>10.199999999999999</v>
      </c>
      <c r="D14" s="27">
        <v>1949592871.48</v>
      </c>
      <c r="E14" s="30">
        <f t="shared" si="4"/>
        <v>3.2464332556642488E-2</v>
      </c>
      <c r="F14" s="328">
        <v>0</v>
      </c>
      <c r="G14" s="29">
        <v>1412465074.45</v>
      </c>
      <c r="H14" s="30">
        <f t="shared" ref="H14:H20" si="7">+G14/$G$10</f>
        <v>3.7771809884983534E-2</v>
      </c>
      <c r="I14" s="24">
        <f t="shared" si="5"/>
        <v>537127797.02999997</v>
      </c>
      <c r="J14" s="25">
        <f t="shared" si="6"/>
        <v>0.38027686966996499</v>
      </c>
    </row>
    <row r="15" spans="2:11" ht="14.25" x14ac:dyDescent="0.2">
      <c r="B15" s="20" t="s">
        <v>17</v>
      </c>
      <c r="C15" s="21">
        <v>10.199999999999999</v>
      </c>
      <c r="D15" s="27">
        <v>1646078488.9200001</v>
      </c>
      <c r="E15" s="30">
        <f t="shared" si="4"/>
        <v>2.7410255884895218E-2</v>
      </c>
      <c r="F15" s="328">
        <v>0</v>
      </c>
      <c r="G15" s="29">
        <v>1416103261.5699999</v>
      </c>
      <c r="H15" s="30">
        <f t="shared" si="7"/>
        <v>3.7869101432016043E-2</v>
      </c>
      <c r="I15" s="24">
        <f t="shared" si="5"/>
        <v>229975227.35000014</v>
      </c>
      <c r="J15" s="25">
        <f t="shared" si="6"/>
        <v>0.16240004072516023</v>
      </c>
    </row>
    <row r="16" spans="2:11" ht="14.25" x14ac:dyDescent="0.2">
      <c r="B16" s="20" t="s">
        <v>18</v>
      </c>
      <c r="C16" s="21">
        <v>11.3</v>
      </c>
      <c r="D16" s="27">
        <v>829110027.19000006</v>
      </c>
      <c r="E16" s="30">
        <f>+D16/$D$10</f>
        <v>1.3806217719861612E-2</v>
      </c>
      <c r="F16" s="328">
        <v>0</v>
      </c>
      <c r="G16" s="29">
        <v>1460476548.73</v>
      </c>
      <c r="H16" s="30">
        <f>+G16/$G$10</f>
        <v>3.9055721474449266E-2</v>
      </c>
      <c r="I16" s="24">
        <f>+D16-G16</f>
        <v>-631366521.53999996</v>
      </c>
      <c r="J16" s="25">
        <f>+(D16/G16-1)</f>
        <v>-0.43230171829121333</v>
      </c>
    </row>
    <row r="17" spans="2:10" ht="14.25" x14ac:dyDescent="0.2">
      <c r="B17" s="20" t="s">
        <v>19</v>
      </c>
      <c r="C17" s="21">
        <v>11.2</v>
      </c>
      <c r="D17" s="27">
        <v>303311459.56</v>
      </c>
      <c r="E17" s="30">
        <f t="shared" si="4"/>
        <v>5.0506976279213762E-3</v>
      </c>
      <c r="F17" s="328">
        <v>0</v>
      </c>
      <c r="G17" s="29">
        <v>3630738148.9899998</v>
      </c>
      <c r="H17" s="30">
        <f t="shared" si="7"/>
        <v>9.7092348396089073E-2</v>
      </c>
      <c r="I17" s="24">
        <f t="shared" si="5"/>
        <v>-3327426689.4299998</v>
      </c>
      <c r="J17" s="25">
        <f t="shared" si="6"/>
        <v>-0.91646011165956009</v>
      </c>
    </row>
    <row r="18" spans="2:10" ht="25.5" x14ac:dyDescent="0.2">
      <c r="B18" s="31" t="s">
        <v>20</v>
      </c>
      <c r="C18" s="326">
        <v>0</v>
      </c>
      <c r="D18" s="15">
        <v>4049862699.6599975</v>
      </c>
      <c r="E18" s="16">
        <f t="shared" si="4"/>
        <v>6.7437715542474408E-2</v>
      </c>
      <c r="F18" s="332">
        <v>0</v>
      </c>
      <c r="G18" s="17">
        <v>533476360.46000051</v>
      </c>
      <c r="H18" s="16">
        <f t="shared" si="7"/>
        <v>1.4266099764112356E-2</v>
      </c>
      <c r="I18" s="17">
        <f t="shared" ref="I18" si="8">+D18-G18</f>
        <v>3516386339.1999969</v>
      </c>
      <c r="J18" s="18">
        <f t="shared" ref="J18" si="9">+(D18/G18-1)</f>
        <v>6.5914567164099331</v>
      </c>
    </row>
    <row r="19" spans="2:10" ht="14.25" x14ac:dyDescent="0.2">
      <c r="B19" s="34" t="s">
        <v>21</v>
      </c>
      <c r="C19" s="14">
        <v>7</v>
      </c>
      <c r="D19" s="35">
        <v>1400982999.9453151</v>
      </c>
      <c r="E19" s="23">
        <f t="shared" ref="E19:E20" si="10">+D19/$D$10</f>
        <v>2.332896200112821E-2</v>
      </c>
      <c r="F19" s="333">
        <v>0</v>
      </c>
      <c r="G19" s="37">
        <v>1204331000</v>
      </c>
      <c r="H19" s="23">
        <f t="shared" si="7"/>
        <v>3.2205937260647223E-2</v>
      </c>
      <c r="I19" s="24">
        <f t="shared" ref="I19" si="11">+D19-G19</f>
        <v>196651999.94531512</v>
      </c>
      <c r="J19" s="25">
        <f t="shared" ref="J19" si="12">+(D19/G19-1)</f>
        <v>0.16328733541303442</v>
      </c>
    </row>
    <row r="20" spans="2:10" s="33" customFormat="1" ht="25.5" x14ac:dyDescent="0.25">
      <c r="B20" s="31" t="s">
        <v>22</v>
      </c>
      <c r="C20" s="326">
        <v>0</v>
      </c>
      <c r="D20" s="15">
        <v>2648879699.7146826</v>
      </c>
      <c r="E20" s="16">
        <f t="shared" si="10"/>
        <v>4.4108753541346198E-2</v>
      </c>
      <c r="F20" s="332">
        <v>0</v>
      </c>
      <c r="G20" s="17">
        <v>-670854639.53999949</v>
      </c>
      <c r="H20" s="16">
        <f t="shared" si="7"/>
        <v>-1.7939837496534865E-2</v>
      </c>
      <c r="I20" s="17">
        <f t="shared" ref="I20" si="13">+D20-G20</f>
        <v>3319734339.2546821</v>
      </c>
      <c r="J20" s="18">
        <f t="shared" ref="J20" si="14">+(D20/G20-1)</f>
        <v>-4.9485151381393173</v>
      </c>
    </row>
    <row r="21" spans="2:10" ht="25.5" x14ac:dyDescent="0.2">
      <c r="B21" s="26" t="s">
        <v>23</v>
      </c>
      <c r="C21" s="325">
        <v>0</v>
      </c>
      <c r="D21" s="327">
        <v>0</v>
      </c>
      <c r="E21" s="328">
        <v>0</v>
      </c>
      <c r="F21" s="328">
        <v>0</v>
      </c>
      <c r="G21" s="327">
        <v>0</v>
      </c>
      <c r="H21" s="328">
        <v>0</v>
      </c>
      <c r="I21" s="328">
        <v>0</v>
      </c>
      <c r="J21" s="328">
        <v>0</v>
      </c>
    </row>
    <row r="22" spans="2:10" s="33" customFormat="1" ht="14.25" x14ac:dyDescent="0.2">
      <c r="B22" s="20" t="s">
        <v>24</v>
      </c>
      <c r="C22" s="21">
        <v>11.4</v>
      </c>
      <c r="D22" s="27">
        <v>496089060</v>
      </c>
      <c r="E22" s="23">
        <f t="shared" ref="E22:E25" si="15">+D22/$D$10</f>
        <v>8.260801758741651E-3</v>
      </c>
      <c r="F22" s="328">
        <v>0</v>
      </c>
      <c r="G22" s="29">
        <v>708670310</v>
      </c>
      <c r="H22" s="23">
        <f t="shared" ref="H22:H25" si="16">+G22/$G$10</f>
        <v>1.8951095290533428E-2</v>
      </c>
      <c r="I22" s="24">
        <f t="shared" ref="I22:I23" si="17">+D22-G22</f>
        <v>-212581250</v>
      </c>
      <c r="J22" s="18">
        <v>0</v>
      </c>
    </row>
    <row r="23" spans="2:10" ht="14.25" x14ac:dyDescent="0.2">
      <c r="B23" s="20" t="s">
        <v>25</v>
      </c>
      <c r="C23" s="325">
        <v>0</v>
      </c>
      <c r="D23" s="35">
        <v>420043152</v>
      </c>
      <c r="E23" s="35">
        <v>0</v>
      </c>
      <c r="F23" s="328">
        <v>0</v>
      </c>
      <c r="G23" s="29">
        <v>667070013</v>
      </c>
      <c r="H23" s="23">
        <f t="shared" si="16"/>
        <v>1.7838629900863736E-2</v>
      </c>
      <c r="I23" s="24">
        <f t="shared" si="17"/>
        <v>-247026861</v>
      </c>
      <c r="J23" s="25">
        <v>0</v>
      </c>
    </row>
    <row r="24" spans="2:10" s="33" customFormat="1" ht="14.25" x14ac:dyDescent="0.2">
      <c r="B24" s="26" t="s">
        <v>26</v>
      </c>
      <c r="C24" s="325">
        <v>0</v>
      </c>
      <c r="D24" s="38">
        <v>76045908</v>
      </c>
      <c r="E24" s="16">
        <f t="shared" si="15"/>
        <v>1.2663052286448441E-3</v>
      </c>
      <c r="F24" s="334">
        <v>0</v>
      </c>
      <c r="G24" s="38">
        <v>41600297</v>
      </c>
      <c r="H24" s="16">
        <f t="shared" si="16"/>
        <v>1.1124653896696928E-3</v>
      </c>
      <c r="I24" s="38">
        <f>+I22+I23</f>
        <v>-459608111</v>
      </c>
      <c r="J24" s="40">
        <f>SUM(J22:J23)</f>
        <v>0</v>
      </c>
    </row>
    <row r="25" spans="2:10" ht="25.5" x14ac:dyDescent="0.2">
      <c r="B25" s="31" t="s">
        <v>27</v>
      </c>
      <c r="C25" s="326">
        <v>0</v>
      </c>
      <c r="D25" s="17">
        <v>2724925607.7146826</v>
      </c>
      <c r="E25" s="16">
        <f t="shared" si="15"/>
        <v>4.5375058769991039E-2</v>
      </c>
      <c r="F25" s="335">
        <v>0</v>
      </c>
      <c r="G25" s="17">
        <v>-629254342.53999949</v>
      </c>
      <c r="H25" s="16">
        <f t="shared" si="16"/>
        <v>-1.682737210686517E-2</v>
      </c>
      <c r="I25" s="17">
        <f t="shared" ref="I25" si="18">+D25-G25</f>
        <v>3354179950.2546821</v>
      </c>
      <c r="J25" s="18">
        <f t="shared" ref="J25" si="19">+(D25/G25-1)</f>
        <v>-5.3304041362916275</v>
      </c>
    </row>
  </sheetData>
  <mergeCells count="5">
    <mergeCell ref="B3:J3"/>
    <mergeCell ref="B4:J4"/>
    <mergeCell ref="B5:J5"/>
    <mergeCell ref="B6:J6"/>
    <mergeCell ref="B7:J7"/>
  </mergeCells>
  <pageMargins left="0" right="0" top="0" bottom="0.74803149606299213" header="0.31496062992125984" footer="0.31496062992125984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92D4-EA78-48A2-8E16-CFFC54D2C12F}">
  <sheetPr>
    <tabColor theme="5" tint="-0.249977111117893"/>
  </sheetPr>
  <dimension ref="B3:K49"/>
  <sheetViews>
    <sheetView showGridLines="0" topLeftCell="A18" zoomScaleNormal="166" workbookViewId="0">
      <selection activeCell="F34" sqref="F34"/>
    </sheetView>
  </sheetViews>
  <sheetFormatPr baseColWidth="10" defaultColWidth="11.42578125" defaultRowHeight="15" x14ac:dyDescent="0.2"/>
  <cols>
    <col min="1" max="1" width="4.42578125" style="1" customWidth="1"/>
    <col min="2" max="2" width="43.28515625" style="1" customWidth="1"/>
    <col min="3" max="3" width="5.28515625" style="143" customWidth="1"/>
    <col min="4" max="4" width="16.7109375" style="144" bestFit="1" customWidth="1"/>
    <col min="5" max="5" width="8.5703125" style="145" bestFit="1" customWidth="1"/>
    <col min="6" max="6" width="16.28515625" style="68" bestFit="1" customWidth="1"/>
    <col min="7" max="7" width="8.5703125" style="67" bestFit="1" customWidth="1"/>
    <col min="8" max="8" width="15" style="68" customWidth="1"/>
    <col min="9" max="9" width="10.7109375" style="69" customWidth="1"/>
    <col min="10" max="11" width="16.85546875" style="1" bestFit="1" customWidth="1"/>
    <col min="12" max="16384" width="11.42578125" style="1"/>
  </cols>
  <sheetData>
    <row r="3" spans="2:10" ht="18.75" customHeight="1" x14ac:dyDescent="0.2">
      <c r="B3" s="347" t="s">
        <v>0</v>
      </c>
      <c r="C3" s="347"/>
      <c r="D3" s="347"/>
      <c r="E3" s="347"/>
      <c r="F3" s="347"/>
      <c r="G3" s="347"/>
      <c r="H3" s="347"/>
      <c r="I3" s="347"/>
      <c r="J3" s="58"/>
    </row>
    <row r="4" spans="2:10" ht="20.25" x14ac:dyDescent="0.2">
      <c r="B4" s="347" t="s">
        <v>1</v>
      </c>
      <c r="C4" s="347"/>
      <c r="D4" s="347"/>
      <c r="E4" s="347"/>
      <c r="F4" s="347"/>
      <c r="G4" s="347"/>
      <c r="H4" s="347"/>
      <c r="I4" s="347"/>
      <c r="J4" s="58"/>
    </row>
    <row r="5" spans="2:10" ht="18" customHeight="1" x14ac:dyDescent="0.2">
      <c r="B5" s="347" t="s">
        <v>39</v>
      </c>
      <c r="C5" s="347"/>
      <c r="D5" s="347"/>
      <c r="E5" s="347"/>
      <c r="F5" s="347"/>
      <c r="G5" s="347"/>
      <c r="H5" s="347"/>
      <c r="I5" s="347"/>
    </row>
    <row r="6" spans="2:10" ht="20.25" x14ac:dyDescent="0.2">
      <c r="B6" s="347" t="s">
        <v>40</v>
      </c>
      <c r="C6" s="347"/>
      <c r="D6" s="347"/>
      <c r="E6" s="347"/>
      <c r="F6" s="347"/>
      <c r="G6" s="347"/>
      <c r="H6" s="347"/>
      <c r="I6" s="347"/>
    </row>
    <row r="7" spans="2:10" ht="20.25" x14ac:dyDescent="0.2">
      <c r="B7" s="348" t="s">
        <v>3</v>
      </c>
      <c r="C7" s="348"/>
      <c r="D7" s="348"/>
      <c r="E7" s="348"/>
      <c r="F7" s="348"/>
      <c r="G7" s="348"/>
      <c r="H7" s="348"/>
      <c r="I7" s="348"/>
    </row>
    <row r="8" spans="2:10" ht="22.5" x14ac:dyDescent="0.2">
      <c r="B8" s="59"/>
      <c r="C8" s="59" t="s">
        <v>5</v>
      </c>
      <c r="D8" s="60" t="s">
        <v>6</v>
      </c>
      <c r="E8" s="10" t="s">
        <v>7</v>
      </c>
      <c r="F8" s="8" t="s">
        <v>8</v>
      </c>
      <c r="G8" s="10" t="s">
        <v>7</v>
      </c>
      <c r="H8" s="61" t="s">
        <v>9</v>
      </c>
      <c r="I8" s="62" t="s">
        <v>10</v>
      </c>
    </row>
    <row r="9" spans="2:10" ht="14.25" x14ac:dyDescent="0.2">
      <c r="B9" s="63" t="s">
        <v>41</v>
      </c>
      <c r="C9" s="326">
        <v>0</v>
      </c>
      <c r="D9" s="326">
        <v>0</v>
      </c>
      <c r="E9" s="326">
        <v>0</v>
      </c>
      <c r="F9" s="326">
        <v>0</v>
      </c>
      <c r="G9" s="326">
        <v>0</v>
      </c>
      <c r="H9" s="326">
        <v>0</v>
      </c>
      <c r="I9" s="326">
        <v>0</v>
      </c>
    </row>
    <row r="10" spans="2:10" ht="14.25" x14ac:dyDescent="0.2">
      <c r="B10" s="63" t="s">
        <v>42</v>
      </c>
      <c r="C10" s="326">
        <v>0</v>
      </c>
      <c r="D10" s="326">
        <v>0</v>
      </c>
      <c r="E10" s="326">
        <v>0</v>
      </c>
      <c r="F10" s="326">
        <v>0</v>
      </c>
      <c r="G10" s="326">
        <v>0</v>
      </c>
      <c r="H10" s="326">
        <v>0</v>
      </c>
      <c r="I10" s="326">
        <v>0</v>
      </c>
    </row>
    <row r="11" spans="2:10" ht="14.25" x14ac:dyDescent="0.2">
      <c r="B11" s="70" t="s">
        <v>43</v>
      </c>
      <c r="C11" s="14">
        <v>1.1000000000000001</v>
      </c>
      <c r="D11" s="71">
        <v>755101448.57000005</v>
      </c>
      <c r="E11" s="72">
        <f t="shared" ref="E11:E16" si="0">+D11/$D$24</f>
        <v>2.2997234676156279E-2</v>
      </c>
      <c r="F11" s="73">
        <v>437372722.17000002</v>
      </c>
      <c r="G11" s="74">
        <f t="shared" ref="G11:G17" si="1">+F11/$F$24</f>
        <v>1.3762059207689725E-2</v>
      </c>
      <c r="H11" s="75">
        <f>+D11-F11</f>
        <v>317728726.40000004</v>
      </c>
      <c r="I11" s="76">
        <f t="shared" ref="I11:I48" si="2">+D11/F11-1</f>
        <v>0.72644842783886232</v>
      </c>
    </row>
    <row r="12" spans="2:10" ht="14.25" x14ac:dyDescent="0.2">
      <c r="B12" s="70" t="s">
        <v>44</v>
      </c>
      <c r="C12" s="14">
        <v>1.2</v>
      </c>
      <c r="D12" s="71">
        <v>1727880423.0699999</v>
      </c>
      <c r="E12" s="72">
        <f t="shared" si="0"/>
        <v>5.2624017152833331E-2</v>
      </c>
      <c r="F12" s="73">
        <v>1193154283.24</v>
      </c>
      <c r="G12" s="74">
        <f t="shared" si="1"/>
        <v>3.7542944627157557E-2</v>
      </c>
      <c r="H12" s="75">
        <f t="shared" ref="H12:H16" si="3">+D12-F12</f>
        <v>534726139.82999992</v>
      </c>
      <c r="I12" s="76">
        <f t="shared" si="2"/>
        <v>0.44816177366262799</v>
      </c>
    </row>
    <row r="13" spans="2:10" ht="14.25" x14ac:dyDescent="0.2">
      <c r="B13" s="77" t="s">
        <v>45</v>
      </c>
      <c r="C13" s="14">
        <v>1.3</v>
      </c>
      <c r="D13" s="71">
        <v>21725046</v>
      </c>
      <c r="E13" s="72">
        <f t="shared" si="0"/>
        <v>6.6165411569326954E-4</v>
      </c>
      <c r="F13" s="73">
        <v>127925904</v>
      </c>
      <c r="G13" s="74">
        <f t="shared" si="1"/>
        <v>4.0252255703339072E-3</v>
      </c>
      <c r="H13" s="75">
        <f t="shared" si="3"/>
        <v>-106200858</v>
      </c>
      <c r="I13" s="76">
        <f t="shared" si="2"/>
        <v>-0.83017477054529942</v>
      </c>
    </row>
    <row r="14" spans="2:10" ht="14.25" x14ac:dyDescent="0.2">
      <c r="B14" s="70" t="s">
        <v>46</v>
      </c>
      <c r="C14" s="14">
        <v>2</v>
      </c>
      <c r="D14" s="71">
        <v>6439385556.9499998</v>
      </c>
      <c r="E14" s="72">
        <f t="shared" si="0"/>
        <v>0.19611677491001694</v>
      </c>
      <c r="F14" s="73">
        <v>5325026031.3999996</v>
      </c>
      <c r="G14" s="74">
        <f t="shared" si="1"/>
        <v>0.16755348427543623</v>
      </c>
      <c r="H14" s="75">
        <f t="shared" si="3"/>
        <v>1114359525.5500002</v>
      </c>
      <c r="I14" s="76">
        <f t="shared" si="2"/>
        <v>0.20926837145564603</v>
      </c>
    </row>
    <row r="15" spans="2:10" ht="14.25" x14ac:dyDescent="0.2">
      <c r="B15" s="70" t="s">
        <v>47</v>
      </c>
      <c r="C15" s="14">
        <v>3</v>
      </c>
      <c r="D15" s="71">
        <v>10564508473.16</v>
      </c>
      <c r="E15" s="72">
        <f t="shared" si="0"/>
        <v>0.32175078071377766</v>
      </c>
      <c r="F15" s="73">
        <v>10488725580.950001</v>
      </c>
      <c r="G15" s="74">
        <f t="shared" si="1"/>
        <v>0.33003078413778736</v>
      </c>
      <c r="H15" s="75">
        <f t="shared" si="3"/>
        <v>75782892.209999084</v>
      </c>
      <c r="I15" s="76">
        <f t="shared" si="2"/>
        <v>7.2251763691519866E-3</v>
      </c>
    </row>
    <row r="16" spans="2:10" ht="15" customHeight="1" x14ac:dyDescent="0.2">
      <c r="B16" s="70" t="s">
        <v>48</v>
      </c>
      <c r="C16" s="14">
        <v>7.1</v>
      </c>
      <c r="D16" s="78">
        <v>1201820000</v>
      </c>
      <c r="E16" s="72">
        <f t="shared" si="0"/>
        <v>3.6602414987866316E-2</v>
      </c>
      <c r="F16" s="73">
        <v>1325799000</v>
      </c>
      <c r="G16" s="74">
        <f t="shared" si="1"/>
        <v>4.1716649005842661E-2</v>
      </c>
      <c r="H16" s="75">
        <f t="shared" si="3"/>
        <v>-123979000</v>
      </c>
      <c r="I16" s="76">
        <f t="shared" si="2"/>
        <v>-9.3512666701362712E-2</v>
      </c>
    </row>
    <row r="17" spans="2:10" ht="14.25" x14ac:dyDescent="0.2">
      <c r="B17" s="63" t="s">
        <v>49</v>
      </c>
      <c r="C17" s="14"/>
      <c r="D17" s="79">
        <v>20710420947.75</v>
      </c>
      <c r="E17" s="80">
        <f>SUM(E11:E16)</f>
        <v>0.63075287655634382</v>
      </c>
      <c r="F17" s="81">
        <v>18898003521.760002</v>
      </c>
      <c r="G17" s="82">
        <f t="shared" si="1"/>
        <v>0.59463114682424756</v>
      </c>
      <c r="H17" s="83">
        <f>SUM(H11:H16)</f>
        <v>1812417425.9899993</v>
      </c>
      <c r="I17" s="76">
        <f t="shared" si="2"/>
        <v>9.5905232735463253E-2</v>
      </c>
    </row>
    <row r="18" spans="2:10" ht="14.25" x14ac:dyDescent="0.2">
      <c r="B18" s="63" t="s">
        <v>50</v>
      </c>
      <c r="C18" s="14"/>
      <c r="D18" s="84"/>
      <c r="E18" s="74"/>
      <c r="F18" s="85"/>
      <c r="G18" s="74"/>
      <c r="H18" s="75"/>
      <c r="I18" s="86"/>
    </row>
    <row r="19" spans="2:10" ht="15" customHeight="1" x14ac:dyDescent="0.2">
      <c r="B19" s="70" t="s">
        <v>51</v>
      </c>
      <c r="C19" s="14">
        <v>4.0999999999999996</v>
      </c>
      <c r="D19" s="71">
        <v>10637138060.860001</v>
      </c>
      <c r="E19" s="72">
        <f t="shared" ref="E19:E24" si="4">+D19/$D$24</f>
        <v>0.32396277444777533</v>
      </c>
      <c r="F19" s="73">
        <v>11105028797.299999</v>
      </c>
      <c r="G19" s="74">
        <f t="shared" ref="G19:G24" si="5">+F19/$F$24</f>
        <v>0.34942294309826688</v>
      </c>
      <c r="H19" s="75">
        <f t="shared" ref="H19:H22" si="6">+D19-F19</f>
        <v>-467890736.43999863</v>
      </c>
      <c r="I19" s="76">
        <f t="shared" si="2"/>
        <v>-4.2133230357201623E-2</v>
      </c>
    </row>
    <row r="20" spans="2:10" ht="15" customHeight="1" x14ac:dyDescent="0.2">
      <c r="B20" s="70" t="s">
        <v>52</v>
      </c>
      <c r="C20" s="14">
        <v>4.5</v>
      </c>
      <c r="D20" s="71">
        <v>1223030000</v>
      </c>
      <c r="E20" s="72">
        <f t="shared" si="4"/>
        <v>3.7248382954693834E-2</v>
      </c>
      <c r="F20" s="73">
        <v>1223030000</v>
      </c>
      <c r="G20" s="74">
        <f t="shared" si="5"/>
        <v>3.8482992696189808E-2</v>
      </c>
      <c r="H20" s="75">
        <f t="shared" si="6"/>
        <v>0</v>
      </c>
      <c r="I20" s="76">
        <f t="shared" si="2"/>
        <v>0</v>
      </c>
    </row>
    <row r="21" spans="2:10" ht="15" customHeight="1" x14ac:dyDescent="0.2">
      <c r="B21" s="70" t="s">
        <v>53</v>
      </c>
      <c r="C21" s="14"/>
      <c r="D21" s="71">
        <v>0</v>
      </c>
      <c r="E21" s="72">
        <f t="shared" si="4"/>
        <v>0</v>
      </c>
      <c r="F21" s="73">
        <v>5970000</v>
      </c>
      <c r="G21" s="74">
        <f t="shared" si="5"/>
        <v>1.8784777674811997E-4</v>
      </c>
      <c r="H21" s="75">
        <f t="shared" si="6"/>
        <v>-5970000</v>
      </c>
      <c r="I21" s="76">
        <v>0</v>
      </c>
    </row>
    <row r="22" spans="2:10" ht="14.25" x14ac:dyDescent="0.2">
      <c r="B22" s="70" t="s">
        <v>48</v>
      </c>
      <c r="C22" s="14">
        <v>7.2</v>
      </c>
      <c r="D22" s="87">
        <v>263856489</v>
      </c>
      <c r="E22" s="72">
        <f t="shared" si="4"/>
        <v>8.0359660411870194E-3</v>
      </c>
      <c r="F22" s="73">
        <v>549019889</v>
      </c>
      <c r="G22" s="74">
        <f t="shared" si="5"/>
        <v>1.7275069604547673E-2</v>
      </c>
      <c r="H22" s="75">
        <f t="shared" si="6"/>
        <v>-285163400</v>
      </c>
      <c r="I22" s="76">
        <f t="shared" si="2"/>
        <v>-0.5194044982949606</v>
      </c>
    </row>
    <row r="23" spans="2:10" ht="14.25" x14ac:dyDescent="0.2">
      <c r="B23" s="63" t="s">
        <v>55</v>
      </c>
      <c r="C23" s="14"/>
      <c r="D23" s="79">
        <v>12124024549.860001</v>
      </c>
      <c r="E23" s="80">
        <f t="shared" si="4"/>
        <v>0.36924712344365618</v>
      </c>
      <c r="F23" s="81">
        <v>12883048686.299999</v>
      </c>
      <c r="G23" s="82">
        <f t="shared" si="5"/>
        <v>0.4053688531757525</v>
      </c>
      <c r="H23" s="83">
        <f>SUM(H19:H22)</f>
        <v>-759024136.43999863</v>
      </c>
      <c r="I23" s="76">
        <f t="shared" si="2"/>
        <v>-5.8916499884623996E-2</v>
      </c>
      <c r="J23" s="68"/>
    </row>
    <row r="24" spans="2:10" thickBot="1" x14ac:dyDescent="0.25">
      <c r="B24" s="63" t="s">
        <v>56</v>
      </c>
      <c r="C24" s="14"/>
      <c r="D24" s="88">
        <v>32834445497.610001</v>
      </c>
      <c r="E24" s="80">
        <f t="shared" si="4"/>
        <v>1</v>
      </c>
      <c r="F24" s="89">
        <v>31781052208.060001</v>
      </c>
      <c r="G24" s="82">
        <f t="shared" si="5"/>
        <v>1</v>
      </c>
      <c r="H24" s="90">
        <f>+H17+H23</f>
        <v>1053393289.5500007</v>
      </c>
      <c r="I24" s="76">
        <f t="shared" si="2"/>
        <v>3.3145324536575593E-2</v>
      </c>
    </row>
    <row r="25" spans="2:10" thickTop="1" x14ac:dyDescent="0.2">
      <c r="B25" s="63" t="s">
        <v>57</v>
      </c>
      <c r="C25" s="326">
        <v>0</v>
      </c>
      <c r="D25" s="326">
        <v>0</v>
      </c>
      <c r="E25" s="326">
        <v>0</v>
      </c>
      <c r="F25" s="326">
        <v>0</v>
      </c>
      <c r="G25" s="326">
        <v>0</v>
      </c>
      <c r="H25" s="326">
        <v>0</v>
      </c>
      <c r="I25" s="326">
        <v>0</v>
      </c>
    </row>
    <row r="26" spans="2:10" ht="15" customHeight="1" x14ac:dyDescent="0.2">
      <c r="B26" s="63" t="s">
        <v>58</v>
      </c>
      <c r="C26" s="326">
        <v>0</v>
      </c>
      <c r="D26" s="326">
        <v>0</v>
      </c>
      <c r="E26" s="326">
        <v>0</v>
      </c>
      <c r="F26" s="326">
        <v>0</v>
      </c>
      <c r="G26" s="326">
        <v>0</v>
      </c>
      <c r="H26" s="326">
        <v>0</v>
      </c>
      <c r="I26" s="326">
        <v>0</v>
      </c>
    </row>
    <row r="27" spans="2:10" ht="14.25" x14ac:dyDescent="0.2">
      <c r="B27" s="70" t="s">
        <v>59</v>
      </c>
      <c r="C27" s="14">
        <v>5.2</v>
      </c>
      <c r="D27" s="71">
        <v>1944884000</v>
      </c>
      <c r="E27" s="72">
        <f t="shared" ref="E27:E32" si="7">+D27/$D$48</f>
        <v>5.923303928196582E-2</v>
      </c>
      <c r="F27" s="336">
        <v>2046420000</v>
      </c>
      <c r="G27" s="74">
        <f t="shared" ref="G27:G32" si="8">+F27/$F$48</f>
        <v>6.4391197202197853E-2</v>
      </c>
      <c r="H27" s="75">
        <f t="shared" ref="H27:H31" si="9">+D27-F27</f>
        <v>-101536000</v>
      </c>
      <c r="I27" s="76">
        <f t="shared" si="2"/>
        <v>-4.9616403279874155E-2</v>
      </c>
    </row>
    <row r="28" spans="2:10" ht="14.25" x14ac:dyDescent="0.2">
      <c r="B28" s="70" t="s">
        <v>60</v>
      </c>
      <c r="C28" s="14">
        <v>5.3</v>
      </c>
      <c r="D28" s="71">
        <v>2295243321.1700001</v>
      </c>
      <c r="E28" s="72">
        <f t="shared" si="7"/>
        <v>6.990352010944216E-2</v>
      </c>
      <c r="F28" s="336">
        <v>2730342363.25</v>
      </c>
      <c r="G28" s="74">
        <f t="shared" si="8"/>
        <v>8.5911012178118709E-2</v>
      </c>
      <c r="H28" s="75">
        <f t="shared" si="9"/>
        <v>-435099042.07999992</v>
      </c>
      <c r="I28" s="76">
        <f t="shared" si="2"/>
        <v>-0.15935695388840898</v>
      </c>
    </row>
    <row r="29" spans="2:10" s="33" customFormat="1" ht="15" customHeight="1" x14ac:dyDescent="0.2">
      <c r="B29" s="94" t="s">
        <v>61</v>
      </c>
      <c r="C29" s="14">
        <v>6.1</v>
      </c>
      <c r="D29" s="95">
        <v>7725520950.0100002</v>
      </c>
      <c r="E29" s="96">
        <f t="shared" si="7"/>
        <v>0.23528708442539104</v>
      </c>
      <c r="F29" s="337">
        <v>8361658286.2700005</v>
      </c>
      <c r="G29" s="74">
        <f t="shared" si="8"/>
        <v>0.26310199648586474</v>
      </c>
      <c r="H29" s="75">
        <f t="shared" si="9"/>
        <v>-636137336.26000023</v>
      </c>
      <c r="I29" s="76">
        <f t="shared" si="2"/>
        <v>-7.6077892025861571E-2</v>
      </c>
    </row>
    <row r="30" spans="2:10" ht="15" customHeight="1" x14ac:dyDescent="0.2">
      <c r="B30" s="70" t="s">
        <v>62</v>
      </c>
      <c r="C30" s="14">
        <v>6.2</v>
      </c>
      <c r="D30" s="71">
        <v>238563887</v>
      </c>
      <c r="E30" s="72">
        <f t="shared" si="7"/>
        <v>7.2656590778316108E-3</v>
      </c>
      <c r="F30" s="336">
        <v>163024849.31</v>
      </c>
      <c r="G30" s="74">
        <f t="shared" si="8"/>
        <v>5.1296240365021834E-3</v>
      </c>
      <c r="H30" s="75">
        <f>+D30-F30</f>
        <v>75539037.689999998</v>
      </c>
      <c r="I30" s="76">
        <f>+D30/F30-1</f>
        <v>0.46335904010779783</v>
      </c>
    </row>
    <row r="31" spans="2:10" ht="14.25" x14ac:dyDescent="0.2">
      <c r="B31" s="70" t="s">
        <v>63</v>
      </c>
      <c r="C31" s="14">
        <v>7</v>
      </c>
      <c r="D31" s="78">
        <v>1400982999.9453151</v>
      </c>
      <c r="E31" s="72">
        <f t="shared" si="7"/>
        <v>4.2668087695269828E-2</v>
      </c>
      <c r="F31" s="336">
        <v>1334443000</v>
      </c>
      <c r="G31" s="74">
        <f t="shared" si="8"/>
        <v>4.1988634966474384E-2</v>
      </c>
      <c r="H31" s="75">
        <f t="shared" si="9"/>
        <v>66539999.945315123</v>
      </c>
      <c r="I31" s="76">
        <f t="shared" si="2"/>
        <v>4.9863501060229076E-2</v>
      </c>
    </row>
    <row r="32" spans="2:10" ht="14.25" x14ac:dyDescent="0.2">
      <c r="B32" s="63" t="s">
        <v>64</v>
      </c>
      <c r="C32" s="14"/>
      <c r="D32" s="79">
        <v>13605195158.125315</v>
      </c>
      <c r="E32" s="72">
        <f t="shared" si="7"/>
        <v>0.41435739058990045</v>
      </c>
      <c r="F32" s="338">
        <v>14635888498.83</v>
      </c>
      <c r="G32" s="82">
        <f t="shared" si="8"/>
        <v>0.46052246486915788</v>
      </c>
      <c r="H32" s="83">
        <f>SUM(H27:H31)</f>
        <v>-1030693340.704685</v>
      </c>
      <c r="I32" s="76">
        <f t="shared" si="2"/>
        <v>-7.0422328018355684E-2</v>
      </c>
    </row>
    <row r="33" spans="2:11" ht="14.25" x14ac:dyDescent="0.2">
      <c r="B33" s="63" t="s">
        <v>65</v>
      </c>
      <c r="C33" s="326">
        <v>0</v>
      </c>
      <c r="D33" s="326">
        <v>0</v>
      </c>
      <c r="E33" s="326">
        <v>0</v>
      </c>
      <c r="F33" s="339">
        <v>0</v>
      </c>
      <c r="G33" s="326">
        <v>0</v>
      </c>
      <c r="H33" s="326">
        <v>0</v>
      </c>
      <c r="I33" s="326">
        <v>0</v>
      </c>
    </row>
    <row r="34" spans="2:11" ht="15" customHeight="1" x14ac:dyDescent="0.2">
      <c r="B34" s="70" t="s">
        <v>60</v>
      </c>
      <c r="C34" s="14">
        <v>5.3</v>
      </c>
      <c r="D34" s="71">
        <v>1961264510.98</v>
      </c>
      <c r="E34" s="72">
        <f t="shared" ref="E34:E39" si="10">+D34/$D$48</f>
        <v>5.9731921194890708E-2</v>
      </c>
      <c r="F34" s="336">
        <v>3153009184.98</v>
      </c>
      <c r="G34" s="74">
        <f t="shared" ref="G34:G39" si="11">+F34/$F$48</f>
        <v>9.9210345975111816E-2</v>
      </c>
      <c r="H34" s="75">
        <f t="shared" ref="H34:H37" si="12">+D34-F34</f>
        <v>-1191744674</v>
      </c>
      <c r="I34" s="76">
        <f t="shared" si="2"/>
        <v>-0.37797056845794108</v>
      </c>
    </row>
    <row r="35" spans="2:11" ht="14.25" x14ac:dyDescent="0.2">
      <c r="B35" s="70" t="s">
        <v>66</v>
      </c>
      <c r="C35" s="14">
        <v>8</v>
      </c>
      <c r="D35" s="71">
        <v>452006325.44</v>
      </c>
      <c r="E35" s="72">
        <f t="shared" si="10"/>
        <v>1.3766223811026542E-2</v>
      </c>
      <c r="F35" s="336">
        <v>192275625.22</v>
      </c>
      <c r="G35" s="74">
        <f t="shared" si="11"/>
        <v>6.0500081609429672E-3</v>
      </c>
      <c r="H35" s="75">
        <f t="shared" si="12"/>
        <v>259730700.22</v>
      </c>
      <c r="I35" s="76">
        <f t="shared" si="2"/>
        <v>1.3508248896490054</v>
      </c>
    </row>
    <row r="36" spans="2:11" ht="14.25" x14ac:dyDescent="0.2">
      <c r="B36" s="70" t="s">
        <v>67</v>
      </c>
      <c r="C36" s="14"/>
      <c r="D36" s="71">
        <v>4282558733.21</v>
      </c>
      <c r="E36" s="72">
        <f t="shared" si="10"/>
        <v>0.13042884288808676</v>
      </c>
      <c r="F36" s="336">
        <v>3504726255.8899999</v>
      </c>
      <c r="G36" s="74">
        <f t="shared" si="11"/>
        <v>0.11027722534119756</v>
      </c>
      <c r="H36" s="75">
        <f t="shared" si="12"/>
        <v>777832477.32000017</v>
      </c>
      <c r="I36" s="76">
        <f t="shared" si="2"/>
        <v>0.22193815451714216</v>
      </c>
    </row>
    <row r="37" spans="2:11" ht="14.25" x14ac:dyDescent="0.2">
      <c r="B37" s="70" t="s">
        <v>63</v>
      </c>
      <c r="C37" s="14">
        <v>7.2</v>
      </c>
      <c r="D37" s="99">
        <v>539915397</v>
      </c>
      <c r="E37" s="72">
        <f t="shared" si="10"/>
        <v>1.6443566772845666E-2</v>
      </c>
      <c r="F37" s="336">
        <v>1026572878</v>
      </c>
      <c r="G37" s="74">
        <f t="shared" si="11"/>
        <v>3.2301412530040659E-2</v>
      </c>
      <c r="H37" s="75">
        <f t="shared" si="12"/>
        <v>-486657481</v>
      </c>
      <c r="I37" s="76">
        <f t="shared" si="2"/>
        <v>-0.47406033359085098</v>
      </c>
    </row>
    <row r="38" spans="2:11" ht="14.25" x14ac:dyDescent="0.2">
      <c r="B38" s="63" t="s">
        <v>68</v>
      </c>
      <c r="C38" s="14"/>
      <c r="D38" s="79">
        <v>7235744966.6300001</v>
      </c>
      <c r="E38" s="80">
        <f t="shared" si="10"/>
        <v>0.22037055466684966</v>
      </c>
      <c r="F38" s="338">
        <v>7876583944.0900002</v>
      </c>
      <c r="G38" s="82">
        <f t="shared" si="11"/>
        <v>0.24783899200729301</v>
      </c>
      <c r="H38" s="100">
        <f>SUM(H34:H37)</f>
        <v>-640838977.4599998</v>
      </c>
      <c r="I38" s="76">
        <f t="shared" si="2"/>
        <v>-8.1360013682179821E-2</v>
      </c>
    </row>
    <row r="39" spans="2:11" ht="14.25" x14ac:dyDescent="0.2">
      <c r="B39" s="63" t="s">
        <v>69</v>
      </c>
      <c r="C39" s="14"/>
      <c r="D39" s="79">
        <v>20840940124.755314</v>
      </c>
      <c r="E39" s="80">
        <f t="shared" si="10"/>
        <v>0.63472794525675003</v>
      </c>
      <c r="F39" s="338">
        <v>22512472442.919998</v>
      </c>
      <c r="G39" s="82">
        <f t="shared" si="11"/>
        <v>0.7083614568764508</v>
      </c>
      <c r="H39" s="100">
        <f>+H32+H38</f>
        <v>-1671532318.1646848</v>
      </c>
      <c r="I39" s="76">
        <f t="shared" si="2"/>
        <v>-7.4249166652078147E-2</v>
      </c>
      <c r="J39" s="19"/>
    </row>
    <row r="40" spans="2:11" ht="15" customHeight="1" x14ac:dyDescent="0.2">
      <c r="B40" s="63" t="s">
        <v>70</v>
      </c>
      <c r="C40" s="326">
        <v>0</v>
      </c>
      <c r="D40" s="326">
        <v>0</v>
      </c>
      <c r="E40" s="326">
        <v>0</v>
      </c>
      <c r="F40" s="339">
        <v>0</v>
      </c>
      <c r="G40" s="326">
        <v>0</v>
      </c>
      <c r="H40" s="326">
        <v>0</v>
      </c>
      <c r="I40" s="326">
        <v>0</v>
      </c>
    </row>
    <row r="41" spans="2:11" ht="14.25" x14ac:dyDescent="0.2">
      <c r="B41" s="70" t="s">
        <v>71</v>
      </c>
      <c r="C41" s="14">
        <v>9</v>
      </c>
      <c r="D41" s="71">
        <v>2060803967.3599999</v>
      </c>
      <c r="E41" s="72">
        <f>+D41/$D$48</f>
        <v>6.276347707681583E-2</v>
      </c>
      <c r="F41" s="336">
        <v>2060803967.3599999</v>
      </c>
      <c r="G41" s="74">
        <f t="shared" ref="G41:G46" si="13">+F41/$F$48</f>
        <v>6.4843792895568589E-2</v>
      </c>
      <c r="H41" s="75">
        <f t="shared" ref="H41:H45" si="14">+D41-F41</f>
        <v>0</v>
      </c>
      <c r="I41" s="76">
        <f t="shared" si="2"/>
        <v>0</v>
      </c>
    </row>
    <row r="42" spans="2:11" ht="14.25" x14ac:dyDescent="0.2">
      <c r="B42" s="70" t="s">
        <v>72</v>
      </c>
      <c r="C42" s="14">
        <v>9.1999999999999993</v>
      </c>
      <c r="D42" s="71">
        <v>2000000000</v>
      </c>
      <c r="E42" s="72">
        <f>+D42/$D$48</f>
        <v>6.0911642321049293E-2</v>
      </c>
      <c r="F42" s="336">
        <v>2000000000</v>
      </c>
      <c r="G42" s="74">
        <f t="shared" si="13"/>
        <v>6.2930578475775115E-2</v>
      </c>
      <c r="H42" s="75">
        <f t="shared" si="14"/>
        <v>0</v>
      </c>
      <c r="I42" s="76">
        <v>0</v>
      </c>
    </row>
    <row r="43" spans="2:11" ht="14.25" x14ac:dyDescent="0.2">
      <c r="B43" s="70" t="s">
        <v>73</v>
      </c>
      <c r="C43" s="14">
        <v>9.1</v>
      </c>
      <c r="D43" s="71">
        <v>1774057625.79</v>
      </c>
      <c r="E43" s="72">
        <f>+D43/$D$48</f>
        <v>5.4030381779525197E-2</v>
      </c>
      <c r="F43" s="336">
        <v>2403311966.3299999</v>
      </c>
      <c r="G43" s="74">
        <f t="shared" si="13"/>
        <v>7.5620906149449732E-2</v>
      </c>
      <c r="H43" s="75">
        <f t="shared" si="14"/>
        <v>-629254340.53999996</v>
      </c>
      <c r="I43" s="76">
        <f t="shared" si="2"/>
        <v>-0.2618279896059057</v>
      </c>
    </row>
    <row r="44" spans="2:11" ht="14.25" x14ac:dyDescent="0.2">
      <c r="B44" s="70" t="s">
        <v>74</v>
      </c>
      <c r="C44" s="14">
        <v>9</v>
      </c>
      <c r="D44" s="71">
        <v>3313032491.5100002</v>
      </c>
      <c r="E44" s="72">
        <f>+D44/$D$48</f>
        <v>0.10090112506043596</v>
      </c>
      <c r="F44" s="336">
        <v>3313032491.5100002</v>
      </c>
      <c r="G44" s="74">
        <f t="shared" si="13"/>
        <v>0.10424552559988141</v>
      </c>
      <c r="H44" s="75">
        <f t="shared" si="14"/>
        <v>0</v>
      </c>
      <c r="I44" s="76">
        <f t="shared" si="2"/>
        <v>0</v>
      </c>
    </row>
    <row r="45" spans="2:11" ht="15" customHeight="1" x14ac:dyDescent="0.2">
      <c r="B45" s="70" t="s">
        <v>75</v>
      </c>
      <c r="C45" s="14">
        <v>9</v>
      </c>
      <c r="D45" s="71">
        <v>120685682.13</v>
      </c>
      <c r="E45" s="72">
        <f t="shared" ref="E45" si="15">+D45/$D$48</f>
        <v>3.675581551587205E-3</v>
      </c>
      <c r="F45" s="336">
        <v>120685682.13</v>
      </c>
      <c r="G45" s="74">
        <f t="shared" si="13"/>
        <v>3.7974098950922072E-3</v>
      </c>
      <c r="H45" s="75">
        <f t="shared" si="14"/>
        <v>0</v>
      </c>
      <c r="I45" s="76">
        <f t="shared" si="2"/>
        <v>0</v>
      </c>
    </row>
    <row r="46" spans="2:11" ht="14.25" x14ac:dyDescent="0.2">
      <c r="B46" s="70" t="s">
        <v>76</v>
      </c>
      <c r="C46" s="14"/>
      <c r="D46" s="71">
        <v>2724925607.7146826</v>
      </c>
      <c r="E46" s="72">
        <f>+D46/$D$48</f>
        <v>8.298984698429232E-2</v>
      </c>
      <c r="F46" s="336">
        <v>-629254342.53999949</v>
      </c>
      <c r="G46" s="74">
        <f t="shared" si="13"/>
        <v>-1.9799669892217854E-2</v>
      </c>
      <c r="H46" s="75">
        <f>+D46-F46</f>
        <v>3354179950.2546821</v>
      </c>
      <c r="I46" s="76">
        <f t="shared" si="2"/>
        <v>-5.3304041362916275</v>
      </c>
    </row>
    <row r="47" spans="2:11" ht="14.25" x14ac:dyDescent="0.2">
      <c r="B47" s="63" t="s">
        <v>77</v>
      </c>
      <c r="C47" s="14"/>
      <c r="D47" s="79">
        <v>11993505374.504681</v>
      </c>
      <c r="E47" s="80">
        <f>+D47/$D$48</f>
        <v>0.36527205477370572</v>
      </c>
      <c r="F47" s="338">
        <v>9268579764.7900009</v>
      </c>
      <c r="G47" s="82">
        <f>SUM(G41:G46)</f>
        <v>0.2916385431235492</v>
      </c>
      <c r="H47" s="81">
        <f>SUM(H41:H46)</f>
        <v>2724925609.7146821</v>
      </c>
      <c r="I47" s="76">
        <f t="shared" si="2"/>
        <v>0.2939960251587066</v>
      </c>
      <c r="K47" s="68">
        <f>SUM(F41:F46)</f>
        <v>9268579764.7900009</v>
      </c>
    </row>
    <row r="48" spans="2:11" thickBot="1" x14ac:dyDescent="0.25">
      <c r="B48" s="63" t="s">
        <v>78</v>
      </c>
      <c r="C48" s="14"/>
      <c r="D48" s="88">
        <v>32834445498.259995</v>
      </c>
      <c r="E48" s="80">
        <f>+D48/$D$48</f>
        <v>1</v>
      </c>
      <c r="F48" s="340">
        <v>31781052207.709999</v>
      </c>
      <c r="G48" s="82">
        <f>+F48/$F$48</f>
        <v>1</v>
      </c>
      <c r="H48" s="89">
        <f>+H39+H47</f>
        <v>1053393291.5499973</v>
      </c>
      <c r="I48" s="76">
        <f t="shared" si="2"/>
        <v>3.3145324568405687E-2</v>
      </c>
      <c r="K48" s="68">
        <f>F47+F39</f>
        <v>31781052207.709999</v>
      </c>
    </row>
    <row r="49" ht="15.75" thickTop="1" x14ac:dyDescent="0.2"/>
  </sheetData>
  <mergeCells count="5">
    <mergeCell ref="B3:I3"/>
    <mergeCell ref="B4:I4"/>
    <mergeCell ref="B5:I5"/>
    <mergeCell ref="B6:I6"/>
    <mergeCell ref="B7:I7"/>
  </mergeCells>
  <printOptions horizontalCentered="1" verticalCentered="1"/>
  <pageMargins left="0" right="0" top="0" bottom="0" header="0.31496062992125984" footer="0.31496062992125984"/>
  <pageSetup scale="80" orientation="portrait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A300-485C-4FBB-9E88-2B3C7B858F7A}">
  <dimension ref="A1:P180"/>
  <sheetViews>
    <sheetView showGridLines="0" topLeftCell="A117" zoomScale="83" workbookViewId="0">
      <selection activeCell="E168" sqref="E163:E168"/>
    </sheetView>
  </sheetViews>
  <sheetFormatPr baseColWidth="10" defaultRowHeight="14.25" x14ac:dyDescent="0.2"/>
  <cols>
    <col min="1" max="1" width="11.42578125" style="1"/>
    <col min="2" max="2" width="51" style="1" customWidth="1"/>
    <col min="3" max="3" width="44.140625" style="1" customWidth="1"/>
    <col min="4" max="16" width="23.7109375" style="1" customWidth="1"/>
    <col min="17" max="16384" width="11.42578125" style="1"/>
  </cols>
  <sheetData>
    <row r="1" spans="1:16" x14ac:dyDescent="0.2">
      <c r="E1" s="19"/>
    </row>
    <row r="2" spans="1:16" x14ac:dyDescent="0.2">
      <c r="E2" s="19"/>
    </row>
    <row r="3" spans="1:16" ht="15" x14ac:dyDescent="0.2">
      <c r="A3" s="1" t="s">
        <v>147</v>
      </c>
      <c r="B3" s="233" t="s">
        <v>145</v>
      </c>
      <c r="C3" s="234"/>
      <c r="D3" s="282">
        <f>+EDATE(E3,-12)</f>
        <v>44166</v>
      </c>
      <c r="E3" s="282">
        <f>+EDATE(F3,-12)</f>
        <v>44531</v>
      </c>
      <c r="F3" s="282">
        <v>44896</v>
      </c>
      <c r="G3" s="282">
        <f>+EDATE(F3,12)</f>
        <v>45261</v>
      </c>
      <c r="H3" s="282">
        <f t="shared" ref="H3:P3" si="0">+EDATE(G3,12)</f>
        <v>45627</v>
      </c>
      <c r="I3" s="282">
        <f t="shared" si="0"/>
        <v>45992</v>
      </c>
      <c r="J3" s="282">
        <f t="shared" si="0"/>
        <v>46357</v>
      </c>
      <c r="K3" s="282">
        <f t="shared" si="0"/>
        <v>46722</v>
      </c>
      <c r="L3" s="282">
        <f t="shared" si="0"/>
        <v>47088</v>
      </c>
      <c r="M3" s="282">
        <f t="shared" si="0"/>
        <v>47453</v>
      </c>
      <c r="N3" s="282">
        <f t="shared" si="0"/>
        <v>47818</v>
      </c>
      <c r="O3" s="282">
        <f t="shared" si="0"/>
        <v>48183</v>
      </c>
      <c r="P3" s="282">
        <f t="shared" si="0"/>
        <v>48549</v>
      </c>
    </row>
    <row r="4" spans="1:16" x14ac:dyDescent="0.2">
      <c r="B4" s="1" t="s">
        <v>164</v>
      </c>
      <c r="E4" s="199"/>
      <c r="F4" s="296">
        <f>+(F20-E20)/E20</f>
        <v>0.50241211741944769</v>
      </c>
      <c r="G4" s="299">
        <v>0.5</v>
      </c>
      <c r="H4" s="299">
        <v>0.03</v>
      </c>
      <c r="I4" s="303">
        <f>+H4</f>
        <v>0.03</v>
      </c>
      <c r="J4" s="303">
        <v>0.03</v>
      </c>
      <c r="K4" s="303">
        <v>0.03</v>
      </c>
      <c r="L4" s="303">
        <v>0.03</v>
      </c>
      <c r="M4" s="303">
        <v>0.03</v>
      </c>
      <c r="N4" s="303">
        <v>0.03</v>
      </c>
      <c r="O4" s="303">
        <v>0.03</v>
      </c>
      <c r="P4" s="303">
        <v>0.03</v>
      </c>
    </row>
    <row r="5" spans="1:16" x14ac:dyDescent="0.2">
      <c r="B5" s="1" t="s">
        <v>165</v>
      </c>
      <c r="E5" s="296">
        <f>+-E21/E20</f>
        <v>0.86418402979300801</v>
      </c>
      <c r="F5" s="296">
        <f>+-F21/F20</f>
        <v>0.77659761310210862</v>
      </c>
      <c r="G5" s="299">
        <v>0.76</v>
      </c>
      <c r="H5" s="299">
        <v>0.75</v>
      </c>
      <c r="I5" s="303">
        <f t="shared" ref="I5:P5" si="1">+H5</f>
        <v>0.75</v>
      </c>
      <c r="J5" s="303">
        <f t="shared" si="1"/>
        <v>0.75</v>
      </c>
      <c r="K5" s="303">
        <f t="shared" si="1"/>
        <v>0.75</v>
      </c>
      <c r="L5" s="303">
        <f t="shared" si="1"/>
        <v>0.75</v>
      </c>
      <c r="M5" s="303">
        <f t="shared" si="1"/>
        <v>0.75</v>
      </c>
      <c r="N5" s="303">
        <f t="shared" si="1"/>
        <v>0.75</v>
      </c>
      <c r="O5" s="303">
        <f t="shared" si="1"/>
        <v>0.75</v>
      </c>
      <c r="P5" s="303">
        <f t="shared" si="1"/>
        <v>0.75</v>
      </c>
    </row>
    <row r="6" spans="1:16" x14ac:dyDescent="0.2">
      <c r="B6" s="1" t="s">
        <v>166</v>
      </c>
      <c r="E6" s="296">
        <f t="shared" ref="E6:F6" si="2">+E23/E20</f>
        <v>1.0353249124803099E-2</v>
      </c>
      <c r="F6" s="296">
        <f t="shared" si="2"/>
        <v>4.5572028037626265E-3</v>
      </c>
      <c r="G6" s="300">
        <v>5.0000000000000001E-3</v>
      </c>
      <c r="H6" s="319">
        <f t="shared" ref="H6:P6" si="3">+G6</f>
        <v>5.0000000000000001E-3</v>
      </c>
      <c r="I6" s="319">
        <f t="shared" si="3"/>
        <v>5.0000000000000001E-3</v>
      </c>
      <c r="J6" s="319">
        <f t="shared" si="3"/>
        <v>5.0000000000000001E-3</v>
      </c>
      <c r="K6" s="319">
        <f t="shared" si="3"/>
        <v>5.0000000000000001E-3</v>
      </c>
      <c r="L6" s="319">
        <f t="shared" si="3"/>
        <v>5.0000000000000001E-3</v>
      </c>
      <c r="M6" s="319">
        <f t="shared" si="3"/>
        <v>5.0000000000000001E-3</v>
      </c>
      <c r="N6" s="319">
        <f t="shared" si="3"/>
        <v>5.0000000000000001E-3</v>
      </c>
      <c r="O6" s="319">
        <f t="shared" si="3"/>
        <v>5.0000000000000001E-3</v>
      </c>
      <c r="P6" s="319">
        <f t="shared" si="3"/>
        <v>5.0000000000000001E-3</v>
      </c>
    </row>
    <row r="7" spans="1:16" x14ac:dyDescent="0.2">
      <c r="B7" s="1" t="s">
        <v>167</v>
      </c>
      <c r="E7" s="296">
        <f>+-E24/E20</f>
        <v>3.2464332556642488E-2</v>
      </c>
      <c r="F7" s="296">
        <f>+-F24/F20</f>
        <v>3.2477680493151508E-2</v>
      </c>
      <c r="G7" s="300">
        <v>0.03</v>
      </c>
      <c r="H7" s="298">
        <f t="shared" ref="H7:P8" si="4">+G7</f>
        <v>0.03</v>
      </c>
      <c r="I7" s="298">
        <f t="shared" si="4"/>
        <v>0.03</v>
      </c>
      <c r="J7" s="298">
        <f t="shared" si="4"/>
        <v>0.03</v>
      </c>
      <c r="K7" s="298">
        <f t="shared" si="4"/>
        <v>0.03</v>
      </c>
      <c r="L7" s="298">
        <f t="shared" si="4"/>
        <v>0.03</v>
      </c>
      <c r="M7" s="298">
        <f t="shared" si="4"/>
        <v>0.03</v>
      </c>
      <c r="N7" s="298">
        <f t="shared" si="4"/>
        <v>0.03</v>
      </c>
      <c r="O7" s="298">
        <f t="shared" si="4"/>
        <v>0.03</v>
      </c>
      <c r="P7" s="298">
        <f t="shared" si="4"/>
        <v>0.03</v>
      </c>
    </row>
    <row r="8" spans="1:16" x14ac:dyDescent="0.2">
      <c r="B8" s="1" t="s">
        <v>168</v>
      </c>
      <c r="E8" s="296">
        <f>+-E25/E20</f>
        <v>2.7410255884895218E-2</v>
      </c>
      <c r="F8" s="296">
        <f>+-F25/F20</f>
        <v>2.190693909897307E-2</v>
      </c>
      <c r="G8" s="300">
        <v>0.02</v>
      </c>
      <c r="H8" s="298">
        <f t="shared" si="4"/>
        <v>0.02</v>
      </c>
      <c r="I8" s="298">
        <f t="shared" si="4"/>
        <v>0.02</v>
      </c>
      <c r="J8" s="298">
        <f t="shared" si="4"/>
        <v>0.02</v>
      </c>
      <c r="K8" s="298">
        <f t="shared" si="4"/>
        <v>0.02</v>
      </c>
      <c r="L8" s="298">
        <f t="shared" si="4"/>
        <v>0.02</v>
      </c>
      <c r="M8" s="298">
        <f t="shared" si="4"/>
        <v>0.02</v>
      </c>
      <c r="N8" s="298">
        <f t="shared" si="4"/>
        <v>0.02</v>
      </c>
      <c r="O8" s="298">
        <f t="shared" si="4"/>
        <v>0.02</v>
      </c>
      <c r="P8" s="298">
        <f t="shared" si="4"/>
        <v>0.02</v>
      </c>
    </row>
    <row r="9" spans="1:16" x14ac:dyDescent="0.2">
      <c r="B9" s="193" t="s">
        <v>169</v>
      </c>
      <c r="C9" s="193"/>
      <c r="D9" s="193"/>
      <c r="E9" s="316"/>
      <c r="F9" s="316"/>
      <c r="G9" s="317"/>
      <c r="H9" s="318"/>
      <c r="I9" s="318"/>
      <c r="J9" s="318"/>
      <c r="K9" s="318"/>
      <c r="L9" s="318"/>
      <c r="M9" s="318"/>
      <c r="N9" s="318"/>
      <c r="O9" s="318"/>
      <c r="P9" s="318"/>
    </row>
    <row r="10" spans="1:16" x14ac:dyDescent="0.2">
      <c r="B10" s="1" t="s">
        <v>174</v>
      </c>
      <c r="E10" s="296">
        <f t="shared" ref="E10:F10" si="5">+-E27/E20</f>
        <v>5.0506976279213762E-3</v>
      </c>
      <c r="F10" s="296">
        <f t="shared" si="5"/>
        <v>6.9808095724120615E-3</v>
      </c>
      <c r="G10" s="300">
        <v>7.0000000000000001E-3</v>
      </c>
      <c r="H10" s="298">
        <f t="shared" ref="H10:P10" si="6">+G10</f>
        <v>7.0000000000000001E-3</v>
      </c>
      <c r="I10" s="298">
        <f t="shared" si="6"/>
        <v>7.0000000000000001E-3</v>
      </c>
      <c r="J10" s="298">
        <f t="shared" si="6"/>
        <v>7.0000000000000001E-3</v>
      </c>
      <c r="K10" s="298">
        <f t="shared" si="6"/>
        <v>7.0000000000000001E-3</v>
      </c>
      <c r="L10" s="298">
        <f t="shared" si="6"/>
        <v>7.0000000000000001E-3</v>
      </c>
      <c r="M10" s="298">
        <f t="shared" si="6"/>
        <v>7.0000000000000001E-3</v>
      </c>
      <c r="N10" s="298">
        <f t="shared" si="6"/>
        <v>7.0000000000000001E-3</v>
      </c>
      <c r="O10" s="298">
        <f t="shared" si="6"/>
        <v>7.0000000000000001E-3</v>
      </c>
      <c r="P10" s="298">
        <f t="shared" si="6"/>
        <v>7.0000000000000001E-3</v>
      </c>
    </row>
    <row r="11" spans="1:16" x14ac:dyDescent="0.2">
      <c r="B11" s="1" t="s">
        <v>170</v>
      </c>
      <c r="E11" s="296"/>
      <c r="F11" s="296"/>
      <c r="G11" s="300"/>
      <c r="H11" s="297"/>
      <c r="I11" s="297"/>
      <c r="J11" s="297"/>
      <c r="K11" s="297"/>
      <c r="L11" s="297"/>
      <c r="M11" s="297"/>
      <c r="N11" s="297"/>
      <c r="O11" s="297"/>
      <c r="P11" s="297"/>
    </row>
    <row r="12" spans="1:16" x14ac:dyDescent="0.2">
      <c r="B12" s="1" t="s">
        <v>171</v>
      </c>
      <c r="E12" s="296"/>
      <c r="F12" s="296"/>
      <c r="G12" s="300"/>
      <c r="H12" s="297"/>
      <c r="I12" s="297"/>
      <c r="J12" s="297"/>
      <c r="K12" s="297"/>
      <c r="L12" s="297"/>
      <c r="M12" s="297"/>
      <c r="N12" s="297"/>
      <c r="O12" s="297"/>
      <c r="P12" s="297"/>
    </row>
    <row r="13" spans="1:16" x14ac:dyDescent="0.2">
      <c r="B13" s="1" t="s">
        <v>172</v>
      </c>
      <c r="E13" s="296"/>
      <c r="F13" s="296"/>
      <c r="G13" s="300"/>
      <c r="H13" s="297"/>
      <c r="I13" s="297"/>
      <c r="J13" s="297"/>
      <c r="K13" s="297"/>
      <c r="L13" s="297"/>
      <c r="M13" s="297"/>
      <c r="N13" s="297"/>
      <c r="O13" s="297"/>
      <c r="P13" s="297"/>
    </row>
    <row r="14" spans="1:16" x14ac:dyDescent="0.2">
      <c r="B14" s="1" t="s">
        <v>173</v>
      </c>
      <c r="E14" s="296"/>
      <c r="F14" s="296"/>
      <c r="G14" s="300"/>
      <c r="H14" s="297"/>
      <c r="I14" s="297"/>
      <c r="J14" s="297"/>
      <c r="K14" s="297"/>
      <c r="L14" s="297"/>
      <c r="M14" s="297"/>
      <c r="N14" s="297"/>
      <c r="O14" s="297"/>
      <c r="P14" s="297"/>
    </row>
    <row r="15" spans="1:16" x14ac:dyDescent="0.2">
      <c r="B15" s="1" t="s">
        <v>146</v>
      </c>
      <c r="E15" s="296">
        <f>+-E29/E28</f>
        <v>0.34593345598183811</v>
      </c>
      <c r="F15" s="296">
        <f>+-F29/F28</f>
        <v>0.3545163220308043</v>
      </c>
      <c r="G15" s="300">
        <v>0.35</v>
      </c>
      <c r="H15" s="297">
        <f t="shared" ref="H15:P15" si="7">+G15</f>
        <v>0.35</v>
      </c>
      <c r="I15" s="297">
        <f t="shared" si="7"/>
        <v>0.35</v>
      </c>
      <c r="J15" s="297">
        <f t="shared" si="7"/>
        <v>0.35</v>
      </c>
      <c r="K15" s="297">
        <f t="shared" si="7"/>
        <v>0.35</v>
      </c>
      <c r="L15" s="297">
        <f t="shared" si="7"/>
        <v>0.35</v>
      </c>
      <c r="M15" s="297">
        <f t="shared" si="7"/>
        <v>0.35</v>
      </c>
      <c r="N15" s="297">
        <f t="shared" si="7"/>
        <v>0.35</v>
      </c>
      <c r="O15" s="297">
        <f t="shared" si="7"/>
        <v>0.35</v>
      </c>
      <c r="P15" s="297">
        <f t="shared" si="7"/>
        <v>0.35</v>
      </c>
    </row>
    <row r="16" spans="1:16" x14ac:dyDescent="0.2">
      <c r="B16" s="1" t="s">
        <v>148</v>
      </c>
      <c r="E16" s="305">
        <v>0.181530930298581</v>
      </c>
      <c r="F16" s="306">
        <f t="shared" ref="F16:P16" si="8">+E16</f>
        <v>0.181530930298581</v>
      </c>
      <c r="G16" s="304">
        <f t="shared" si="8"/>
        <v>0.181530930298581</v>
      </c>
      <c r="H16" s="304">
        <f t="shared" si="8"/>
        <v>0.181530930298581</v>
      </c>
      <c r="I16" s="304">
        <f t="shared" si="8"/>
        <v>0.181530930298581</v>
      </c>
      <c r="J16" s="304">
        <f t="shared" si="8"/>
        <v>0.181530930298581</v>
      </c>
      <c r="K16" s="304">
        <f t="shared" si="8"/>
        <v>0.181530930298581</v>
      </c>
      <c r="L16" s="304">
        <f t="shared" si="8"/>
        <v>0.181530930298581</v>
      </c>
      <c r="M16" s="304">
        <f t="shared" si="8"/>
        <v>0.181530930298581</v>
      </c>
      <c r="N16" s="304">
        <f t="shared" si="8"/>
        <v>0.181530930298581</v>
      </c>
      <c r="O16" s="304">
        <f t="shared" si="8"/>
        <v>0.181530930298581</v>
      </c>
      <c r="P16" s="304">
        <f t="shared" si="8"/>
        <v>0.181530930298581</v>
      </c>
    </row>
    <row r="17" spans="1:16" x14ac:dyDescent="0.2">
      <c r="B17" s="1" t="s">
        <v>163</v>
      </c>
      <c r="E17" s="296"/>
      <c r="F17" s="296"/>
      <c r="G17" s="299">
        <v>0.03</v>
      </c>
      <c r="H17" s="297">
        <f t="shared" ref="H17:P17" si="9">+G17</f>
        <v>0.03</v>
      </c>
      <c r="I17" s="297">
        <f t="shared" si="9"/>
        <v>0.03</v>
      </c>
      <c r="J17" s="297">
        <f t="shared" si="9"/>
        <v>0.03</v>
      </c>
      <c r="K17" s="297">
        <f t="shared" si="9"/>
        <v>0.03</v>
      </c>
      <c r="L17" s="297">
        <f t="shared" si="9"/>
        <v>0.03</v>
      </c>
      <c r="M17" s="297">
        <f t="shared" si="9"/>
        <v>0.03</v>
      </c>
      <c r="N17" s="297">
        <f t="shared" si="9"/>
        <v>0.03</v>
      </c>
      <c r="O17" s="297">
        <f t="shared" si="9"/>
        <v>0.03</v>
      </c>
      <c r="P17" s="297">
        <f t="shared" si="9"/>
        <v>0.03</v>
      </c>
    </row>
    <row r="18" spans="1:16" ht="15" x14ac:dyDescent="0.25">
      <c r="B18" s="229"/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</row>
    <row r="19" spans="1:16" ht="15" x14ac:dyDescent="0.2">
      <c r="A19" s="1" t="s">
        <v>147</v>
      </c>
      <c r="B19" s="233" t="s">
        <v>123</v>
      </c>
      <c r="C19" s="234" t="s">
        <v>5</v>
      </c>
      <c r="D19" s="282">
        <f>+EDATE(E19,-12)</f>
        <v>44166</v>
      </c>
      <c r="E19" s="282">
        <f t="shared" ref="E19:P19" si="10">+E3</f>
        <v>44531</v>
      </c>
      <c r="F19" s="282">
        <f t="shared" si="10"/>
        <v>44896</v>
      </c>
      <c r="G19" s="282">
        <f t="shared" si="10"/>
        <v>45261</v>
      </c>
      <c r="H19" s="282">
        <f t="shared" si="10"/>
        <v>45627</v>
      </c>
      <c r="I19" s="282">
        <f t="shared" si="10"/>
        <v>45992</v>
      </c>
      <c r="J19" s="282">
        <f t="shared" si="10"/>
        <v>46357</v>
      </c>
      <c r="K19" s="282">
        <f t="shared" si="10"/>
        <v>46722</v>
      </c>
      <c r="L19" s="282">
        <f t="shared" si="10"/>
        <v>47088</v>
      </c>
      <c r="M19" s="282">
        <f t="shared" si="10"/>
        <v>47453</v>
      </c>
      <c r="N19" s="282">
        <f t="shared" si="10"/>
        <v>47818</v>
      </c>
      <c r="O19" s="282">
        <f t="shared" si="10"/>
        <v>48183</v>
      </c>
      <c r="P19" s="282">
        <f t="shared" si="10"/>
        <v>48549</v>
      </c>
    </row>
    <row r="20" spans="1:16" ht="15" x14ac:dyDescent="0.2">
      <c r="B20" s="235" t="s">
        <v>11</v>
      </c>
      <c r="C20" s="243">
        <v>10.1</v>
      </c>
      <c r="D20" s="288">
        <f>_xlfn.XLOOKUP(B20,'ER PRUEBA'!$B$10:$B$25,'ER PRUEBA'!$G$10:$G$25,,0)</f>
        <v>37394688757.330002</v>
      </c>
      <c r="E20" s="288">
        <v>60053379137.809998</v>
      </c>
      <c r="F20" s="288">
        <v>90224924508.630005</v>
      </c>
      <c r="G20" s="301">
        <f t="shared" ref="G20:P20" si="11">+F20*(1+G4)</f>
        <v>135337386762.94501</v>
      </c>
      <c r="H20" s="301">
        <f t="shared" si="11"/>
        <v>139397508365.83337</v>
      </c>
      <c r="I20" s="301">
        <f t="shared" si="11"/>
        <v>143579433616.80838</v>
      </c>
      <c r="J20" s="301">
        <f t="shared" si="11"/>
        <v>147886816625.31262</v>
      </c>
      <c r="K20" s="301">
        <f t="shared" si="11"/>
        <v>152323421124.07199</v>
      </c>
      <c r="L20" s="301">
        <f t="shared" si="11"/>
        <v>156893123757.79416</v>
      </c>
      <c r="M20" s="301">
        <f t="shared" si="11"/>
        <v>161599917470.52798</v>
      </c>
      <c r="N20" s="301">
        <f t="shared" si="11"/>
        <v>166447914994.64383</v>
      </c>
      <c r="O20" s="301">
        <f t="shared" si="11"/>
        <v>171441352444.48315</v>
      </c>
      <c r="P20" s="301">
        <f t="shared" si="11"/>
        <v>176584593017.81766</v>
      </c>
    </row>
    <row r="21" spans="1:16" ht="15" x14ac:dyDescent="0.2">
      <c r="B21" s="237" t="s">
        <v>12</v>
      </c>
      <c r="C21" s="248">
        <v>10.199999999999999</v>
      </c>
      <c r="D21" s="289">
        <f>-_xlfn.XLOOKUP(B21,'ER PRUEBA'!$B$10:$B$25,'ER PRUEBA'!$G$10:$G$25,,0)</f>
        <v>-29483514718.740002</v>
      </c>
      <c r="E21" s="289">
        <v>-51897171186</v>
      </c>
      <c r="F21" s="289">
        <v>-70068461015.720001</v>
      </c>
      <c r="G21" s="302">
        <f t="shared" ref="G21:P21" si="12">+G5*-G20</f>
        <v>-102856413939.83821</v>
      </c>
      <c r="H21" s="302">
        <f t="shared" si="12"/>
        <v>-104548131274.37503</v>
      </c>
      <c r="I21" s="302">
        <f t="shared" si="12"/>
        <v>-107684575212.60629</v>
      </c>
      <c r="J21" s="302">
        <f t="shared" si="12"/>
        <v>-110915112468.98447</v>
      </c>
      <c r="K21" s="302">
        <f t="shared" si="12"/>
        <v>-114242565843.05399</v>
      </c>
      <c r="L21" s="302">
        <f t="shared" si="12"/>
        <v>-117669842818.34561</v>
      </c>
      <c r="M21" s="302">
        <f t="shared" si="12"/>
        <v>-121199938102.896</v>
      </c>
      <c r="N21" s="302">
        <f t="shared" si="12"/>
        <v>-124835936245.98288</v>
      </c>
      <c r="O21" s="302">
        <f t="shared" si="12"/>
        <v>-128581014333.36237</v>
      </c>
      <c r="P21" s="302">
        <f t="shared" si="12"/>
        <v>-132438444763.36325</v>
      </c>
    </row>
    <row r="22" spans="1:16" ht="15" x14ac:dyDescent="0.2">
      <c r="B22" s="251" t="s">
        <v>13</v>
      </c>
      <c r="C22" s="252"/>
      <c r="D22" s="290">
        <f t="shared" ref="D22" si="13">+D20+D21</f>
        <v>7911174038.5900002</v>
      </c>
      <c r="E22" s="290">
        <f>+E20+E21</f>
        <v>8156207951.8099976</v>
      </c>
      <c r="F22" s="290">
        <f>+F20+F21</f>
        <v>20156463492.910004</v>
      </c>
      <c r="G22" s="253">
        <f t="shared" ref="G22:P22" si="14">+G20+G21</f>
        <v>32480972823.106796</v>
      </c>
      <c r="H22" s="253">
        <f t="shared" si="14"/>
        <v>34849377091.458344</v>
      </c>
      <c r="I22" s="253">
        <f t="shared" si="14"/>
        <v>35894858404.202087</v>
      </c>
      <c r="J22" s="253">
        <f t="shared" si="14"/>
        <v>36971704156.328156</v>
      </c>
      <c r="K22" s="253">
        <f t="shared" si="14"/>
        <v>38080855281.018005</v>
      </c>
      <c r="L22" s="253">
        <f t="shared" si="14"/>
        <v>39223280939.448547</v>
      </c>
      <c r="M22" s="253">
        <f t="shared" si="14"/>
        <v>40399979367.631989</v>
      </c>
      <c r="N22" s="253">
        <f t="shared" si="14"/>
        <v>41611978748.66095</v>
      </c>
      <c r="O22" s="253">
        <f t="shared" si="14"/>
        <v>42860338111.120789</v>
      </c>
      <c r="P22" s="253">
        <f t="shared" si="14"/>
        <v>44146148254.454407</v>
      </c>
    </row>
    <row r="23" spans="1:16" ht="15" x14ac:dyDescent="0.2">
      <c r="B23" s="237" t="s">
        <v>15</v>
      </c>
      <c r="C23" s="248">
        <v>11.1</v>
      </c>
      <c r="D23" s="291">
        <f>_xlfn.XLOOKUP(B23,'ER PRUEBA'!$B$10:$B$25,'ER PRUEBA'!$G$10:$G$25,,0)</f>
        <v>542085355.61000001</v>
      </c>
      <c r="E23" s="291">
        <v>621747595</v>
      </c>
      <c r="F23" s="291">
        <v>411173278.94</v>
      </c>
      <c r="G23" s="309">
        <f t="shared" ref="G23:P23" si="15">+G6*G20</f>
        <v>676686933.81472504</v>
      </c>
      <c r="H23" s="309">
        <f t="shared" si="15"/>
        <v>696987541.82916689</v>
      </c>
      <c r="I23" s="309">
        <f t="shared" si="15"/>
        <v>717897168.08404195</v>
      </c>
      <c r="J23" s="309">
        <f t="shared" si="15"/>
        <v>739434083.12656307</v>
      </c>
      <c r="K23" s="309">
        <f t="shared" si="15"/>
        <v>761617105.62036002</v>
      </c>
      <c r="L23" s="309">
        <f t="shared" si="15"/>
        <v>784465618.78897083</v>
      </c>
      <c r="M23" s="309">
        <f t="shared" si="15"/>
        <v>807999587.35263991</v>
      </c>
      <c r="N23" s="309">
        <f t="shared" si="15"/>
        <v>832239574.97321916</v>
      </c>
      <c r="O23" s="309">
        <f t="shared" si="15"/>
        <v>857206762.2224158</v>
      </c>
      <c r="P23" s="309">
        <f t="shared" si="15"/>
        <v>882922965.08908832</v>
      </c>
    </row>
    <row r="24" spans="1:16" ht="15" x14ac:dyDescent="0.2">
      <c r="B24" s="237" t="s">
        <v>16</v>
      </c>
      <c r="C24" s="248">
        <v>10.199999999999999</v>
      </c>
      <c r="D24" s="291">
        <f>-_xlfn.XLOOKUP(B24,'ER PRUEBA'!$B$10:$B$25,'ER PRUEBA'!$G$10:$G$25,,0)</f>
        <v>-1412465074.45</v>
      </c>
      <c r="E24" s="291">
        <v>-1949592871.48</v>
      </c>
      <c r="F24" s="291">
        <v>-2930296270.71</v>
      </c>
      <c r="G24" s="309">
        <f t="shared" ref="G24:P24" si="16">+-G7*G20</f>
        <v>-4060121602.88835</v>
      </c>
      <c r="H24" s="309">
        <f t="shared" si="16"/>
        <v>-4181925250.9750009</v>
      </c>
      <c r="I24" s="309">
        <f t="shared" si="16"/>
        <v>-4307383008.5042515</v>
      </c>
      <c r="J24" s="309">
        <f t="shared" si="16"/>
        <v>-4436604498.7593784</v>
      </c>
      <c r="K24" s="309">
        <f t="shared" si="16"/>
        <v>-4569702633.7221594</v>
      </c>
      <c r="L24" s="309">
        <f t="shared" si="16"/>
        <v>-4706793712.7338247</v>
      </c>
      <c r="M24" s="309">
        <f t="shared" si="16"/>
        <v>-4847997524.115839</v>
      </c>
      <c r="N24" s="309">
        <f t="shared" si="16"/>
        <v>-4993437449.8393145</v>
      </c>
      <c r="O24" s="309">
        <f t="shared" si="16"/>
        <v>-5143240573.3344946</v>
      </c>
      <c r="P24" s="309">
        <f t="shared" si="16"/>
        <v>-5297537790.5345297</v>
      </c>
    </row>
    <row r="25" spans="1:16" ht="15" x14ac:dyDescent="0.2">
      <c r="B25" s="237" t="s">
        <v>17</v>
      </c>
      <c r="C25" s="248">
        <v>10.199999999999999</v>
      </c>
      <c r="D25" s="291">
        <f>-_xlfn.XLOOKUP(B25,'ER PRUEBA'!$B$10:$B$25,'ER PRUEBA'!$G$10:$G$25,,0)</f>
        <v>-1416103261.5699999</v>
      </c>
      <c r="E25" s="291">
        <v>-1646078488.9200001</v>
      </c>
      <c r="F25" s="291">
        <v>-1976551926.4200001</v>
      </c>
      <c r="G25" s="309">
        <f t="shared" ref="G25:P25" si="17">+-G8*G20</f>
        <v>-2706747735.2589002</v>
      </c>
      <c r="H25" s="309">
        <f t="shared" si="17"/>
        <v>-2787950167.3166676</v>
      </c>
      <c r="I25" s="309">
        <f t="shared" si="17"/>
        <v>-2871588672.3361678</v>
      </c>
      <c r="J25" s="309">
        <f t="shared" si="17"/>
        <v>-2957736332.5062523</v>
      </c>
      <c r="K25" s="309">
        <f t="shared" si="17"/>
        <v>-3046468422.4814401</v>
      </c>
      <c r="L25" s="309">
        <f t="shared" si="17"/>
        <v>-3137862475.1558833</v>
      </c>
      <c r="M25" s="309">
        <f t="shared" si="17"/>
        <v>-3231998349.4105597</v>
      </c>
      <c r="N25" s="309">
        <f t="shared" si="17"/>
        <v>-3328958299.8928766</v>
      </c>
      <c r="O25" s="309">
        <f t="shared" si="17"/>
        <v>-3428827048.8896632</v>
      </c>
      <c r="P25" s="309">
        <f t="shared" si="17"/>
        <v>-3531691860.3563533</v>
      </c>
    </row>
    <row r="26" spans="1:16" ht="15" x14ac:dyDescent="0.2">
      <c r="B26" s="237" t="s">
        <v>18</v>
      </c>
      <c r="C26" s="248">
        <v>11.3</v>
      </c>
      <c r="D26" s="291">
        <f>-_xlfn.XLOOKUP(B26,'ER PRUEBA'!$B$10:$B$25,'ER PRUEBA'!$G$10:$G$25,,0)</f>
        <v>-1460476548.73</v>
      </c>
      <c r="E26" s="291">
        <v>-829110027.19000006</v>
      </c>
      <c r="F26" s="291">
        <v>-701702582.53999996</v>
      </c>
      <c r="G26" s="309"/>
      <c r="H26" s="309"/>
      <c r="I26" s="309"/>
      <c r="J26" s="309"/>
      <c r="K26" s="309"/>
      <c r="L26" s="309"/>
      <c r="M26" s="309"/>
      <c r="N26" s="309"/>
      <c r="O26" s="309"/>
      <c r="P26" s="309"/>
    </row>
    <row r="27" spans="1:16" ht="15" x14ac:dyDescent="0.2">
      <c r="B27" s="237" t="s">
        <v>19</v>
      </c>
      <c r="C27" s="248">
        <v>11.2</v>
      </c>
      <c r="D27" s="291">
        <f>-_xlfn.XLOOKUP(B27,'ER PRUEBA'!$B$10:$B$25,'ER PRUEBA'!$G$10:$G$25,,0)</f>
        <v>-3630738148.9899998</v>
      </c>
      <c r="E27" s="291">
        <v>-303311459.56</v>
      </c>
      <c r="F27" s="291">
        <v>-629843016.67999995</v>
      </c>
      <c r="G27" s="309">
        <f t="shared" ref="G27:P27" si="18">+-G10*G20</f>
        <v>-947361707.34061503</v>
      </c>
      <c r="H27" s="309">
        <f t="shared" si="18"/>
        <v>-975782558.56083369</v>
      </c>
      <c r="I27" s="309">
        <f t="shared" si="18"/>
        <v>-1005056035.3176587</v>
      </c>
      <c r="J27" s="309">
        <f t="shared" si="18"/>
        <v>-1035207716.3771883</v>
      </c>
      <c r="K27" s="309">
        <f t="shared" si="18"/>
        <v>-1066263947.8685039</v>
      </c>
      <c r="L27" s="309">
        <f t="shared" si="18"/>
        <v>-1098251866.3045592</v>
      </c>
      <c r="M27" s="309">
        <f t="shared" si="18"/>
        <v>-1131199422.2936959</v>
      </c>
      <c r="N27" s="309">
        <f t="shared" si="18"/>
        <v>-1165135404.9625068</v>
      </c>
      <c r="O27" s="309">
        <f t="shared" si="18"/>
        <v>-1200089467.111382</v>
      </c>
      <c r="P27" s="309">
        <f t="shared" si="18"/>
        <v>-1236092151.1247237</v>
      </c>
    </row>
    <row r="28" spans="1:16" ht="15" x14ac:dyDescent="0.2">
      <c r="B28" s="255" t="s">
        <v>20</v>
      </c>
      <c r="C28" s="256"/>
      <c r="D28" s="290">
        <f t="shared" ref="D28" si="19">+D22+SUM(D23:D27)</f>
        <v>533476360.46000099</v>
      </c>
      <c r="E28" s="290">
        <f>+E22+SUM(E23:E27)</f>
        <v>4049862699.6599975</v>
      </c>
      <c r="F28" s="290">
        <f>+F22+SUM(F23:F27)</f>
        <v>14329242975.500004</v>
      </c>
      <c r="G28" s="253">
        <f t="shared" ref="G28:P28" si="20">+G22+SUM(G23:G27)</f>
        <v>25443428711.433655</v>
      </c>
      <c r="H28" s="253">
        <f t="shared" si="20"/>
        <v>27600706656.435009</v>
      </c>
      <c r="I28" s="253">
        <f t="shared" si="20"/>
        <v>28428727856.128052</v>
      </c>
      <c r="J28" s="253">
        <f t="shared" si="20"/>
        <v>29281589691.811897</v>
      </c>
      <c r="K28" s="253">
        <f t="shared" si="20"/>
        <v>30160037382.566261</v>
      </c>
      <c r="L28" s="253">
        <f t="shared" si="20"/>
        <v>31064838504.043251</v>
      </c>
      <c r="M28" s="253">
        <f t="shared" si="20"/>
        <v>31996783659.164536</v>
      </c>
      <c r="N28" s="253">
        <f t="shared" si="20"/>
        <v>32956687168.939468</v>
      </c>
      <c r="O28" s="253">
        <f t="shared" si="20"/>
        <v>33945387784.007668</v>
      </c>
      <c r="P28" s="253">
        <f t="shared" si="20"/>
        <v>34963749417.527893</v>
      </c>
    </row>
    <row r="29" spans="1:16" ht="15" x14ac:dyDescent="0.2">
      <c r="B29" s="239" t="s">
        <v>21</v>
      </c>
      <c r="C29" s="243">
        <v>7</v>
      </c>
      <c r="D29" s="289">
        <f>-_xlfn.XLOOKUP(B29,'ER PRUEBA'!$B$10:$B$25,'ER PRUEBA'!$G$10:$G$25,,0)</f>
        <v>-1204331000</v>
      </c>
      <c r="E29" s="289">
        <v>-1400982999.9453199</v>
      </c>
      <c r="F29" s="289">
        <v>-5079950517.1599998</v>
      </c>
      <c r="G29" s="309">
        <f t="shared" ref="G29:P29" si="21">+G28*-G15</f>
        <v>-8905200049.0017796</v>
      </c>
      <c r="H29" s="309">
        <f t="shared" si="21"/>
        <v>-9660247329.7522526</v>
      </c>
      <c r="I29" s="309">
        <f t="shared" si="21"/>
        <v>-9950054749.6448174</v>
      </c>
      <c r="J29" s="309">
        <f t="shared" si="21"/>
        <v>-10248556392.134163</v>
      </c>
      <c r="K29" s="309">
        <f t="shared" si="21"/>
        <v>-10556013083.898191</v>
      </c>
      <c r="L29" s="309">
        <f t="shared" si="21"/>
        <v>-10872693476.415136</v>
      </c>
      <c r="M29" s="309">
        <f t="shared" si="21"/>
        <v>-11198874280.707586</v>
      </c>
      <c r="N29" s="309">
        <f t="shared" si="21"/>
        <v>-11534840509.128813</v>
      </c>
      <c r="O29" s="309">
        <f t="shared" si="21"/>
        <v>-11880885724.402683</v>
      </c>
      <c r="P29" s="309">
        <f t="shared" si="21"/>
        <v>-12237312296.134762</v>
      </c>
    </row>
    <row r="30" spans="1:16" ht="30" x14ac:dyDescent="0.2">
      <c r="B30" s="255" t="s">
        <v>22</v>
      </c>
      <c r="C30" s="256"/>
      <c r="D30" s="290">
        <f t="shared" ref="D30" si="22">+D28+D29</f>
        <v>-670854639.53999901</v>
      </c>
      <c r="E30" s="290">
        <f>+E28+E29</f>
        <v>2648879699.7146778</v>
      </c>
      <c r="F30" s="290">
        <f>+F28+F29</f>
        <v>9249292458.340004</v>
      </c>
      <c r="G30" s="253">
        <f t="shared" ref="G30:P30" si="23">+G28+G29</f>
        <v>16538228662.431875</v>
      </c>
      <c r="H30" s="253">
        <f t="shared" si="23"/>
        <v>17940459326.682755</v>
      </c>
      <c r="I30" s="253">
        <f t="shared" si="23"/>
        <v>18478673106.483234</v>
      </c>
      <c r="J30" s="253">
        <f t="shared" si="23"/>
        <v>19033033299.677734</v>
      </c>
      <c r="K30" s="253">
        <f t="shared" si="23"/>
        <v>19604024298.668068</v>
      </c>
      <c r="L30" s="253">
        <f t="shared" si="23"/>
        <v>20192145027.628113</v>
      </c>
      <c r="M30" s="253">
        <f t="shared" si="23"/>
        <v>20797909378.456947</v>
      </c>
      <c r="N30" s="253">
        <f t="shared" si="23"/>
        <v>21421846659.810654</v>
      </c>
      <c r="O30" s="253">
        <f t="shared" si="23"/>
        <v>22064502059.604984</v>
      </c>
      <c r="P30" s="253">
        <f t="shared" si="23"/>
        <v>22726437121.393131</v>
      </c>
    </row>
    <row r="31" spans="1:16" ht="15" x14ac:dyDescent="0.2">
      <c r="B31" s="238" t="s">
        <v>23</v>
      </c>
      <c r="C31" s="248"/>
      <c r="D31" s="292">
        <f>_xlfn.XLOOKUP(B31,'ER PRUEBA'!$B$10:$B$25,'ER PRUEBA'!$G$10:$G$25,,0)</f>
        <v>0</v>
      </c>
      <c r="E31" s="292"/>
      <c r="F31" s="292"/>
      <c r="G31" s="249"/>
      <c r="H31" s="249"/>
      <c r="I31" s="249"/>
      <c r="J31" s="249"/>
      <c r="K31" s="249"/>
      <c r="L31" s="249"/>
      <c r="M31" s="249"/>
      <c r="N31" s="249"/>
      <c r="O31" s="249"/>
      <c r="P31" s="249"/>
    </row>
    <row r="32" spans="1:16" ht="15" x14ac:dyDescent="0.2">
      <c r="B32" s="237" t="s">
        <v>24</v>
      </c>
      <c r="C32" s="248">
        <v>11.4</v>
      </c>
      <c r="D32" s="291">
        <f>_xlfn.XLOOKUP(B32,'ER PRUEBA'!$B$10:$B$25,'ER PRUEBA'!$G$10:$G$25,,0)</f>
        <v>708670310</v>
      </c>
      <c r="E32" s="291">
        <v>496089060</v>
      </c>
      <c r="F32" s="291">
        <v>1481685529</v>
      </c>
      <c r="G32" s="309">
        <f t="shared" ref="G32:P33" si="24">+F32</f>
        <v>1481685529</v>
      </c>
      <c r="H32" s="309">
        <f t="shared" si="24"/>
        <v>1481685529</v>
      </c>
      <c r="I32" s="309">
        <f t="shared" si="24"/>
        <v>1481685529</v>
      </c>
      <c r="J32" s="309">
        <f t="shared" si="24"/>
        <v>1481685529</v>
      </c>
      <c r="K32" s="309">
        <f t="shared" si="24"/>
        <v>1481685529</v>
      </c>
      <c r="L32" s="309">
        <f t="shared" si="24"/>
        <v>1481685529</v>
      </c>
      <c r="M32" s="309">
        <f t="shared" si="24"/>
        <v>1481685529</v>
      </c>
      <c r="N32" s="309">
        <f t="shared" si="24"/>
        <v>1481685529</v>
      </c>
      <c r="O32" s="309">
        <f t="shared" si="24"/>
        <v>1481685529</v>
      </c>
      <c r="P32" s="309">
        <f t="shared" si="24"/>
        <v>1481685529</v>
      </c>
    </row>
    <row r="33" spans="1:16" ht="15" x14ac:dyDescent="0.2">
      <c r="B33" s="237" t="s">
        <v>25</v>
      </c>
      <c r="C33" s="248"/>
      <c r="D33" s="291">
        <f>-_xlfn.XLOOKUP(B33,'ER PRUEBA'!$B$10:$B$25,'ER PRUEBA'!$G$10:$G$25,,0)</f>
        <v>-667070013</v>
      </c>
      <c r="E33" s="291">
        <v>-420043152</v>
      </c>
      <c r="F33" s="293">
        <v>0</v>
      </c>
      <c r="G33" s="309">
        <f t="shared" si="24"/>
        <v>0</v>
      </c>
      <c r="H33" s="309">
        <f t="shared" si="24"/>
        <v>0</v>
      </c>
      <c r="I33" s="309">
        <f t="shared" si="24"/>
        <v>0</v>
      </c>
      <c r="J33" s="309">
        <f t="shared" si="24"/>
        <v>0</v>
      </c>
      <c r="K33" s="309">
        <f t="shared" si="24"/>
        <v>0</v>
      </c>
      <c r="L33" s="309">
        <f t="shared" si="24"/>
        <v>0</v>
      </c>
      <c r="M33" s="309">
        <f t="shared" si="24"/>
        <v>0</v>
      </c>
      <c r="N33" s="309">
        <f t="shared" si="24"/>
        <v>0</v>
      </c>
      <c r="O33" s="309">
        <f t="shared" si="24"/>
        <v>0</v>
      </c>
      <c r="P33" s="309">
        <f t="shared" si="24"/>
        <v>0</v>
      </c>
    </row>
    <row r="34" spans="1:16" ht="15" x14ac:dyDescent="0.25">
      <c r="B34" s="251" t="s">
        <v>26</v>
      </c>
      <c r="C34" s="252"/>
      <c r="D34" s="294">
        <f t="shared" ref="D34" si="25">+D32+D33</f>
        <v>41600297</v>
      </c>
      <c r="E34" s="294">
        <f>+E32+E33</f>
        <v>76045908</v>
      </c>
      <c r="F34" s="294">
        <f>+F32+F33</f>
        <v>1481685529</v>
      </c>
      <c r="G34" s="257">
        <f t="shared" ref="G34:P34" si="26">+G32+G33</f>
        <v>1481685529</v>
      </c>
      <c r="H34" s="257">
        <f t="shared" si="26"/>
        <v>1481685529</v>
      </c>
      <c r="I34" s="257">
        <f t="shared" si="26"/>
        <v>1481685529</v>
      </c>
      <c r="J34" s="257">
        <f t="shared" si="26"/>
        <v>1481685529</v>
      </c>
      <c r="K34" s="257">
        <f t="shared" si="26"/>
        <v>1481685529</v>
      </c>
      <c r="L34" s="257">
        <f t="shared" si="26"/>
        <v>1481685529</v>
      </c>
      <c r="M34" s="257">
        <f t="shared" si="26"/>
        <v>1481685529</v>
      </c>
      <c r="N34" s="257">
        <f t="shared" si="26"/>
        <v>1481685529</v>
      </c>
      <c r="O34" s="257">
        <f t="shared" si="26"/>
        <v>1481685529</v>
      </c>
      <c r="P34" s="257">
        <f t="shared" si="26"/>
        <v>1481685529</v>
      </c>
    </row>
    <row r="35" spans="1:16" ht="15" x14ac:dyDescent="0.2">
      <c r="B35" s="255" t="s">
        <v>27</v>
      </c>
      <c r="C35" s="256"/>
      <c r="D35" s="295">
        <f t="shared" ref="D35" si="27">+D30+D34</f>
        <v>-629254342.53999901</v>
      </c>
      <c r="E35" s="295">
        <f>+E30+E34</f>
        <v>2724925607.7146778</v>
      </c>
      <c r="F35" s="295">
        <f>+F30+F34</f>
        <v>10730977987.340004</v>
      </c>
      <c r="G35" s="254">
        <f t="shared" ref="G35:P35" si="28">+G30+G34</f>
        <v>18019914191.431877</v>
      </c>
      <c r="H35" s="254">
        <f t="shared" si="28"/>
        <v>19422144855.682755</v>
      </c>
      <c r="I35" s="254">
        <f t="shared" si="28"/>
        <v>19960358635.483234</v>
      </c>
      <c r="J35" s="254">
        <f t="shared" si="28"/>
        <v>20514718828.677734</v>
      </c>
      <c r="K35" s="254">
        <f t="shared" si="28"/>
        <v>21085709827.668068</v>
      </c>
      <c r="L35" s="254">
        <f t="shared" si="28"/>
        <v>21673830556.628113</v>
      </c>
      <c r="M35" s="254">
        <f t="shared" si="28"/>
        <v>22279594907.456947</v>
      </c>
      <c r="N35" s="254">
        <f t="shared" si="28"/>
        <v>22903532188.810654</v>
      </c>
      <c r="O35" s="254">
        <f t="shared" si="28"/>
        <v>23546187588.604984</v>
      </c>
      <c r="P35" s="254">
        <f t="shared" si="28"/>
        <v>24208122650.393131</v>
      </c>
    </row>
    <row r="36" spans="1:16" ht="15" x14ac:dyDescent="0.25">
      <c r="B36" s="241"/>
      <c r="C36" s="230"/>
      <c r="D36" s="230"/>
      <c r="E36" s="231"/>
      <c r="F36" s="231"/>
      <c r="G36" s="231"/>
      <c r="H36" s="231"/>
      <c r="I36" s="231"/>
      <c r="J36" s="231"/>
      <c r="K36" s="231"/>
      <c r="L36" s="231"/>
      <c r="M36" s="231"/>
      <c r="N36" s="231"/>
      <c r="O36" s="231"/>
      <c r="P36" s="231"/>
    </row>
    <row r="37" spans="1:16" ht="15" x14ac:dyDescent="0.2">
      <c r="B37" s="242"/>
      <c r="C37" s="243"/>
      <c r="D37" s="243"/>
      <c r="E37" s="236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</row>
    <row r="38" spans="1:16" ht="15" x14ac:dyDescent="0.25">
      <c r="B38" s="241"/>
      <c r="C38" s="230"/>
      <c r="D38" s="230"/>
      <c r="E38" s="231"/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</row>
    <row r="39" spans="1:16" ht="15" x14ac:dyDescent="0.25">
      <c r="B39" s="241"/>
      <c r="C39" s="230"/>
      <c r="D39" s="230"/>
      <c r="E39" s="231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231"/>
    </row>
    <row r="40" spans="1:16" ht="15" x14ac:dyDescent="0.2">
      <c r="A40" s="1" t="s">
        <v>147</v>
      </c>
      <c r="B40" s="233" t="s">
        <v>124</v>
      </c>
      <c r="C40" s="267" t="s">
        <v>5</v>
      </c>
      <c r="D40" s="282">
        <f>+EDATE(E40,-12)</f>
        <v>44166</v>
      </c>
      <c r="E40" s="282">
        <f>+EDATE(F40,-12)</f>
        <v>44531</v>
      </c>
      <c r="F40" s="282">
        <f>+F19</f>
        <v>44896</v>
      </c>
      <c r="G40" s="282">
        <f t="shared" ref="G40:P40" si="29">+G19</f>
        <v>45261</v>
      </c>
      <c r="H40" s="282">
        <f t="shared" si="29"/>
        <v>45627</v>
      </c>
      <c r="I40" s="282">
        <f t="shared" si="29"/>
        <v>45992</v>
      </c>
      <c r="J40" s="282">
        <f t="shared" si="29"/>
        <v>46357</v>
      </c>
      <c r="K40" s="282">
        <f t="shared" si="29"/>
        <v>46722</v>
      </c>
      <c r="L40" s="282">
        <f t="shared" si="29"/>
        <v>47088</v>
      </c>
      <c r="M40" s="282">
        <f t="shared" si="29"/>
        <v>47453</v>
      </c>
      <c r="N40" s="282">
        <f t="shared" si="29"/>
        <v>47818</v>
      </c>
      <c r="O40" s="282">
        <f t="shared" si="29"/>
        <v>48183</v>
      </c>
      <c r="P40" s="282">
        <f t="shared" si="29"/>
        <v>48549</v>
      </c>
    </row>
    <row r="41" spans="1:16" ht="15" x14ac:dyDescent="0.2">
      <c r="B41" s="246" t="s">
        <v>41</v>
      </c>
      <c r="C41" s="243"/>
      <c r="D41" s="66"/>
      <c r="E41" s="66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</row>
    <row r="42" spans="1:16" ht="15" x14ac:dyDescent="0.2">
      <c r="B42" s="246" t="s">
        <v>42</v>
      </c>
      <c r="C42" s="243"/>
      <c r="D42" s="66"/>
      <c r="E42" s="66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</row>
    <row r="43" spans="1:16" ht="15" x14ac:dyDescent="0.2">
      <c r="B43" s="313" t="s">
        <v>161</v>
      </c>
      <c r="C43" s="314"/>
      <c r="D43" s="315"/>
      <c r="E43" s="315">
        <f t="shared" ref="E43:F43" ca="1" si="30">+IF(E91&lt;0,-E91,0)</f>
        <v>1.649993896484375</v>
      </c>
      <c r="F43" s="315">
        <f t="shared" ca="1" si="30"/>
        <v>0.62714385986328125</v>
      </c>
      <c r="G43" s="315">
        <f ca="1">+IF(G91&lt;0,-G91,0)</f>
        <v>32984987442.221882</v>
      </c>
      <c r="H43" s="315">
        <f t="shared" ref="H43:P43" ca="1" si="31">+IF(H91&lt;0,-H91,0)</f>
        <v>52407132297.904633</v>
      </c>
      <c r="I43" s="315">
        <f t="shared" ca="1" si="31"/>
        <v>72367490933.387863</v>
      </c>
      <c r="J43" s="315">
        <f t="shared" ca="1" si="31"/>
        <v>92882209762.065598</v>
      </c>
      <c r="K43" s="315">
        <f t="shared" ca="1" si="31"/>
        <v>113967919589.73367</v>
      </c>
      <c r="L43" s="315">
        <f t="shared" ca="1" si="31"/>
        <v>135641750146.36179</v>
      </c>
      <c r="M43" s="315">
        <f t="shared" ca="1" si="31"/>
        <v>157921345053.81873</v>
      </c>
      <c r="N43" s="315">
        <f t="shared" ca="1" si="31"/>
        <v>180824877242.62939</v>
      </c>
      <c r="O43" s="315">
        <f t="shared" ca="1" si="31"/>
        <v>204371064831.23438</v>
      </c>
      <c r="P43" s="315">
        <f t="shared" ca="1" si="31"/>
        <v>228579187481.6275</v>
      </c>
    </row>
    <row r="44" spans="1:16" ht="15" x14ac:dyDescent="0.2">
      <c r="A44" s="277" t="s">
        <v>92</v>
      </c>
      <c r="B44" s="245" t="s">
        <v>43</v>
      </c>
      <c r="C44" s="243">
        <v>1.1000000000000001</v>
      </c>
      <c r="D44" s="284">
        <f>_xlfn.XLOOKUP(B44,'ESF PRUEBA'!$B$9:$B$48,'ESF PRUEBA'!$F$9:$F$48,,0)</f>
        <v>437372722.17000002</v>
      </c>
      <c r="E44" s="284">
        <v>755101448.57000005</v>
      </c>
      <c r="F44" s="285">
        <v>2376856670.0599999</v>
      </c>
      <c r="G44" s="285"/>
      <c r="H44" s="285"/>
      <c r="I44" s="285"/>
      <c r="J44" s="285"/>
      <c r="K44" s="285"/>
      <c r="L44" s="285"/>
      <c r="M44" s="285"/>
      <c r="N44" s="285"/>
      <c r="O44" s="285"/>
      <c r="P44" s="285"/>
    </row>
    <row r="45" spans="1:16" ht="15" x14ac:dyDescent="0.2">
      <c r="A45" s="259" t="s">
        <v>93</v>
      </c>
      <c r="B45" s="245" t="s">
        <v>44</v>
      </c>
      <c r="C45" s="243">
        <v>1.2</v>
      </c>
      <c r="D45" s="284">
        <f>_xlfn.XLOOKUP(B45,'ESF PRUEBA'!$B$9:$B$48,'ESF PRUEBA'!$F$9:$F$48,,0)</f>
        <v>1193154283.24</v>
      </c>
      <c r="E45" s="284">
        <v>1727880423.0699999</v>
      </c>
      <c r="F45" s="285">
        <v>2594834404.1300001</v>
      </c>
      <c r="G45" s="285"/>
      <c r="H45" s="285"/>
      <c r="I45" s="285"/>
      <c r="J45" s="285"/>
      <c r="K45" s="285"/>
      <c r="L45" s="285"/>
      <c r="M45" s="285"/>
      <c r="N45" s="285"/>
      <c r="O45" s="285"/>
      <c r="P45" s="285"/>
    </row>
    <row r="46" spans="1:16" ht="15" x14ac:dyDescent="0.2">
      <c r="A46" s="259" t="s">
        <v>93</v>
      </c>
      <c r="B46" s="268" t="s">
        <v>45</v>
      </c>
      <c r="C46" s="243">
        <v>1.3</v>
      </c>
      <c r="D46" s="284">
        <f>_xlfn.XLOOKUP(B46,'ESF PRUEBA'!$B$9:$B$48,'ESF PRUEBA'!$F$9:$F$48,,0)</f>
        <v>127925904</v>
      </c>
      <c r="E46" s="284">
        <v>21725046</v>
      </c>
      <c r="F46" s="285">
        <v>0</v>
      </c>
      <c r="G46" s="285"/>
      <c r="H46" s="285"/>
      <c r="I46" s="285"/>
      <c r="J46" s="285"/>
      <c r="K46" s="285"/>
      <c r="L46" s="285"/>
      <c r="M46" s="285"/>
      <c r="N46" s="285"/>
      <c r="O46" s="285"/>
      <c r="P46" s="285"/>
    </row>
    <row r="47" spans="1:16" ht="15" x14ac:dyDescent="0.2">
      <c r="A47" s="277" t="s">
        <v>92</v>
      </c>
      <c r="B47" s="245" t="s">
        <v>46</v>
      </c>
      <c r="C47" s="243">
        <v>2</v>
      </c>
      <c r="D47" s="284">
        <f>_xlfn.XLOOKUP(B47,'ESF PRUEBA'!$B$9:$B$48,'ESF PRUEBA'!$F$9:$F$48,,0)</f>
        <v>5325026031.3999996</v>
      </c>
      <c r="E47" s="284">
        <v>6439385556.9499998</v>
      </c>
      <c r="F47" s="285">
        <v>7901915097.3000002</v>
      </c>
      <c r="G47" s="285"/>
      <c r="H47" s="285"/>
      <c r="I47" s="285"/>
      <c r="J47" s="285"/>
      <c r="K47" s="285"/>
      <c r="L47" s="285"/>
      <c r="M47" s="285"/>
      <c r="N47" s="285"/>
      <c r="O47" s="285"/>
      <c r="P47" s="285"/>
    </row>
    <row r="48" spans="1:16" ht="15" x14ac:dyDescent="0.2">
      <c r="A48" s="277" t="s">
        <v>92</v>
      </c>
      <c r="B48" s="245" t="s">
        <v>47</v>
      </c>
      <c r="C48" s="243">
        <v>3</v>
      </c>
      <c r="D48" s="284">
        <f>_xlfn.XLOOKUP(B48,'ESF PRUEBA'!$B$9:$B$48,'ESF PRUEBA'!$F$9:$F$48,,0)</f>
        <v>10488725580.950001</v>
      </c>
      <c r="E48" s="284">
        <v>10564508473.16</v>
      </c>
      <c r="F48" s="285">
        <v>10866193153.99</v>
      </c>
      <c r="G48" s="285"/>
      <c r="H48" s="285"/>
      <c r="I48" s="285"/>
      <c r="J48" s="285"/>
      <c r="K48" s="285"/>
      <c r="L48" s="285"/>
      <c r="M48" s="285"/>
      <c r="N48" s="285"/>
      <c r="O48" s="285"/>
      <c r="P48" s="285"/>
    </row>
    <row r="49" spans="1:16" ht="15" x14ac:dyDescent="0.2">
      <c r="A49" s="277" t="s">
        <v>92</v>
      </c>
      <c r="B49" s="245" t="s">
        <v>48</v>
      </c>
      <c r="C49" s="243">
        <v>7.1</v>
      </c>
      <c r="D49" s="284">
        <f>_xlfn.XLOOKUP(B49,'ESF PRUEBA'!$B$9:$B$48,'ESF PRUEBA'!$F$9:$F$48,,0)</f>
        <v>1325799000</v>
      </c>
      <c r="E49" s="284">
        <v>1201820000</v>
      </c>
      <c r="F49" s="285">
        <v>1569994000</v>
      </c>
      <c r="G49" s="285"/>
      <c r="H49" s="285"/>
      <c r="I49" s="285"/>
      <c r="J49" s="285"/>
      <c r="K49" s="285"/>
      <c r="L49" s="285"/>
      <c r="M49" s="285"/>
      <c r="N49" s="285"/>
      <c r="O49" s="285"/>
      <c r="P49" s="285"/>
    </row>
    <row r="50" spans="1:16" ht="15" x14ac:dyDescent="0.2">
      <c r="B50" s="269" t="s">
        <v>49</v>
      </c>
      <c r="C50" s="256"/>
      <c r="D50" s="270">
        <f>+SUM(D43:D49)</f>
        <v>18898003521.760002</v>
      </c>
      <c r="E50" s="270">
        <f ca="1">+SUM(E43:E49)</f>
        <v>20710420949.399994</v>
      </c>
      <c r="F50" s="270">
        <f t="shared" ref="F50:P50" ca="1" si="32">+SUM(F43:F49)</f>
        <v>25309793326.107147</v>
      </c>
      <c r="G50" s="270">
        <f t="shared" ca="1" si="32"/>
        <v>32984987442.221882</v>
      </c>
      <c r="H50" s="270">
        <f t="shared" ca="1" si="32"/>
        <v>52407132297.904633</v>
      </c>
      <c r="I50" s="270">
        <f t="shared" ca="1" si="32"/>
        <v>72367490933.387863</v>
      </c>
      <c r="J50" s="270">
        <f t="shared" ca="1" si="32"/>
        <v>92882209762.065598</v>
      </c>
      <c r="K50" s="270">
        <f t="shared" ca="1" si="32"/>
        <v>113967919589.73367</v>
      </c>
      <c r="L50" s="270">
        <f t="shared" ca="1" si="32"/>
        <v>135641750146.36179</v>
      </c>
      <c r="M50" s="270">
        <f t="shared" ca="1" si="32"/>
        <v>157921345053.81873</v>
      </c>
      <c r="N50" s="270">
        <f t="shared" ca="1" si="32"/>
        <v>180824877242.62939</v>
      </c>
      <c r="O50" s="270">
        <f t="shared" ca="1" si="32"/>
        <v>204371064831.23438</v>
      </c>
      <c r="P50" s="270">
        <f t="shared" ca="1" si="32"/>
        <v>228579187481.6275</v>
      </c>
    </row>
    <row r="51" spans="1:16" ht="15" x14ac:dyDescent="0.2">
      <c r="B51" s="245" t="s">
        <v>14</v>
      </c>
      <c r="C51" s="243"/>
      <c r="D51" s="271"/>
      <c r="E51" s="271"/>
      <c r="F51" s="272"/>
      <c r="G51" s="272"/>
      <c r="H51" s="272"/>
      <c r="I51" s="272"/>
      <c r="J51" s="272"/>
      <c r="K51" s="272"/>
      <c r="L51" s="272"/>
      <c r="M51" s="272"/>
      <c r="N51" s="272"/>
      <c r="O51" s="272"/>
      <c r="P51" s="272"/>
    </row>
    <row r="52" spans="1:16" ht="15" x14ac:dyDescent="0.2">
      <c r="B52" s="246" t="s">
        <v>50</v>
      </c>
      <c r="C52" s="243"/>
      <c r="D52" s="271"/>
      <c r="E52" s="271"/>
      <c r="F52" s="272"/>
      <c r="G52" s="272"/>
      <c r="H52" s="272"/>
      <c r="I52" s="272"/>
      <c r="J52" s="272"/>
      <c r="K52" s="272"/>
      <c r="L52" s="272"/>
      <c r="M52" s="272"/>
      <c r="N52" s="272"/>
      <c r="O52" s="272"/>
      <c r="P52" s="272"/>
    </row>
    <row r="53" spans="1:16" ht="15" x14ac:dyDescent="0.2">
      <c r="A53" s="277" t="s">
        <v>92</v>
      </c>
      <c r="B53" s="245" t="s">
        <v>51</v>
      </c>
      <c r="C53" s="243">
        <v>4.0999999999999996</v>
      </c>
      <c r="D53" s="284">
        <f>_xlfn.XLOOKUP(B53,'ESF PRUEBA'!$B$9:$B$48,'ESF PRUEBA'!$F$9:$F$48,,0)</f>
        <v>11105028797.299999</v>
      </c>
      <c r="E53" s="284">
        <v>10637138060.860001</v>
      </c>
      <c r="F53" s="285">
        <v>9741985241.0799999</v>
      </c>
      <c r="G53" s="285"/>
      <c r="H53" s="285"/>
      <c r="I53" s="285"/>
      <c r="J53" s="285"/>
      <c r="K53" s="285"/>
      <c r="L53" s="285"/>
      <c r="M53" s="285"/>
      <c r="N53" s="285"/>
      <c r="O53" s="285"/>
      <c r="P53" s="285"/>
    </row>
    <row r="54" spans="1:16" ht="15" x14ac:dyDescent="0.2">
      <c r="A54" s="259" t="s">
        <v>93</v>
      </c>
      <c r="B54" s="245" t="s">
        <v>52</v>
      </c>
      <c r="C54" s="243">
        <v>4.5</v>
      </c>
      <c r="D54" s="284">
        <f>_xlfn.XLOOKUP(B54,'ESF PRUEBA'!$B$9:$B$48,'ESF PRUEBA'!$F$9:$F$48,,0)</f>
        <v>1223030000</v>
      </c>
      <c r="E54" s="284">
        <v>1223030000</v>
      </c>
      <c r="F54" s="285">
        <v>1223030000</v>
      </c>
      <c r="G54" s="285"/>
      <c r="H54" s="285"/>
      <c r="I54" s="285"/>
      <c r="J54" s="285"/>
      <c r="K54" s="285"/>
      <c r="L54" s="285"/>
      <c r="M54" s="285"/>
      <c r="N54" s="285"/>
      <c r="O54" s="285"/>
      <c r="P54" s="285"/>
    </row>
    <row r="55" spans="1:16" ht="15" x14ac:dyDescent="0.2">
      <c r="A55" s="259"/>
      <c r="B55" s="245" t="s">
        <v>53</v>
      </c>
      <c r="C55" s="243"/>
      <c r="D55" s="284">
        <f>_xlfn.XLOOKUP(B55,'ESF PRUEBA'!$B$9:$B$48,'ESF PRUEBA'!$F$9:$F$48,,0)</f>
        <v>5970000</v>
      </c>
      <c r="E55" s="284">
        <v>0</v>
      </c>
      <c r="F55" s="285">
        <v>0</v>
      </c>
      <c r="G55" s="285"/>
      <c r="H55" s="285"/>
      <c r="I55" s="285"/>
      <c r="J55" s="285"/>
      <c r="K55" s="285"/>
      <c r="L55" s="285"/>
      <c r="M55" s="285"/>
      <c r="N55" s="285"/>
      <c r="O55" s="285"/>
      <c r="P55" s="285"/>
    </row>
    <row r="56" spans="1:16" ht="15" x14ac:dyDescent="0.2">
      <c r="A56" s="259" t="s">
        <v>93</v>
      </c>
      <c r="B56" s="245" t="s">
        <v>48</v>
      </c>
      <c r="C56" s="243">
        <v>7.1</v>
      </c>
      <c r="D56" s="284">
        <f>'ESF PRUEBA'!F22</f>
        <v>549019889</v>
      </c>
      <c r="E56" s="284">
        <v>263856489</v>
      </c>
      <c r="F56" s="285">
        <v>1240741209.072855</v>
      </c>
      <c r="G56" s="285"/>
      <c r="H56" s="285"/>
      <c r="I56" s="285"/>
      <c r="J56" s="285"/>
      <c r="K56" s="285"/>
      <c r="L56" s="285"/>
      <c r="M56" s="285"/>
      <c r="N56" s="285"/>
      <c r="O56" s="285"/>
      <c r="P56" s="285"/>
    </row>
    <row r="57" spans="1:16" ht="15" x14ac:dyDescent="0.2">
      <c r="B57" s="269" t="s">
        <v>55</v>
      </c>
      <c r="C57" s="256"/>
      <c r="D57" s="270">
        <f t="shared" ref="D57" si="33">+SUM(D53:D56)</f>
        <v>12883048686.299999</v>
      </c>
      <c r="E57" s="270">
        <f>+SUM(E53:E56)</f>
        <v>12124024549.860001</v>
      </c>
      <c r="F57" s="270">
        <f>+SUM(F53:F56)</f>
        <v>12205756450.152855</v>
      </c>
      <c r="G57" s="270">
        <f t="shared" ref="G57:P57" si="34">+SUM(G53:G56)</f>
        <v>0</v>
      </c>
      <c r="H57" s="270">
        <f t="shared" si="34"/>
        <v>0</v>
      </c>
      <c r="I57" s="270">
        <f t="shared" si="34"/>
        <v>0</v>
      </c>
      <c r="J57" s="270">
        <f t="shared" si="34"/>
        <v>0</v>
      </c>
      <c r="K57" s="270">
        <f t="shared" si="34"/>
        <v>0</v>
      </c>
      <c r="L57" s="270">
        <f t="shared" si="34"/>
        <v>0</v>
      </c>
      <c r="M57" s="270">
        <f t="shared" si="34"/>
        <v>0</v>
      </c>
      <c r="N57" s="270">
        <f t="shared" si="34"/>
        <v>0</v>
      </c>
      <c r="O57" s="270">
        <f t="shared" si="34"/>
        <v>0</v>
      </c>
      <c r="P57" s="270">
        <f t="shared" si="34"/>
        <v>0</v>
      </c>
    </row>
    <row r="58" spans="1:16" ht="15" x14ac:dyDescent="0.2">
      <c r="A58" s="19"/>
      <c r="B58" s="269" t="s">
        <v>56</v>
      </c>
      <c r="C58" s="256"/>
      <c r="D58" s="270">
        <f>_xlfn.XLOOKUP(B58,'ESF PRUEBA'!$B$9:$B$48,'ESF PRUEBA'!$F$9:$F$48,,0)</f>
        <v>31781052208.060001</v>
      </c>
      <c r="E58" s="270">
        <f ca="1">+E57+E50</f>
        <v>32834445499.259995</v>
      </c>
      <c r="F58" s="270">
        <f ca="1">+F57+F50</f>
        <v>37515549776.260002</v>
      </c>
      <c r="G58" s="270">
        <f t="shared" ref="G58:P58" ca="1" si="35">+G57+G50</f>
        <v>32984987442.221882</v>
      </c>
      <c r="H58" s="270">
        <f t="shared" ca="1" si="35"/>
        <v>52407132297.904633</v>
      </c>
      <c r="I58" s="270">
        <f t="shared" ca="1" si="35"/>
        <v>72367490933.387863</v>
      </c>
      <c r="J58" s="270">
        <f t="shared" ca="1" si="35"/>
        <v>92882209762.065598</v>
      </c>
      <c r="K58" s="270">
        <f t="shared" ca="1" si="35"/>
        <v>113967919589.73367</v>
      </c>
      <c r="L58" s="270">
        <f t="shared" ca="1" si="35"/>
        <v>135641750146.36179</v>
      </c>
      <c r="M58" s="270">
        <f t="shared" ca="1" si="35"/>
        <v>157921345053.81873</v>
      </c>
      <c r="N58" s="270">
        <f t="shared" ca="1" si="35"/>
        <v>180824877242.62939</v>
      </c>
      <c r="O58" s="270">
        <f t="shared" ca="1" si="35"/>
        <v>204371064831.23438</v>
      </c>
      <c r="P58" s="270">
        <f t="shared" ca="1" si="35"/>
        <v>228579187481.6275</v>
      </c>
    </row>
    <row r="59" spans="1:16" ht="15" x14ac:dyDescent="0.2">
      <c r="B59" s="245" t="s">
        <v>14</v>
      </c>
      <c r="C59" s="243"/>
      <c r="D59" s="273"/>
      <c r="E59" s="273"/>
      <c r="F59" s="273"/>
      <c r="G59" s="273"/>
      <c r="H59" s="273"/>
      <c r="I59" s="273"/>
      <c r="J59" s="273"/>
      <c r="K59" s="273"/>
      <c r="L59" s="273"/>
      <c r="M59" s="273"/>
      <c r="N59" s="273"/>
      <c r="O59" s="273"/>
      <c r="P59" s="273"/>
    </row>
    <row r="60" spans="1:16" ht="15" x14ac:dyDescent="0.2">
      <c r="B60" s="246" t="s">
        <v>57</v>
      </c>
      <c r="C60" s="243"/>
      <c r="D60" s="274"/>
      <c r="E60" s="274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</row>
    <row r="61" spans="1:16" ht="15" x14ac:dyDescent="0.2">
      <c r="B61" s="246" t="s">
        <v>58</v>
      </c>
      <c r="C61" s="243"/>
      <c r="D61" s="274"/>
      <c r="E61" s="274"/>
      <c r="F61" s="273"/>
      <c r="G61" s="273"/>
      <c r="H61" s="273"/>
      <c r="I61" s="273"/>
      <c r="J61" s="273"/>
      <c r="K61" s="273"/>
      <c r="L61" s="273"/>
      <c r="M61" s="273"/>
      <c r="N61" s="273"/>
      <c r="O61" s="273"/>
      <c r="P61" s="273"/>
    </row>
    <row r="62" spans="1:16" ht="15" x14ac:dyDescent="0.2">
      <c r="B62" s="313" t="s">
        <v>162</v>
      </c>
      <c r="C62" s="314"/>
      <c r="D62" s="315"/>
      <c r="E62" s="315">
        <f t="shared" ref="E62:P62" ca="1" si="36">+E91+E43</f>
        <v>0</v>
      </c>
      <c r="F62" s="315">
        <f t="shared" ca="1" si="36"/>
        <v>0</v>
      </c>
      <c r="G62" s="315">
        <f ca="1">+G91+G43</f>
        <v>0</v>
      </c>
      <c r="H62" s="315">
        <f t="shared" ca="1" si="36"/>
        <v>0</v>
      </c>
      <c r="I62" s="315">
        <f t="shared" ca="1" si="36"/>
        <v>0</v>
      </c>
      <c r="J62" s="315">
        <f t="shared" ca="1" si="36"/>
        <v>0</v>
      </c>
      <c r="K62" s="315">
        <f t="shared" ca="1" si="36"/>
        <v>0</v>
      </c>
      <c r="L62" s="315">
        <f t="shared" ca="1" si="36"/>
        <v>0</v>
      </c>
      <c r="M62" s="315">
        <f t="shared" ca="1" si="36"/>
        <v>0</v>
      </c>
      <c r="N62" s="315">
        <f t="shared" ca="1" si="36"/>
        <v>0</v>
      </c>
      <c r="O62" s="315">
        <f t="shared" ca="1" si="36"/>
        <v>0</v>
      </c>
      <c r="P62" s="315">
        <f t="shared" ca="1" si="36"/>
        <v>0</v>
      </c>
    </row>
    <row r="63" spans="1:16" ht="15" x14ac:dyDescent="0.2">
      <c r="A63" s="278" t="s">
        <v>92</v>
      </c>
      <c r="B63" s="245" t="s">
        <v>59</v>
      </c>
      <c r="C63" s="243">
        <v>5.2</v>
      </c>
      <c r="D63" s="284">
        <f>_xlfn.XLOOKUP(B63,'ESF PRUEBA'!$B$9:$B$48,'ESF PRUEBA'!$F$9:$F$48,,0)</f>
        <v>2046420000</v>
      </c>
      <c r="E63" s="284">
        <v>1944884000</v>
      </c>
      <c r="F63" s="285">
        <v>2157079000</v>
      </c>
      <c r="G63" s="285"/>
      <c r="H63" s="285"/>
      <c r="I63" s="285"/>
      <c r="J63" s="285"/>
      <c r="K63" s="285"/>
      <c r="L63" s="285"/>
      <c r="M63" s="285"/>
      <c r="N63" s="285"/>
      <c r="O63" s="285"/>
      <c r="P63" s="285"/>
    </row>
    <row r="64" spans="1:16" ht="15" x14ac:dyDescent="0.2">
      <c r="A64" s="279" t="s">
        <v>96</v>
      </c>
      <c r="B64" s="245" t="s">
        <v>60</v>
      </c>
      <c r="C64" s="243">
        <v>5.3</v>
      </c>
      <c r="D64" s="284">
        <f>_xlfn.XLOOKUP(B64,'ESF PRUEBA'!$B$9:$B$48,'ESF PRUEBA'!$F$9:$F$48,,0)</f>
        <v>2730342363.25</v>
      </c>
      <c r="E64" s="284">
        <v>2295243321.1700001</v>
      </c>
      <c r="F64" s="285">
        <v>518309522.00999999</v>
      </c>
      <c r="G64" s="285"/>
      <c r="H64" s="285"/>
      <c r="I64" s="285"/>
      <c r="J64" s="285"/>
      <c r="K64" s="285"/>
      <c r="L64" s="285"/>
      <c r="M64" s="285"/>
      <c r="N64" s="285"/>
      <c r="O64" s="285"/>
      <c r="P64" s="285"/>
    </row>
    <row r="65" spans="1:16" ht="15" x14ac:dyDescent="0.2">
      <c r="A65" s="278" t="s">
        <v>92</v>
      </c>
      <c r="B65" s="245" t="s">
        <v>61</v>
      </c>
      <c r="C65" s="243">
        <v>6.1</v>
      </c>
      <c r="D65" s="286">
        <f>_xlfn.XLOOKUP(B65,'ESF PRUEBA'!$B$9:$B$48,'ESF PRUEBA'!$F$9:$F$48,,0)</f>
        <v>8361658286.2700005</v>
      </c>
      <c r="E65" s="286">
        <v>7725520950.0100002</v>
      </c>
      <c r="F65" s="287">
        <v>4480219088.4399996</v>
      </c>
      <c r="G65" s="287"/>
      <c r="H65" s="287"/>
      <c r="I65" s="287"/>
      <c r="J65" s="287"/>
      <c r="K65" s="287"/>
      <c r="L65" s="287"/>
      <c r="M65" s="287"/>
      <c r="N65" s="287"/>
      <c r="O65" s="287"/>
      <c r="P65" s="287"/>
    </row>
    <row r="66" spans="1:16" ht="15" x14ac:dyDescent="0.2">
      <c r="A66" s="277" t="s">
        <v>92</v>
      </c>
      <c r="B66" s="245" t="s">
        <v>62</v>
      </c>
      <c r="C66" s="243">
        <v>6.2</v>
      </c>
      <c r="D66" s="284">
        <f>_xlfn.XLOOKUP(B66,'ESF PRUEBA'!$B$9:$B$48,'ESF PRUEBA'!$F$9:$F$48,,0)</f>
        <v>163024849.31</v>
      </c>
      <c r="E66" s="284">
        <v>238563887</v>
      </c>
      <c r="F66" s="285">
        <v>275806899</v>
      </c>
      <c r="G66" s="285"/>
      <c r="H66" s="285"/>
      <c r="I66" s="285"/>
      <c r="J66" s="285"/>
      <c r="K66" s="285"/>
      <c r="L66" s="285"/>
      <c r="M66" s="285"/>
      <c r="N66" s="285"/>
      <c r="O66" s="285"/>
      <c r="P66" s="285"/>
    </row>
    <row r="67" spans="1:16" ht="15" x14ac:dyDescent="0.2">
      <c r="A67" s="277" t="s">
        <v>92</v>
      </c>
      <c r="B67" s="245" t="s">
        <v>63</v>
      </c>
      <c r="C67" s="243">
        <v>7</v>
      </c>
      <c r="D67" s="284">
        <f>_xlfn.XLOOKUP(B67,'ESF PRUEBA'!$B$9:$B$48,'ESF PRUEBA'!$F$9:$F$48,,0)</f>
        <v>1334443000</v>
      </c>
      <c r="E67" s="284">
        <v>1400982999.9453151</v>
      </c>
      <c r="F67" s="285">
        <v>5079950517.1600008</v>
      </c>
      <c r="G67" s="285"/>
      <c r="H67" s="285"/>
      <c r="I67" s="285"/>
      <c r="J67" s="285"/>
      <c r="K67" s="285"/>
      <c r="L67" s="285"/>
      <c r="M67" s="285"/>
      <c r="N67" s="285"/>
      <c r="O67" s="285"/>
      <c r="P67" s="285"/>
    </row>
    <row r="68" spans="1:16" ht="15" x14ac:dyDescent="0.2">
      <c r="B68" s="269" t="s">
        <v>64</v>
      </c>
      <c r="C68" s="256"/>
      <c r="D68" s="270">
        <f t="shared" ref="D68:P68" si="37">+SUM(D62:D67)</f>
        <v>14635888498.83</v>
      </c>
      <c r="E68" s="270">
        <f t="shared" ca="1" si="37"/>
        <v>13605195158.125315</v>
      </c>
      <c r="F68" s="270">
        <f t="shared" ca="1" si="37"/>
        <v>12511365026.610001</v>
      </c>
      <c r="G68" s="270">
        <f ca="1">+SUM(G62:G67)</f>
        <v>0</v>
      </c>
      <c r="H68" s="270">
        <f t="shared" ca="1" si="37"/>
        <v>0</v>
      </c>
      <c r="I68" s="270">
        <f t="shared" ca="1" si="37"/>
        <v>0</v>
      </c>
      <c r="J68" s="270">
        <f t="shared" ca="1" si="37"/>
        <v>0</v>
      </c>
      <c r="K68" s="270">
        <f t="shared" ca="1" si="37"/>
        <v>0</v>
      </c>
      <c r="L68" s="270">
        <f t="shared" ca="1" si="37"/>
        <v>0</v>
      </c>
      <c r="M68" s="270">
        <f t="shared" ca="1" si="37"/>
        <v>0</v>
      </c>
      <c r="N68" s="270">
        <f t="shared" ca="1" si="37"/>
        <v>0</v>
      </c>
      <c r="O68" s="270">
        <f t="shared" ca="1" si="37"/>
        <v>0</v>
      </c>
      <c r="P68" s="270">
        <f t="shared" ca="1" si="37"/>
        <v>0</v>
      </c>
    </row>
    <row r="69" spans="1:16" ht="15" x14ac:dyDescent="0.2">
      <c r="B69" s="245" t="s">
        <v>14</v>
      </c>
      <c r="C69" s="243"/>
      <c r="D69" s="274"/>
      <c r="E69" s="274"/>
      <c r="F69" s="273"/>
      <c r="G69" s="273"/>
      <c r="H69" s="273"/>
      <c r="I69" s="273"/>
      <c r="J69" s="273"/>
      <c r="K69" s="273"/>
      <c r="L69" s="273"/>
      <c r="M69" s="273"/>
      <c r="N69" s="273"/>
      <c r="O69" s="273"/>
      <c r="P69" s="273"/>
    </row>
    <row r="70" spans="1:16" ht="15" x14ac:dyDescent="0.2">
      <c r="B70" s="246" t="s">
        <v>65</v>
      </c>
      <c r="C70" s="243"/>
      <c r="D70" s="274"/>
      <c r="E70" s="274"/>
      <c r="F70" s="273"/>
      <c r="G70" s="273"/>
      <c r="H70" s="273"/>
      <c r="I70" s="273"/>
      <c r="J70" s="273"/>
      <c r="K70" s="273"/>
      <c r="L70" s="273"/>
      <c r="M70" s="273"/>
      <c r="N70" s="273"/>
      <c r="O70" s="273"/>
      <c r="P70" s="273"/>
    </row>
    <row r="71" spans="1:16" ht="15" x14ac:dyDescent="0.2">
      <c r="A71" s="280" t="s">
        <v>96</v>
      </c>
      <c r="B71" s="245" t="s">
        <v>60</v>
      </c>
      <c r="C71" s="243">
        <v>5.3</v>
      </c>
      <c r="D71" s="284">
        <f>'ESF PRUEBA'!F34</f>
        <v>3153009184.98</v>
      </c>
      <c r="E71" s="284">
        <v>1961264510.98</v>
      </c>
      <c r="F71" s="285">
        <v>236690165</v>
      </c>
      <c r="G71" s="285"/>
      <c r="H71" s="285"/>
      <c r="I71" s="285"/>
      <c r="J71" s="285"/>
      <c r="K71" s="285"/>
      <c r="L71" s="285"/>
      <c r="M71" s="285"/>
      <c r="N71" s="285"/>
      <c r="O71" s="285"/>
      <c r="P71" s="285"/>
    </row>
    <row r="72" spans="1:16" ht="15" x14ac:dyDescent="0.2">
      <c r="A72" s="259" t="s">
        <v>93</v>
      </c>
      <c r="B72" s="245" t="s">
        <v>66</v>
      </c>
      <c r="C72" s="243">
        <v>8</v>
      </c>
      <c r="D72" s="284">
        <f>_xlfn.XLOOKUP(B72,'ESF PRUEBA'!$B$9:$B$48,'ESF PRUEBA'!$F$9:$F$48,,0)</f>
        <v>192275625.22</v>
      </c>
      <c r="E72" s="284">
        <v>452006325.44</v>
      </c>
      <c r="F72" s="285">
        <v>217884946.44</v>
      </c>
      <c r="G72" s="285"/>
      <c r="H72" s="285"/>
      <c r="I72" s="285"/>
      <c r="J72" s="285"/>
      <c r="K72" s="285"/>
      <c r="L72" s="285"/>
      <c r="M72" s="285"/>
      <c r="N72" s="285"/>
      <c r="O72" s="285"/>
      <c r="P72" s="285"/>
    </row>
    <row r="73" spans="1:16" ht="15" x14ac:dyDescent="0.2">
      <c r="A73" s="259" t="s">
        <v>93</v>
      </c>
      <c r="B73" s="245" t="s">
        <v>67</v>
      </c>
      <c r="C73" s="243"/>
      <c r="D73" s="284">
        <f>_xlfn.XLOOKUP(B73,'ESF PRUEBA'!$B$9:$B$48,'ESF PRUEBA'!$F$9:$F$48,,0)</f>
        <v>3504726255.8899999</v>
      </c>
      <c r="E73" s="284">
        <v>4282558733.21</v>
      </c>
      <c r="F73" s="285">
        <v>1790011691.4200001</v>
      </c>
      <c r="G73" s="285"/>
      <c r="H73" s="285"/>
      <c r="I73" s="285"/>
      <c r="J73" s="285"/>
      <c r="K73" s="285"/>
      <c r="L73" s="285"/>
      <c r="M73" s="285"/>
      <c r="N73" s="285"/>
      <c r="O73" s="285"/>
      <c r="P73" s="285"/>
    </row>
    <row r="74" spans="1:16" ht="15" x14ac:dyDescent="0.2">
      <c r="A74" s="259" t="s">
        <v>93</v>
      </c>
      <c r="B74" s="245" t="s">
        <v>63</v>
      </c>
      <c r="C74" s="243">
        <v>7.1</v>
      </c>
      <c r="D74" s="284">
        <f>'ESF PRUEBA'!F37</f>
        <v>1026572878</v>
      </c>
      <c r="E74" s="284">
        <v>539915397</v>
      </c>
      <c r="F74" s="285">
        <v>35114588</v>
      </c>
      <c r="G74" s="285"/>
      <c r="H74" s="285"/>
      <c r="I74" s="285"/>
      <c r="J74" s="285"/>
      <c r="K74" s="285"/>
      <c r="L74" s="285"/>
      <c r="M74" s="285"/>
      <c r="N74" s="285"/>
      <c r="O74" s="285"/>
      <c r="P74" s="285"/>
    </row>
    <row r="75" spans="1:16" ht="15" x14ac:dyDescent="0.2">
      <c r="B75" s="269" t="s">
        <v>68</v>
      </c>
      <c r="C75" s="256"/>
      <c r="D75" s="270">
        <f>+SUM(D71:D74)</f>
        <v>7876583944.0900002</v>
      </c>
      <c r="E75" s="270">
        <f>+SUM(E71:E74)</f>
        <v>7235744966.6300001</v>
      </c>
      <c r="F75" s="270">
        <f>+SUM(F71:F74)</f>
        <v>2279701390.8600001</v>
      </c>
      <c r="G75" s="270">
        <f>+SUM(G71:G74)</f>
        <v>0</v>
      </c>
      <c r="H75" s="270">
        <f t="shared" ref="H75:P75" si="38">+SUM(H71:H74)</f>
        <v>0</v>
      </c>
      <c r="I75" s="270">
        <f t="shared" si="38"/>
        <v>0</v>
      </c>
      <c r="J75" s="270">
        <f t="shared" si="38"/>
        <v>0</v>
      </c>
      <c r="K75" s="270">
        <f t="shared" si="38"/>
        <v>0</v>
      </c>
      <c r="L75" s="270">
        <f t="shared" si="38"/>
        <v>0</v>
      </c>
      <c r="M75" s="270">
        <f t="shared" si="38"/>
        <v>0</v>
      </c>
      <c r="N75" s="270">
        <f t="shared" si="38"/>
        <v>0</v>
      </c>
      <c r="O75" s="270">
        <f t="shared" si="38"/>
        <v>0</v>
      </c>
      <c r="P75" s="270">
        <f t="shared" si="38"/>
        <v>0</v>
      </c>
    </row>
    <row r="76" spans="1:16" ht="15" x14ac:dyDescent="0.2">
      <c r="B76" s="269" t="s">
        <v>69</v>
      </c>
      <c r="C76" s="256"/>
      <c r="D76" s="270">
        <f>+D75+D68</f>
        <v>22512472442.919998</v>
      </c>
      <c r="E76" s="270">
        <f ca="1">+E75+E68</f>
        <v>20840940124.755314</v>
      </c>
      <c r="F76" s="270">
        <f ca="1">+F75+F68</f>
        <v>14791066417.470001</v>
      </c>
      <c r="G76" s="270">
        <f ca="1">+G75+G68</f>
        <v>0</v>
      </c>
      <c r="H76" s="270">
        <f t="shared" ref="H76:P76" ca="1" si="39">+H75+H68</f>
        <v>0</v>
      </c>
      <c r="I76" s="270">
        <f t="shared" ca="1" si="39"/>
        <v>0</v>
      </c>
      <c r="J76" s="270">
        <f t="shared" ca="1" si="39"/>
        <v>0</v>
      </c>
      <c r="K76" s="270">
        <f t="shared" ca="1" si="39"/>
        <v>0</v>
      </c>
      <c r="L76" s="270">
        <f t="shared" ca="1" si="39"/>
        <v>0</v>
      </c>
      <c r="M76" s="270">
        <f t="shared" ca="1" si="39"/>
        <v>0</v>
      </c>
      <c r="N76" s="270">
        <f t="shared" ca="1" si="39"/>
        <v>0</v>
      </c>
      <c r="O76" s="270">
        <f t="shared" ca="1" si="39"/>
        <v>0</v>
      </c>
      <c r="P76" s="270">
        <f t="shared" ca="1" si="39"/>
        <v>0</v>
      </c>
    </row>
    <row r="77" spans="1:16" ht="15" x14ac:dyDescent="0.2">
      <c r="B77" s="245" t="s">
        <v>14</v>
      </c>
      <c r="C77" s="243"/>
      <c r="D77" s="274"/>
      <c r="E77" s="274"/>
      <c r="F77" s="273"/>
      <c r="G77" s="273"/>
      <c r="H77" s="273"/>
      <c r="I77" s="273"/>
      <c r="J77" s="273"/>
      <c r="K77" s="273"/>
      <c r="L77" s="273"/>
      <c r="M77" s="273"/>
      <c r="N77" s="273"/>
      <c r="O77" s="273"/>
      <c r="P77" s="273"/>
    </row>
    <row r="78" spans="1:16" ht="15" x14ac:dyDescent="0.2">
      <c r="B78" s="246" t="s">
        <v>70</v>
      </c>
      <c r="C78" s="243"/>
      <c r="D78" s="274"/>
      <c r="E78" s="274"/>
      <c r="F78" s="273"/>
      <c r="G78" s="273"/>
      <c r="H78" s="273"/>
      <c r="I78" s="273"/>
      <c r="J78" s="273"/>
      <c r="K78" s="273"/>
      <c r="L78" s="273"/>
      <c r="M78" s="273"/>
      <c r="N78" s="273"/>
      <c r="O78" s="273"/>
      <c r="P78" s="273"/>
    </row>
    <row r="79" spans="1:16" ht="15" x14ac:dyDescent="0.2">
      <c r="A79" s="280" t="s">
        <v>96</v>
      </c>
      <c r="B79" s="245" t="s">
        <v>71</v>
      </c>
      <c r="C79" s="243">
        <v>9</v>
      </c>
      <c r="D79" s="284">
        <f>_xlfn.XLOOKUP(B79,'ESF PRUEBA'!$B$9:$B$48,'ESF PRUEBA'!$F$9:$F$48,,0)</f>
        <v>2060803967.3599999</v>
      </c>
      <c r="E79" s="284">
        <v>2060803967.3599999</v>
      </c>
      <c r="F79" s="285">
        <v>2060803967.3599999</v>
      </c>
      <c r="G79" s="285"/>
      <c r="H79" s="285"/>
      <c r="I79" s="285"/>
      <c r="J79" s="285"/>
      <c r="K79" s="285"/>
      <c r="L79" s="285"/>
      <c r="M79" s="285"/>
      <c r="N79" s="285"/>
      <c r="O79" s="285"/>
      <c r="P79" s="285"/>
    </row>
    <row r="80" spans="1:16" ht="15" x14ac:dyDescent="0.2">
      <c r="A80" s="280" t="s">
        <v>96</v>
      </c>
      <c r="B80" s="245" t="s">
        <v>72</v>
      </c>
      <c r="C80" s="243">
        <v>9.1999999999999993</v>
      </c>
      <c r="D80" s="284">
        <f>_xlfn.XLOOKUP(B80,'ESF PRUEBA'!$B$9:$B$48,'ESF PRUEBA'!$F$9:$F$48,,0)</f>
        <v>2000000000</v>
      </c>
      <c r="E80" s="284">
        <v>2000000000</v>
      </c>
      <c r="F80" s="285">
        <v>2000000000</v>
      </c>
      <c r="G80" s="285"/>
      <c r="H80" s="285"/>
      <c r="I80" s="285"/>
      <c r="J80" s="285"/>
      <c r="K80" s="285"/>
      <c r="L80" s="285"/>
      <c r="M80" s="285"/>
      <c r="N80" s="285"/>
      <c r="O80" s="285"/>
      <c r="P80" s="285"/>
    </row>
    <row r="81" spans="1:16" ht="15" x14ac:dyDescent="0.2">
      <c r="A81" s="280" t="s">
        <v>96</v>
      </c>
      <c r="B81" s="245" t="s">
        <v>73</v>
      </c>
      <c r="C81" s="243">
        <v>9.1</v>
      </c>
      <c r="D81" s="284">
        <f>_xlfn.XLOOKUP(B81,'ESF PRUEBA'!$B$9:$B$48,'ESF PRUEBA'!$F$9:$F$48,,0)</f>
        <v>2403311966.3299999</v>
      </c>
      <c r="E81" s="284">
        <v>1774057625.79</v>
      </c>
      <c r="F81" s="285">
        <v>4234095263.4499998</v>
      </c>
      <c r="G81" s="285">
        <f>+F81+F84</f>
        <v>14965073250.790005</v>
      </c>
      <c r="H81" s="285">
        <f t="shared" ref="H81:P81" si="40">+G81+G84</f>
        <v>32984987442.221882</v>
      </c>
      <c r="I81" s="285">
        <f t="shared" si="40"/>
        <v>52407132297.904633</v>
      </c>
      <c r="J81" s="285">
        <f t="shared" si="40"/>
        <v>72367490933.387863</v>
      </c>
      <c r="K81" s="285">
        <f t="shared" si="40"/>
        <v>92882209762.065598</v>
      </c>
      <c r="L81" s="285">
        <f t="shared" si="40"/>
        <v>113967919589.73367</v>
      </c>
      <c r="M81" s="285">
        <f t="shared" si="40"/>
        <v>135641750146.36179</v>
      </c>
      <c r="N81" s="285">
        <f t="shared" si="40"/>
        <v>157921345053.81873</v>
      </c>
      <c r="O81" s="285">
        <f t="shared" si="40"/>
        <v>180824877242.62939</v>
      </c>
      <c r="P81" s="285">
        <f t="shared" si="40"/>
        <v>204371064831.23438</v>
      </c>
    </row>
    <row r="82" spans="1:16" ht="15" x14ac:dyDescent="0.2">
      <c r="A82" s="280" t="s">
        <v>96</v>
      </c>
      <c r="B82" s="245" t="s">
        <v>74</v>
      </c>
      <c r="C82" s="243">
        <v>9</v>
      </c>
      <c r="D82" s="284">
        <f>_xlfn.XLOOKUP(B82,'ESF PRUEBA'!$B$9:$B$48,'ESF PRUEBA'!$F$9:$F$48,,0)</f>
        <v>3313032491.5100002</v>
      </c>
      <c r="E82" s="284">
        <v>3313032491.5100002</v>
      </c>
      <c r="F82" s="285">
        <v>3313032491.5100002</v>
      </c>
      <c r="G82" s="285"/>
      <c r="H82" s="285"/>
      <c r="I82" s="285"/>
      <c r="J82" s="285"/>
      <c r="K82" s="285"/>
      <c r="L82" s="285"/>
      <c r="M82" s="285"/>
      <c r="N82" s="285"/>
      <c r="O82" s="285"/>
      <c r="P82" s="285"/>
    </row>
    <row r="83" spans="1:16" ht="15" x14ac:dyDescent="0.2">
      <c r="A83" s="280" t="s">
        <v>96</v>
      </c>
      <c r="B83" s="245" t="s">
        <v>75</v>
      </c>
      <c r="C83" s="243">
        <v>9</v>
      </c>
      <c r="D83" s="284">
        <f>_xlfn.XLOOKUP(B83,'ESF PRUEBA'!$B$9:$B$48,'ESF PRUEBA'!$F$9:$F$48,,0)</f>
        <v>120685682.13</v>
      </c>
      <c r="E83" s="284">
        <v>120685682.13</v>
      </c>
      <c r="F83" s="285">
        <v>385573649.13</v>
      </c>
      <c r="G83" s="285"/>
      <c r="H83" s="285"/>
      <c r="I83" s="285"/>
      <c r="J83" s="285"/>
      <c r="K83" s="285"/>
      <c r="L83" s="285"/>
      <c r="M83" s="285"/>
      <c r="N83" s="285"/>
      <c r="O83" s="285"/>
      <c r="P83" s="285"/>
    </row>
    <row r="84" spans="1:16" ht="15" x14ac:dyDescent="0.2">
      <c r="A84" s="280" t="s">
        <v>96</v>
      </c>
      <c r="B84" s="245" t="s">
        <v>76</v>
      </c>
      <c r="C84" s="243"/>
      <c r="D84" s="284">
        <f>_xlfn.XLOOKUP(B84,'ESF PRUEBA'!$B$9:$B$48,'ESF PRUEBA'!$F$9:$F$48,,0)</f>
        <v>-629254342.53999949</v>
      </c>
      <c r="E84" s="284">
        <v>2724925607.7146826</v>
      </c>
      <c r="F84" s="285">
        <f>+F35</f>
        <v>10730977987.340004</v>
      </c>
      <c r="G84" s="285">
        <f>+G35</f>
        <v>18019914191.431877</v>
      </c>
      <c r="H84" s="285">
        <f t="shared" ref="H84:P84" si="41">+H35</f>
        <v>19422144855.682755</v>
      </c>
      <c r="I84" s="285">
        <f t="shared" si="41"/>
        <v>19960358635.483234</v>
      </c>
      <c r="J84" s="285">
        <f t="shared" si="41"/>
        <v>20514718828.677734</v>
      </c>
      <c r="K84" s="285">
        <f t="shared" si="41"/>
        <v>21085709827.668068</v>
      </c>
      <c r="L84" s="285">
        <f t="shared" si="41"/>
        <v>21673830556.628113</v>
      </c>
      <c r="M84" s="285">
        <f t="shared" si="41"/>
        <v>22279594907.456947</v>
      </c>
      <c r="N84" s="285">
        <f t="shared" si="41"/>
        <v>22903532188.810654</v>
      </c>
      <c r="O84" s="285">
        <f t="shared" si="41"/>
        <v>23546187588.604984</v>
      </c>
      <c r="P84" s="285">
        <f t="shared" si="41"/>
        <v>24208122650.393131</v>
      </c>
    </row>
    <row r="85" spans="1:16" ht="15" x14ac:dyDescent="0.2">
      <c r="B85" s="269" t="s">
        <v>77</v>
      </c>
      <c r="C85" s="256"/>
      <c r="D85" s="270">
        <f>SUM(D79:D84)</f>
        <v>9268579764.7900009</v>
      </c>
      <c r="E85" s="270">
        <f>+SUM(E79:E84)</f>
        <v>11993505374.504681</v>
      </c>
      <c r="F85" s="270">
        <f>+SUM(F79:F84)</f>
        <v>22724483358.790001</v>
      </c>
      <c r="G85" s="270">
        <f>+SUM(G79:G84)</f>
        <v>32984987442.221882</v>
      </c>
      <c r="H85" s="270">
        <f t="shared" ref="H85:P85" si="42">+SUM(H79:H84)</f>
        <v>52407132297.904633</v>
      </c>
      <c r="I85" s="270">
        <f t="shared" si="42"/>
        <v>72367490933.387863</v>
      </c>
      <c r="J85" s="270">
        <f t="shared" si="42"/>
        <v>92882209762.065598</v>
      </c>
      <c r="K85" s="270">
        <f t="shared" si="42"/>
        <v>113967919589.73367</v>
      </c>
      <c r="L85" s="270">
        <f t="shared" si="42"/>
        <v>135641750146.36179</v>
      </c>
      <c r="M85" s="270">
        <f t="shared" si="42"/>
        <v>157921345053.81873</v>
      </c>
      <c r="N85" s="270">
        <f t="shared" si="42"/>
        <v>180824877242.62939</v>
      </c>
      <c r="O85" s="270">
        <f t="shared" si="42"/>
        <v>204371064831.23438</v>
      </c>
      <c r="P85" s="270">
        <f t="shared" si="42"/>
        <v>228579187481.6275</v>
      </c>
    </row>
    <row r="86" spans="1:16" ht="15" x14ac:dyDescent="0.2">
      <c r="B86" s="269" t="s">
        <v>78</v>
      </c>
      <c r="C86" s="256"/>
      <c r="D86" s="270">
        <f>D85+D76</f>
        <v>31781052207.709999</v>
      </c>
      <c r="E86" s="270">
        <f ca="1">+E85+E76</f>
        <v>32834445499.259995</v>
      </c>
      <c r="F86" s="270">
        <f ca="1">+F85+F76</f>
        <v>37515549776.260002</v>
      </c>
      <c r="G86" s="270">
        <f ca="1">+G85+G76</f>
        <v>32984987442.221882</v>
      </c>
      <c r="H86" s="270">
        <f t="shared" ref="H86:P86" ca="1" si="43">+H85+H76</f>
        <v>52407132297.904633</v>
      </c>
      <c r="I86" s="270">
        <f t="shared" ca="1" si="43"/>
        <v>72367490933.387863</v>
      </c>
      <c r="J86" s="270">
        <f t="shared" ca="1" si="43"/>
        <v>92882209762.065598</v>
      </c>
      <c r="K86" s="270">
        <f t="shared" ca="1" si="43"/>
        <v>113967919589.73367</v>
      </c>
      <c r="L86" s="270">
        <f t="shared" ca="1" si="43"/>
        <v>135641750146.36179</v>
      </c>
      <c r="M86" s="270">
        <f t="shared" ca="1" si="43"/>
        <v>157921345053.81873</v>
      </c>
      <c r="N86" s="270">
        <f t="shared" ca="1" si="43"/>
        <v>180824877242.62939</v>
      </c>
      <c r="O86" s="270">
        <f t="shared" ca="1" si="43"/>
        <v>204371064831.23438</v>
      </c>
      <c r="P86" s="270">
        <f t="shared" ca="1" si="43"/>
        <v>228579187481.6275</v>
      </c>
    </row>
    <row r="87" spans="1:16" ht="15" x14ac:dyDescent="0.2">
      <c r="B87" s="237"/>
      <c r="C87" s="248"/>
      <c r="D87" s="248"/>
      <c r="E87" s="248"/>
      <c r="F87" s="240"/>
      <c r="G87" s="240"/>
      <c r="H87" s="240"/>
      <c r="I87" s="240"/>
      <c r="J87" s="240"/>
      <c r="K87" s="240"/>
      <c r="L87" s="240"/>
      <c r="M87" s="240"/>
      <c r="N87" s="240"/>
      <c r="O87" s="240"/>
      <c r="P87" s="240"/>
    </row>
    <row r="88" spans="1:16" ht="15" x14ac:dyDescent="0.2">
      <c r="A88" s="1" t="s">
        <v>147</v>
      </c>
      <c r="B88" s="233" t="s">
        <v>157</v>
      </c>
      <c r="C88" s="267"/>
      <c r="D88" s="267"/>
      <c r="E88" s="282">
        <f t="shared" ref="E88:P88" si="44">+E40</f>
        <v>44531</v>
      </c>
      <c r="F88" s="282">
        <f t="shared" si="44"/>
        <v>44896</v>
      </c>
      <c r="G88" s="282">
        <f t="shared" si="44"/>
        <v>45261</v>
      </c>
      <c r="H88" s="282">
        <f t="shared" si="44"/>
        <v>45627</v>
      </c>
      <c r="I88" s="282">
        <f t="shared" si="44"/>
        <v>45992</v>
      </c>
      <c r="J88" s="282">
        <f t="shared" si="44"/>
        <v>46357</v>
      </c>
      <c r="K88" s="282">
        <f t="shared" si="44"/>
        <v>46722</v>
      </c>
      <c r="L88" s="282">
        <f t="shared" si="44"/>
        <v>47088</v>
      </c>
      <c r="M88" s="282">
        <f t="shared" si="44"/>
        <v>47453</v>
      </c>
      <c r="N88" s="282">
        <f t="shared" si="44"/>
        <v>47818</v>
      </c>
      <c r="O88" s="282">
        <f t="shared" si="44"/>
        <v>48183</v>
      </c>
      <c r="P88" s="282">
        <f t="shared" si="44"/>
        <v>48549</v>
      </c>
    </row>
    <row r="89" spans="1:16" ht="15" x14ac:dyDescent="0.2">
      <c r="B89" s="237" t="s">
        <v>159</v>
      </c>
      <c r="C89" s="248"/>
      <c r="D89" s="312">
        <f t="shared" ref="D89" si="45">+D58-D43</f>
        <v>31781052208.060001</v>
      </c>
      <c r="E89" s="312">
        <f ca="1">+E58-E43</f>
        <v>32834445497.610001</v>
      </c>
      <c r="F89" s="312">
        <f t="shared" ref="F89:G89" ca="1" si="46">+F58-F43</f>
        <v>37515549775.632858</v>
      </c>
      <c r="G89" s="312">
        <f t="shared" ca="1" si="46"/>
        <v>0</v>
      </c>
      <c r="H89" s="312">
        <f t="shared" ref="H89:P89" ca="1" si="47">+H58-H43</f>
        <v>0</v>
      </c>
      <c r="I89" s="312">
        <f t="shared" ca="1" si="47"/>
        <v>0</v>
      </c>
      <c r="J89" s="312">
        <f t="shared" ca="1" si="47"/>
        <v>0</v>
      </c>
      <c r="K89" s="312">
        <f t="shared" ca="1" si="47"/>
        <v>0</v>
      </c>
      <c r="L89" s="312">
        <f t="shared" ca="1" si="47"/>
        <v>0</v>
      </c>
      <c r="M89" s="312">
        <f t="shared" ca="1" si="47"/>
        <v>0</v>
      </c>
      <c r="N89" s="312">
        <f t="shared" ca="1" si="47"/>
        <v>0</v>
      </c>
      <c r="O89" s="312">
        <f t="shared" ca="1" si="47"/>
        <v>0</v>
      </c>
      <c r="P89" s="312">
        <f t="shared" ca="1" si="47"/>
        <v>0</v>
      </c>
    </row>
    <row r="90" spans="1:16" ht="15" x14ac:dyDescent="0.2">
      <c r="B90" s="237" t="s">
        <v>158</v>
      </c>
      <c r="C90" s="248"/>
      <c r="D90" s="312">
        <f t="shared" ref="D90" si="48">+D86-D62</f>
        <v>31781052207.709999</v>
      </c>
      <c r="E90" s="312">
        <f t="shared" ref="E90:G90" ca="1" si="49">+E86-E62</f>
        <v>32834445499.259995</v>
      </c>
      <c r="F90" s="312">
        <f t="shared" ca="1" si="49"/>
        <v>37515549776.260002</v>
      </c>
      <c r="G90" s="312">
        <f t="shared" ca="1" si="49"/>
        <v>32984987442.221882</v>
      </c>
      <c r="H90" s="312">
        <f t="shared" ref="H90:P90" ca="1" si="50">+H86-H62</f>
        <v>52407132297.904633</v>
      </c>
      <c r="I90" s="312">
        <f t="shared" ca="1" si="50"/>
        <v>72367490933.387863</v>
      </c>
      <c r="J90" s="312">
        <f t="shared" ca="1" si="50"/>
        <v>92882209762.065598</v>
      </c>
      <c r="K90" s="312">
        <f t="shared" ca="1" si="50"/>
        <v>113967919589.73367</v>
      </c>
      <c r="L90" s="312">
        <f t="shared" ca="1" si="50"/>
        <v>135641750146.36179</v>
      </c>
      <c r="M90" s="312">
        <f t="shared" ca="1" si="50"/>
        <v>157921345053.81873</v>
      </c>
      <c r="N90" s="312">
        <f t="shared" ca="1" si="50"/>
        <v>180824877242.62939</v>
      </c>
      <c r="O90" s="312">
        <f t="shared" ca="1" si="50"/>
        <v>204371064831.23438</v>
      </c>
      <c r="P90" s="312">
        <f t="shared" ca="1" si="50"/>
        <v>228579187481.6275</v>
      </c>
    </row>
    <row r="91" spans="1:16" ht="15" x14ac:dyDescent="0.2">
      <c r="B91" s="251" t="s">
        <v>160</v>
      </c>
      <c r="C91" s="252"/>
      <c r="D91" s="253">
        <f>+D89-D90</f>
        <v>0.35000228881835938</v>
      </c>
      <c r="E91" s="253">
        <f ca="1">+E89-E90</f>
        <v>-1.649993896484375</v>
      </c>
      <c r="F91" s="253">
        <f ca="1">+F89-F90</f>
        <v>-0.62714385986328125</v>
      </c>
      <c r="G91" s="253">
        <f t="shared" ref="G91:P91" ca="1" si="51">+G89-G90</f>
        <v>-32984987442.221882</v>
      </c>
      <c r="H91" s="253">
        <f t="shared" ca="1" si="51"/>
        <v>-52407132297.904633</v>
      </c>
      <c r="I91" s="253">
        <f t="shared" ca="1" si="51"/>
        <v>-72367490933.387863</v>
      </c>
      <c r="J91" s="253">
        <f t="shared" ca="1" si="51"/>
        <v>-92882209762.065598</v>
      </c>
      <c r="K91" s="253">
        <f t="shared" ca="1" si="51"/>
        <v>-113967919589.73367</v>
      </c>
      <c r="L91" s="253">
        <f t="shared" ca="1" si="51"/>
        <v>-135641750146.36179</v>
      </c>
      <c r="M91" s="253">
        <f t="shared" ca="1" si="51"/>
        <v>-157921345053.81873</v>
      </c>
      <c r="N91" s="253">
        <f t="shared" ca="1" si="51"/>
        <v>-180824877242.62939</v>
      </c>
      <c r="O91" s="253">
        <f t="shared" ca="1" si="51"/>
        <v>-204371064831.23438</v>
      </c>
      <c r="P91" s="253">
        <f t="shared" ca="1" si="51"/>
        <v>-228579187481.6275</v>
      </c>
    </row>
    <row r="92" spans="1:16" ht="15" x14ac:dyDescent="0.2">
      <c r="B92" s="237"/>
      <c r="C92" s="248"/>
      <c r="D92" s="248"/>
      <c r="E92" s="248"/>
      <c r="F92" s="240"/>
      <c r="G92" s="240"/>
      <c r="H92" s="240"/>
      <c r="I92" s="240"/>
      <c r="J92" s="240"/>
      <c r="K92" s="240"/>
      <c r="L92" s="240"/>
      <c r="M92" s="240"/>
      <c r="N92" s="240"/>
      <c r="O92" s="240"/>
      <c r="P92" s="240"/>
    </row>
    <row r="93" spans="1:16" x14ac:dyDescent="0.2">
      <c r="B93" s="275" t="s">
        <v>144</v>
      </c>
      <c r="C93" s="275"/>
      <c r="D93" s="281">
        <f>+D86-D58</f>
        <v>-0.35000228881835938</v>
      </c>
      <c r="E93" s="281">
        <f ca="1">+E86-E58</f>
        <v>0</v>
      </c>
      <c r="F93" s="281">
        <f ca="1">+F86-F58</f>
        <v>0</v>
      </c>
      <c r="G93" s="281">
        <f t="shared" ref="G93:P93" ca="1" si="52">+G86-G58</f>
        <v>0</v>
      </c>
      <c r="H93" s="281">
        <f t="shared" ca="1" si="52"/>
        <v>0</v>
      </c>
      <c r="I93" s="281">
        <f t="shared" ca="1" si="52"/>
        <v>0</v>
      </c>
      <c r="J93" s="281">
        <f t="shared" ca="1" si="52"/>
        <v>0</v>
      </c>
      <c r="K93" s="281">
        <f t="shared" ca="1" si="52"/>
        <v>0</v>
      </c>
      <c r="L93" s="281">
        <f t="shared" ca="1" si="52"/>
        <v>0</v>
      </c>
      <c r="M93" s="281">
        <f t="shared" ca="1" si="52"/>
        <v>0</v>
      </c>
      <c r="N93" s="281">
        <f t="shared" ca="1" si="52"/>
        <v>0</v>
      </c>
      <c r="O93" s="281">
        <f t="shared" ca="1" si="52"/>
        <v>0</v>
      </c>
      <c r="P93" s="281">
        <f t="shared" ca="1" si="52"/>
        <v>0</v>
      </c>
    </row>
    <row r="95" spans="1:16" ht="15" x14ac:dyDescent="0.2">
      <c r="A95" s="1" t="s">
        <v>147</v>
      </c>
      <c r="B95" s="233" t="s">
        <v>125</v>
      </c>
      <c r="C95" s="267"/>
      <c r="D95" s="267"/>
      <c r="E95" s="267"/>
      <c r="F95" s="282">
        <f>+F40</f>
        <v>44896</v>
      </c>
      <c r="G95" s="282">
        <f t="shared" ref="G95:P95" si="53">+G40</f>
        <v>45261</v>
      </c>
      <c r="H95" s="282">
        <f t="shared" si="53"/>
        <v>45627</v>
      </c>
      <c r="I95" s="282">
        <f t="shared" si="53"/>
        <v>45992</v>
      </c>
      <c r="J95" s="282">
        <f t="shared" si="53"/>
        <v>46357</v>
      </c>
      <c r="K95" s="282">
        <f t="shared" si="53"/>
        <v>46722</v>
      </c>
      <c r="L95" s="282">
        <f t="shared" si="53"/>
        <v>47088</v>
      </c>
      <c r="M95" s="282">
        <f t="shared" si="53"/>
        <v>47453</v>
      </c>
      <c r="N95" s="282">
        <f t="shared" si="53"/>
        <v>47818</v>
      </c>
      <c r="O95" s="282">
        <f t="shared" si="53"/>
        <v>48183</v>
      </c>
      <c r="P95" s="282">
        <f t="shared" si="53"/>
        <v>48549</v>
      </c>
    </row>
    <row r="96" spans="1:16" ht="15" x14ac:dyDescent="0.2">
      <c r="B96" s="235" t="s">
        <v>11</v>
      </c>
      <c r="C96" s="243"/>
      <c r="D96" s="341">
        <f>D20</f>
        <v>37394688757.330002</v>
      </c>
      <c r="E96" s="341">
        <f>E20</f>
        <v>60053379137.809998</v>
      </c>
      <c r="F96" s="247">
        <f t="shared" ref="F96:P96" si="54">+F20</f>
        <v>90224924508.630005</v>
      </c>
      <c r="G96" s="247">
        <f t="shared" si="54"/>
        <v>135337386762.94501</v>
      </c>
      <c r="H96" s="247">
        <f t="shared" si="54"/>
        <v>139397508365.83337</v>
      </c>
      <c r="I96" s="247">
        <f t="shared" si="54"/>
        <v>143579433616.80838</v>
      </c>
      <c r="J96" s="247">
        <f t="shared" si="54"/>
        <v>147886816625.31262</v>
      </c>
      <c r="K96" s="247">
        <f t="shared" si="54"/>
        <v>152323421124.07199</v>
      </c>
      <c r="L96" s="247">
        <f t="shared" si="54"/>
        <v>156893123757.79416</v>
      </c>
      <c r="M96" s="247">
        <f t="shared" si="54"/>
        <v>161599917470.52798</v>
      </c>
      <c r="N96" s="247">
        <f t="shared" si="54"/>
        <v>166447914994.64383</v>
      </c>
      <c r="O96" s="247">
        <f t="shared" si="54"/>
        <v>171441352444.48315</v>
      </c>
      <c r="P96" s="247">
        <f t="shared" si="54"/>
        <v>176584593017.81766</v>
      </c>
    </row>
    <row r="97" spans="2:16" ht="15" x14ac:dyDescent="0.2">
      <c r="B97" s="237" t="s">
        <v>12</v>
      </c>
      <c r="C97" s="248"/>
      <c r="D97" s="240">
        <f>D21</f>
        <v>-29483514718.740002</v>
      </c>
      <c r="E97" s="240">
        <f>E21</f>
        <v>-51897171186</v>
      </c>
      <c r="F97" s="240">
        <f t="shared" ref="F97:P97" si="55">+F21</f>
        <v>-70068461015.720001</v>
      </c>
      <c r="G97" s="240">
        <f t="shared" si="55"/>
        <v>-102856413939.83821</v>
      </c>
      <c r="H97" s="240">
        <f t="shared" si="55"/>
        <v>-104548131274.37503</v>
      </c>
      <c r="I97" s="240">
        <f t="shared" si="55"/>
        <v>-107684575212.60629</v>
      </c>
      <c r="J97" s="240">
        <f t="shared" si="55"/>
        <v>-110915112468.98447</v>
      </c>
      <c r="K97" s="240">
        <f t="shared" si="55"/>
        <v>-114242565843.05399</v>
      </c>
      <c r="L97" s="240">
        <f t="shared" si="55"/>
        <v>-117669842818.34561</v>
      </c>
      <c r="M97" s="240">
        <f t="shared" si="55"/>
        <v>-121199938102.896</v>
      </c>
      <c r="N97" s="240">
        <f t="shared" si="55"/>
        <v>-124835936245.98288</v>
      </c>
      <c r="O97" s="240">
        <f t="shared" si="55"/>
        <v>-128581014333.36237</v>
      </c>
      <c r="P97" s="240">
        <f t="shared" si="55"/>
        <v>-132438444763.36325</v>
      </c>
    </row>
    <row r="98" spans="2:16" ht="15" x14ac:dyDescent="0.2">
      <c r="B98" s="251" t="s">
        <v>13</v>
      </c>
      <c r="C98" s="252"/>
      <c r="D98" s="253">
        <f t="shared" ref="D98:E98" si="56">+D96+D97</f>
        <v>7911174038.5900002</v>
      </c>
      <c r="E98" s="253">
        <f t="shared" si="56"/>
        <v>8156207951.8099976</v>
      </c>
      <c r="F98" s="253">
        <f>+F96+F97</f>
        <v>20156463492.910004</v>
      </c>
      <c r="G98" s="253">
        <f t="shared" ref="G98:P98" si="57">+G96+G97</f>
        <v>32480972823.106796</v>
      </c>
      <c r="H98" s="253">
        <f t="shared" si="57"/>
        <v>34849377091.458344</v>
      </c>
      <c r="I98" s="253">
        <f t="shared" si="57"/>
        <v>35894858404.202087</v>
      </c>
      <c r="J98" s="253">
        <f t="shared" si="57"/>
        <v>36971704156.328156</v>
      </c>
      <c r="K98" s="253">
        <f t="shared" si="57"/>
        <v>38080855281.018005</v>
      </c>
      <c r="L98" s="253">
        <f t="shared" si="57"/>
        <v>39223280939.448547</v>
      </c>
      <c r="M98" s="253">
        <f t="shared" si="57"/>
        <v>40399979367.631989</v>
      </c>
      <c r="N98" s="253">
        <f t="shared" si="57"/>
        <v>41611978748.66095</v>
      </c>
      <c r="O98" s="253">
        <f t="shared" si="57"/>
        <v>42860338111.120789</v>
      </c>
      <c r="P98" s="253">
        <f t="shared" si="57"/>
        <v>44146148254.454407</v>
      </c>
    </row>
    <row r="99" spans="2:16" ht="15" x14ac:dyDescent="0.2">
      <c r="B99" s="237" t="s">
        <v>15</v>
      </c>
      <c r="C99" s="248"/>
      <c r="D99" s="240">
        <f t="shared" ref="D99:E99" si="58">+D23</f>
        <v>542085355.61000001</v>
      </c>
      <c r="E99" s="240">
        <f t="shared" si="58"/>
        <v>621747595</v>
      </c>
      <c r="F99" s="240">
        <f t="shared" ref="F99:P99" si="59">+F23</f>
        <v>411173278.94</v>
      </c>
      <c r="G99" s="240">
        <f t="shared" si="59"/>
        <v>676686933.81472504</v>
      </c>
      <c r="H99" s="240">
        <f t="shared" si="59"/>
        <v>696987541.82916689</v>
      </c>
      <c r="I99" s="240">
        <f t="shared" si="59"/>
        <v>717897168.08404195</v>
      </c>
      <c r="J99" s="240">
        <f t="shared" si="59"/>
        <v>739434083.12656307</v>
      </c>
      <c r="K99" s="240">
        <f t="shared" si="59"/>
        <v>761617105.62036002</v>
      </c>
      <c r="L99" s="240">
        <f t="shared" si="59"/>
        <v>784465618.78897083</v>
      </c>
      <c r="M99" s="240">
        <f t="shared" si="59"/>
        <v>807999587.35263991</v>
      </c>
      <c r="N99" s="240">
        <f t="shared" si="59"/>
        <v>832239574.97321916</v>
      </c>
      <c r="O99" s="240">
        <f t="shared" si="59"/>
        <v>857206762.2224158</v>
      </c>
      <c r="P99" s="240">
        <f t="shared" si="59"/>
        <v>882922965.08908832</v>
      </c>
    </row>
    <row r="100" spans="2:16" ht="15" x14ac:dyDescent="0.2">
      <c r="B100" s="237" t="s">
        <v>16</v>
      </c>
      <c r="C100" s="248"/>
      <c r="D100" s="240">
        <f>+D24</f>
        <v>-1412465074.45</v>
      </c>
      <c r="E100" s="240">
        <f t="shared" ref="E100" si="60">+E24</f>
        <v>-1949592871.48</v>
      </c>
      <c r="F100" s="240">
        <f t="shared" ref="F100:P100" si="61">+F24</f>
        <v>-2930296270.71</v>
      </c>
      <c r="G100" s="240">
        <f t="shared" si="61"/>
        <v>-4060121602.88835</v>
      </c>
      <c r="H100" s="240">
        <f t="shared" si="61"/>
        <v>-4181925250.9750009</v>
      </c>
      <c r="I100" s="240">
        <f t="shared" si="61"/>
        <v>-4307383008.5042515</v>
      </c>
      <c r="J100" s="240">
        <f t="shared" si="61"/>
        <v>-4436604498.7593784</v>
      </c>
      <c r="K100" s="240">
        <f t="shared" si="61"/>
        <v>-4569702633.7221594</v>
      </c>
      <c r="L100" s="240">
        <f t="shared" si="61"/>
        <v>-4706793712.7338247</v>
      </c>
      <c r="M100" s="240">
        <f t="shared" si="61"/>
        <v>-4847997524.115839</v>
      </c>
      <c r="N100" s="240">
        <f t="shared" si="61"/>
        <v>-4993437449.8393145</v>
      </c>
      <c r="O100" s="240">
        <f t="shared" si="61"/>
        <v>-5143240573.3344946</v>
      </c>
      <c r="P100" s="240">
        <f t="shared" si="61"/>
        <v>-5297537790.5345297</v>
      </c>
    </row>
    <row r="101" spans="2:16" ht="15" x14ac:dyDescent="0.2">
      <c r="B101" s="237" t="s">
        <v>17</v>
      </c>
      <c r="C101" s="248"/>
      <c r="D101" s="240">
        <f t="shared" ref="D101:E101" si="62">+D25</f>
        <v>-1416103261.5699999</v>
      </c>
      <c r="E101" s="240">
        <f t="shared" si="62"/>
        <v>-1646078488.9200001</v>
      </c>
      <c r="F101" s="240">
        <f t="shared" ref="F101:P101" si="63">+F25</f>
        <v>-1976551926.4200001</v>
      </c>
      <c r="G101" s="240">
        <f t="shared" si="63"/>
        <v>-2706747735.2589002</v>
      </c>
      <c r="H101" s="240">
        <f t="shared" si="63"/>
        <v>-2787950167.3166676</v>
      </c>
      <c r="I101" s="240">
        <f t="shared" si="63"/>
        <v>-2871588672.3361678</v>
      </c>
      <c r="J101" s="240">
        <f t="shared" si="63"/>
        <v>-2957736332.5062523</v>
      </c>
      <c r="K101" s="240">
        <f t="shared" si="63"/>
        <v>-3046468422.4814401</v>
      </c>
      <c r="L101" s="240">
        <f t="shared" si="63"/>
        <v>-3137862475.1558833</v>
      </c>
      <c r="M101" s="240">
        <f t="shared" si="63"/>
        <v>-3231998349.4105597</v>
      </c>
      <c r="N101" s="240">
        <f t="shared" si="63"/>
        <v>-3328958299.8928766</v>
      </c>
      <c r="O101" s="240">
        <f t="shared" si="63"/>
        <v>-3428827048.8896632</v>
      </c>
      <c r="P101" s="240">
        <f t="shared" si="63"/>
        <v>-3531691860.3563533</v>
      </c>
    </row>
    <row r="102" spans="2:16" ht="15" x14ac:dyDescent="0.2">
      <c r="B102" s="237" t="s">
        <v>18</v>
      </c>
      <c r="C102" s="248"/>
      <c r="D102" s="240">
        <f t="shared" ref="D102:E102" si="64">+D26</f>
        <v>-1460476548.73</v>
      </c>
      <c r="E102" s="240">
        <f t="shared" si="64"/>
        <v>-829110027.19000006</v>
      </c>
      <c r="F102" s="240">
        <f t="shared" ref="F102:P102" si="65">+F26</f>
        <v>-701702582.53999996</v>
      </c>
      <c r="G102" s="240">
        <f t="shared" si="65"/>
        <v>0</v>
      </c>
      <c r="H102" s="240">
        <f t="shared" si="65"/>
        <v>0</v>
      </c>
      <c r="I102" s="240">
        <f t="shared" si="65"/>
        <v>0</v>
      </c>
      <c r="J102" s="240">
        <f t="shared" si="65"/>
        <v>0</v>
      </c>
      <c r="K102" s="240">
        <f t="shared" si="65"/>
        <v>0</v>
      </c>
      <c r="L102" s="240">
        <f t="shared" si="65"/>
        <v>0</v>
      </c>
      <c r="M102" s="240">
        <f t="shared" si="65"/>
        <v>0</v>
      </c>
      <c r="N102" s="240">
        <f t="shared" si="65"/>
        <v>0</v>
      </c>
      <c r="O102" s="240">
        <f t="shared" si="65"/>
        <v>0</v>
      </c>
      <c r="P102" s="240">
        <f t="shared" si="65"/>
        <v>0</v>
      </c>
    </row>
    <row r="103" spans="2:16" ht="15" x14ac:dyDescent="0.2">
      <c r="B103" s="237" t="s">
        <v>19</v>
      </c>
      <c r="C103" s="248"/>
      <c r="D103" s="240">
        <f t="shared" ref="D103:E103" si="66">+D27</f>
        <v>-3630738148.9899998</v>
      </c>
      <c r="E103" s="240">
        <f t="shared" si="66"/>
        <v>-303311459.56</v>
      </c>
      <c r="F103" s="240">
        <f t="shared" ref="F103:P103" si="67">+F27</f>
        <v>-629843016.67999995</v>
      </c>
      <c r="G103" s="240">
        <f t="shared" si="67"/>
        <v>-947361707.34061503</v>
      </c>
      <c r="H103" s="240">
        <f t="shared" si="67"/>
        <v>-975782558.56083369</v>
      </c>
      <c r="I103" s="240">
        <f t="shared" si="67"/>
        <v>-1005056035.3176587</v>
      </c>
      <c r="J103" s="240">
        <f t="shared" si="67"/>
        <v>-1035207716.3771883</v>
      </c>
      <c r="K103" s="240">
        <f t="shared" si="67"/>
        <v>-1066263947.8685039</v>
      </c>
      <c r="L103" s="240">
        <f t="shared" si="67"/>
        <v>-1098251866.3045592</v>
      </c>
      <c r="M103" s="240">
        <f t="shared" si="67"/>
        <v>-1131199422.2936959</v>
      </c>
      <c r="N103" s="240">
        <f t="shared" si="67"/>
        <v>-1165135404.9625068</v>
      </c>
      <c r="O103" s="240">
        <f t="shared" si="67"/>
        <v>-1200089467.111382</v>
      </c>
      <c r="P103" s="240">
        <f t="shared" si="67"/>
        <v>-1236092151.1247237</v>
      </c>
    </row>
    <row r="104" spans="2:16" ht="15" x14ac:dyDescent="0.2">
      <c r="B104" s="255" t="s">
        <v>20</v>
      </c>
      <c r="C104" s="256"/>
      <c r="D104" s="253">
        <f t="shared" ref="D104:E104" si="68">+D98+SUM(D99:D103)</f>
        <v>533476360.46000099</v>
      </c>
      <c r="E104" s="253">
        <f t="shared" si="68"/>
        <v>4049862699.6599975</v>
      </c>
      <c r="F104" s="253">
        <f>+F98+SUM(F99:F103)</f>
        <v>14329242975.500004</v>
      </c>
      <c r="G104" s="253">
        <f t="shared" ref="G104:P104" si="69">+G98+SUM(G99:G103)</f>
        <v>25443428711.433655</v>
      </c>
      <c r="H104" s="253">
        <f t="shared" si="69"/>
        <v>27600706656.435009</v>
      </c>
      <c r="I104" s="253">
        <f t="shared" si="69"/>
        <v>28428727856.128052</v>
      </c>
      <c r="J104" s="253">
        <f t="shared" si="69"/>
        <v>29281589691.811897</v>
      </c>
      <c r="K104" s="253">
        <f t="shared" si="69"/>
        <v>30160037382.566261</v>
      </c>
      <c r="L104" s="253">
        <f t="shared" si="69"/>
        <v>31064838504.043251</v>
      </c>
      <c r="M104" s="253">
        <f t="shared" si="69"/>
        <v>31996783659.164536</v>
      </c>
      <c r="N104" s="253">
        <f t="shared" si="69"/>
        <v>32956687168.939468</v>
      </c>
      <c r="O104" s="253">
        <f t="shared" si="69"/>
        <v>33945387784.007668</v>
      </c>
      <c r="P104" s="253">
        <f t="shared" si="69"/>
        <v>34963749417.527893</v>
      </c>
    </row>
    <row r="106" spans="2:16" ht="15" x14ac:dyDescent="0.25">
      <c r="B106" s="258" t="s">
        <v>126</v>
      </c>
      <c r="C106" s="258"/>
      <c r="D106" s="258"/>
      <c r="E106" s="258"/>
      <c r="F106" s="258"/>
      <c r="G106" s="258"/>
      <c r="H106" s="258"/>
      <c r="I106" s="258"/>
      <c r="J106" s="258"/>
      <c r="K106" s="258"/>
      <c r="L106" s="258"/>
      <c r="M106" s="258"/>
      <c r="N106" s="258"/>
      <c r="O106" s="258"/>
      <c r="P106" s="258"/>
    </row>
    <row r="107" spans="2:16" ht="15" x14ac:dyDescent="0.2">
      <c r="B107" s="237" t="s">
        <v>15</v>
      </c>
      <c r="C107" s="248"/>
      <c r="D107" s="232">
        <f t="shared" ref="D107:E107" si="70">+D99</f>
        <v>542085355.61000001</v>
      </c>
      <c r="E107" s="232">
        <f t="shared" si="70"/>
        <v>621747595</v>
      </c>
      <c r="F107" s="232">
        <f>+F99</f>
        <v>411173278.94</v>
      </c>
      <c r="G107" s="232">
        <f t="shared" ref="G107:P107" si="71">+G99</f>
        <v>676686933.81472504</v>
      </c>
      <c r="H107" s="232">
        <f t="shared" si="71"/>
        <v>696987541.82916689</v>
      </c>
      <c r="I107" s="232">
        <f t="shared" si="71"/>
        <v>717897168.08404195</v>
      </c>
      <c r="J107" s="232">
        <f t="shared" si="71"/>
        <v>739434083.12656307</v>
      </c>
      <c r="K107" s="232">
        <f t="shared" si="71"/>
        <v>761617105.62036002</v>
      </c>
      <c r="L107" s="232">
        <f t="shared" si="71"/>
        <v>784465618.78897083</v>
      </c>
      <c r="M107" s="232">
        <f t="shared" si="71"/>
        <v>807999587.35263991</v>
      </c>
      <c r="N107" s="232">
        <f t="shared" si="71"/>
        <v>832239574.97321916</v>
      </c>
      <c r="O107" s="232">
        <f t="shared" si="71"/>
        <v>857206762.2224158</v>
      </c>
      <c r="P107" s="232">
        <f t="shared" si="71"/>
        <v>882922965.08908832</v>
      </c>
    </row>
    <row r="108" spans="2:16" ht="15" x14ac:dyDescent="0.2">
      <c r="B108" s="237" t="s">
        <v>18</v>
      </c>
      <c r="C108" s="248"/>
      <c r="D108" s="232">
        <f t="shared" ref="D108:E108" si="72">+D102</f>
        <v>-1460476548.73</v>
      </c>
      <c r="E108" s="232">
        <f t="shared" si="72"/>
        <v>-829110027.19000006</v>
      </c>
      <c r="F108" s="232">
        <f>+F102</f>
        <v>-701702582.53999996</v>
      </c>
      <c r="G108" s="232">
        <f t="shared" ref="G108:P108" si="73">+G102</f>
        <v>0</v>
      </c>
      <c r="H108" s="232">
        <f t="shared" si="73"/>
        <v>0</v>
      </c>
      <c r="I108" s="232">
        <f t="shared" si="73"/>
        <v>0</v>
      </c>
      <c r="J108" s="232">
        <f t="shared" si="73"/>
        <v>0</v>
      </c>
      <c r="K108" s="232">
        <f t="shared" si="73"/>
        <v>0</v>
      </c>
      <c r="L108" s="232">
        <f t="shared" si="73"/>
        <v>0</v>
      </c>
      <c r="M108" s="232">
        <f t="shared" si="73"/>
        <v>0</v>
      </c>
      <c r="N108" s="232">
        <f t="shared" si="73"/>
        <v>0</v>
      </c>
      <c r="O108" s="232">
        <f t="shared" si="73"/>
        <v>0</v>
      </c>
      <c r="P108" s="232">
        <f t="shared" si="73"/>
        <v>0</v>
      </c>
    </row>
    <row r="109" spans="2:16" ht="15" x14ac:dyDescent="0.2">
      <c r="B109" s="237" t="s">
        <v>19</v>
      </c>
      <c r="C109" s="248"/>
      <c r="D109" s="232">
        <f t="shared" ref="D109:E109" si="74">+D103</f>
        <v>-3630738148.9899998</v>
      </c>
      <c r="E109" s="232">
        <f t="shared" si="74"/>
        <v>-303311459.56</v>
      </c>
      <c r="F109" s="232">
        <f>+F103</f>
        <v>-629843016.67999995</v>
      </c>
      <c r="G109" s="232">
        <f t="shared" ref="G109:P109" si="75">+G103</f>
        <v>-947361707.34061503</v>
      </c>
      <c r="H109" s="232">
        <f t="shared" si="75"/>
        <v>-975782558.56083369</v>
      </c>
      <c r="I109" s="232">
        <f t="shared" si="75"/>
        <v>-1005056035.3176587</v>
      </c>
      <c r="J109" s="232">
        <f t="shared" si="75"/>
        <v>-1035207716.3771883</v>
      </c>
      <c r="K109" s="232">
        <f t="shared" si="75"/>
        <v>-1066263947.8685039</v>
      </c>
      <c r="L109" s="232">
        <f t="shared" si="75"/>
        <v>-1098251866.3045592</v>
      </c>
      <c r="M109" s="232">
        <f t="shared" si="75"/>
        <v>-1131199422.2936959</v>
      </c>
      <c r="N109" s="232">
        <f t="shared" si="75"/>
        <v>-1165135404.9625068</v>
      </c>
      <c r="O109" s="232">
        <f t="shared" si="75"/>
        <v>-1200089467.111382</v>
      </c>
      <c r="P109" s="232">
        <f t="shared" si="75"/>
        <v>-1236092151.1247237</v>
      </c>
    </row>
    <row r="110" spans="2:16" ht="15" x14ac:dyDescent="0.2">
      <c r="B110" s="237"/>
      <c r="C110" s="248"/>
      <c r="D110" s="248"/>
      <c r="E110" s="248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2"/>
    </row>
    <row r="111" spans="2:16" ht="15" x14ac:dyDescent="0.2">
      <c r="B111" s="255" t="s">
        <v>127</v>
      </c>
      <c r="C111" s="256"/>
      <c r="D111" s="253">
        <f t="shared" ref="D111:E111" si="76">+D104-SUM(D107:D109)</f>
        <v>5082605702.5700006</v>
      </c>
      <c r="E111" s="253">
        <f t="shared" si="76"/>
        <v>4560536591.4099979</v>
      </c>
      <c r="F111" s="253">
        <f>+F104-SUM(F107:F109)</f>
        <v>15249615295.780005</v>
      </c>
      <c r="G111" s="253">
        <f t="shared" ref="G111:P111" si="77">+G104-SUM(G107:G109)</f>
        <v>25714103484.959545</v>
      </c>
      <c r="H111" s="253">
        <f t="shared" si="77"/>
        <v>27879501673.166676</v>
      </c>
      <c r="I111" s="253">
        <f t="shared" si="77"/>
        <v>28715886723.361668</v>
      </c>
      <c r="J111" s="253">
        <f t="shared" si="77"/>
        <v>29577363325.062523</v>
      </c>
      <c r="K111" s="253">
        <f t="shared" si="77"/>
        <v>30464684224.814404</v>
      </c>
      <c r="L111" s="253">
        <f t="shared" si="77"/>
        <v>31378624751.558838</v>
      </c>
      <c r="M111" s="253">
        <f t="shared" si="77"/>
        <v>32319983494.105591</v>
      </c>
      <c r="N111" s="253">
        <f t="shared" si="77"/>
        <v>33289582998.928757</v>
      </c>
      <c r="O111" s="253">
        <f t="shared" si="77"/>
        <v>34288270488.896633</v>
      </c>
      <c r="P111" s="253">
        <f t="shared" si="77"/>
        <v>35316918603.56353</v>
      </c>
    </row>
    <row r="112" spans="2:16" x14ac:dyDescent="0.2">
      <c r="B112" s="1" t="s">
        <v>89</v>
      </c>
      <c r="D112" s="232">
        <f>+-'ER 2022-2021 '!$D$37*'CF 2021-2022'!D111</f>
        <v>-1801866680.0079095</v>
      </c>
      <c r="E112" s="232">
        <f>+-'ER 2022-2021 '!$D$37*'CF 2021-2022'!E111</f>
        <v>-1616784658.8735743</v>
      </c>
      <c r="F112" s="232">
        <f>+-'ER 2022-2021 '!$D$37*'CF 2021-2022'!F111</f>
        <v>-5406237527.0446253</v>
      </c>
      <c r="G112" s="232">
        <f>+-'ER 2022-2021 '!$D$37*'CF 2021-2022'!G111</f>
        <v>-9116069391.8073502</v>
      </c>
      <c r="H112" s="232">
        <f>+-'ER 2022-2021 '!$D$37*'CF 2021-2022'!H111</f>
        <v>-9883738393.2227097</v>
      </c>
      <c r="I112" s="232">
        <f>+-'ER 2022-2021 '!$D$37*'CF 2021-2022'!I111</f>
        <v>-10180250545.019388</v>
      </c>
      <c r="J112" s="232">
        <f>+-'ER 2022-2021 '!$D$37*'CF 2021-2022'!J111</f>
        <v>-10485658061.36997</v>
      </c>
      <c r="K112" s="232">
        <f>+-'ER 2022-2021 '!$D$37*'CF 2021-2022'!K111</f>
        <v>-10800227803.211071</v>
      </c>
      <c r="L112" s="232">
        <f>+-'ER 2022-2021 '!$D$37*'CF 2021-2022'!L111</f>
        <v>-11124234637.307405</v>
      </c>
      <c r="M112" s="232">
        <f>+-'ER 2022-2021 '!$D$37*'CF 2021-2022'!M111</f>
        <v>-11457961676.426622</v>
      </c>
      <c r="N112" s="232">
        <f>+-'ER 2022-2021 '!$D$37*'CF 2021-2022'!N111</f>
        <v>-11801700526.719421</v>
      </c>
      <c r="O112" s="232">
        <f>+-'ER 2022-2021 '!$D$37*'CF 2021-2022'!O111</f>
        <v>-12155751542.521008</v>
      </c>
      <c r="P112" s="232">
        <f>+-'ER 2022-2021 '!$D$37*'CF 2021-2022'!P111</f>
        <v>-12520424088.796637</v>
      </c>
    </row>
    <row r="113" spans="2:16" ht="15" x14ac:dyDescent="0.2">
      <c r="B113" s="255" t="s">
        <v>88</v>
      </c>
      <c r="C113" s="256"/>
      <c r="D113" s="253">
        <f t="shared" ref="D113:E113" si="78">+D111+D112</f>
        <v>3280739022.5620909</v>
      </c>
      <c r="E113" s="253">
        <f t="shared" si="78"/>
        <v>2943751932.5364237</v>
      </c>
      <c r="F113" s="253">
        <f>+F111+F112</f>
        <v>9843377768.7353783</v>
      </c>
      <c r="G113" s="253">
        <f t="shared" ref="G113:P113" si="79">+G111+G112</f>
        <v>16598034093.152195</v>
      </c>
      <c r="H113" s="253">
        <f t="shared" si="79"/>
        <v>17995763279.943966</v>
      </c>
      <c r="I113" s="253">
        <f t="shared" si="79"/>
        <v>18535636178.342278</v>
      </c>
      <c r="J113" s="253">
        <f t="shared" si="79"/>
        <v>19091705263.692551</v>
      </c>
      <c r="K113" s="253">
        <f t="shared" si="79"/>
        <v>19664456421.603333</v>
      </c>
      <c r="L113" s="253">
        <f t="shared" si="79"/>
        <v>20254390114.251434</v>
      </c>
      <c r="M113" s="253">
        <f t="shared" si="79"/>
        <v>20862021817.67897</v>
      </c>
      <c r="N113" s="253">
        <f t="shared" si="79"/>
        <v>21487882472.209335</v>
      </c>
      <c r="O113" s="253">
        <f t="shared" si="79"/>
        <v>22132518946.375626</v>
      </c>
      <c r="P113" s="253">
        <f t="shared" si="79"/>
        <v>22796494514.766891</v>
      </c>
    </row>
    <row r="114" spans="2:16" x14ac:dyDescent="0.2">
      <c r="B114" s="1" t="s">
        <v>128</v>
      </c>
      <c r="D114" s="283">
        <v>-187751615</v>
      </c>
      <c r="E114" s="283">
        <v>-187751614</v>
      </c>
      <c r="F114" s="283">
        <v>-187751613</v>
      </c>
      <c r="G114" s="283"/>
      <c r="H114" s="283"/>
      <c r="I114" s="283"/>
      <c r="J114" s="283"/>
      <c r="K114" s="283"/>
      <c r="L114" s="283"/>
      <c r="M114" s="283"/>
      <c r="N114" s="283"/>
      <c r="O114" s="283"/>
      <c r="P114" s="283"/>
    </row>
    <row r="115" spans="2:16" ht="15" x14ac:dyDescent="0.2">
      <c r="B115" s="255" t="s">
        <v>87</v>
      </c>
      <c r="C115" s="256"/>
      <c r="D115" s="253">
        <f t="shared" ref="D115:E115" si="80">+D113-D114</f>
        <v>3468490637.5620909</v>
      </c>
      <c r="E115" s="253">
        <f t="shared" si="80"/>
        <v>3131503546.5364237</v>
      </c>
      <c r="F115" s="253">
        <f>+F113-F114</f>
        <v>10031129381.735378</v>
      </c>
      <c r="G115" s="253">
        <f t="shared" ref="G115:P115" si="81">+G113-G114</f>
        <v>16598034093.152195</v>
      </c>
      <c r="H115" s="253">
        <f t="shared" si="81"/>
        <v>17995763279.943966</v>
      </c>
      <c r="I115" s="253">
        <f t="shared" si="81"/>
        <v>18535636178.342278</v>
      </c>
      <c r="J115" s="253">
        <f t="shared" si="81"/>
        <v>19091705263.692551</v>
      </c>
      <c r="K115" s="253">
        <f t="shared" si="81"/>
        <v>19664456421.603333</v>
      </c>
      <c r="L115" s="253">
        <f t="shared" si="81"/>
        <v>20254390114.251434</v>
      </c>
      <c r="M115" s="253">
        <f t="shared" si="81"/>
        <v>20862021817.67897</v>
      </c>
      <c r="N115" s="253">
        <f t="shared" si="81"/>
        <v>21487882472.209335</v>
      </c>
      <c r="O115" s="253">
        <f t="shared" si="81"/>
        <v>22132518946.375626</v>
      </c>
      <c r="P115" s="253">
        <f t="shared" si="81"/>
        <v>22796494514.766891</v>
      </c>
    </row>
    <row r="117" spans="2:16" ht="15" x14ac:dyDescent="0.25">
      <c r="B117" s="260" t="s">
        <v>129</v>
      </c>
      <c r="C117" s="260"/>
      <c r="D117" s="260"/>
      <c r="E117" s="261">
        <f t="shared" ref="E117" si="82">+SUM(E118:E120)</f>
        <v>-1066163417.7599993</v>
      </c>
      <c r="F117" s="261">
        <f>+SUM(F118:F120)</f>
        <v>-2132388221.1800003</v>
      </c>
      <c r="G117" s="261">
        <f t="shared" ref="G117:P117" si="83">+SUM(G118:G120)</f>
        <v>20338102251.290001</v>
      </c>
      <c r="H117" s="261">
        <f t="shared" si="83"/>
        <v>0</v>
      </c>
      <c r="I117" s="261">
        <f t="shared" si="83"/>
        <v>0</v>
      </c>
      <c r="J117" s="261">
        <f t="shared" si="83"/>
        <v>0</v>
      </c>
      <c r="K117" s="261">
        <f t="shared" si="83"/>
        <v>0</v>
      </c>
      <c r="L117" s="261">
        <f t="shared" si="83"/>
        <v>0</v>
      </c>
      <c r="M117" s="261">
        <f t="shared" si="83"/>
        <v>0</v>
      </c>
      <c r="N117" s="261">
        <f t="shared" si="83"/>
        <v>0</v>
      </c>
      <c r="O117" s="261">
        <f t="shared" si="83"/>
        <v>0</v>
      </c>
      <c r="P117" s="261">
        <f t="shared" si="83"/>
        <v>0</v>
      </c>
    </row>
    <row r="118" spans="2:16" x14ac:dyDescent="0.2">
      <c r="B118" s="245" t="s">
        <v>46</v>
      </c>
      <c r="E118" s="19">
        <f t="shared" ref="E118" si="84">+-(E47-D47)</f>
        <v>-1114359525.5500002</v>
      </c>
      <c r="F118" s="19">
        <f>+-(F47-E47)</f>
        <v>-1462529540.3500004</v>
      </c>
      <c r="G118" s="19">
        <f t="shared" ref="G118:P118" si="85">+-(G47-F47)</f>
        <v>7901915097.3000002</v>
      </c>
      <c r="H118" s="19">
        <f t="shared" si="85"/>
        <v>0</v>
      </c>
      <c r="I118" s="19">
        <f t="shared" si="85"/>
        <v>0</v>
      </c>
      <c r="J118" s="19">
        <f t="shared" si="85"/>
        <v>0</v>
      </c>
      <c r="K118" s="19">
        <f t="shared" si="85"/>
        <v>0</v>
      </c>
      <c r="L118" s="19">
        <f t="shared" si="85"/>
        <v>0</v>
      </c>
      <c r="M118" s="19">
        <f t="shared" si="85"/>
        <v>0</v>
      </c>
      <c r="N118" s="19">
        <f t="shared" si="85"/>
        <v>0</v>
      </c>
      <c r="O118" s="19">
        <f t="shared" si="85"/>
        <v>0</v>
      </c>
      <c r="P118" s="19">
        <f t="shared" si="85"/>
        <v>0</v>
      </c>
    </row>
    <row r="119" spans="2:16" x14ac:dyDescent="0.2">
      <c r="B119" s="245" t="s">
        <v>47</v>
      </c>
      <c r="E119" s="19">
        <f t="shared" ref="E119" si="86">+-(E48-D48)</f>
        <v>-75782892.209999084</v>
      </c>
      <c r="F119" s="19">
        <f>+-(F48-E48)</f>
        <v>-301684680.82999992</v>
      </c>
      <c r="G119" s="19">
        <f t="shared" ref="G119:P119" si="87">+-(G48-F48)</f>
        <v>10866193153.99</v>
      </c>
      <c r="H119" s="19">
        <f t="shared" si="87"/>
        <v>0</v>
      </c>
      <c r="I119" s="19">
        <f t="shared" si="87"/>
        <v>0</v>
      </c>
      <c r="J119" s="19">
        <f t="shared" si="87"/>
        <v>0</v>
      </c>
      <c r="K119" s="19">
        <f t="shared" si="87"/>
        <v>0</v>
      </c>
      <c r="L119" s="19">
        <f t="shared" si="87"/>
        <v>0</v>
      </c>
      <c r="M119" s="19">
        <f t="shared" si="87"/>
        <v>0</v>
      </c>
      <c r="N119" s="19">
        <f t="shared" si="87"/>
        <v>0</v>
      </c>
      <c r="O119" s="19">
        <f t="shared" si="87"/>
        <v>0</v>
      </c>
      <c r="P119" s="19">
        <f t="shared" si="87"/>
        <v>0</v>
      </c>
    </row>
    <row r="120" spans="2:16" x14ac:dyDescent="0.2">
      <c r="B120" s="245" t="s">
        <v>48</v>
      </c>
      <c r="E120" s="19">
        <f t="shared" ref="E120" si="88">+-(E49-D49)</f>
        <v>123979000</v>
      </c>
      <c r="F120" s="19">
        <f>+-(F49-E49)</f>
        <v>-368174000</v>
      </c>
      <c r="G120" s="19">
        <f t="shared" ref="G120:P120" si="89">+-(G49-F49)</f>
        <v>1569994000</v>
      </c>
      <c r="H120" s="19">
        <f t="shared" si="89"/>
        <v>0</v>
      </c>
      <c r="I120" s="19">
        <f t="shared" si="89"/>
        <v>0</v>
      </c>
      <c r="J120" s="19">
        <f t="shared" si="89"/>
        <v>0</v>
      </c>
      <c r="K120" s="19">
        <f t="shared" si="89"/>
        <v>0</v>
      </c>
      <c r="L120" s="19">
        <f t="shared" si="89"/>
        <v>0</v>
      </c>
      <c r="M120" s="19">
        <f t="shared" si="89"/>
        <v>0</v>
      </c>
      <c r="N120" s="19">
        <f t="shared" si="89"/>
        <v>0</v>
      </c>
      <c r="O120" s="19">
        <f t="shared" si="89"/>
        <v>0</v>
      </c>
      <c r="P120" s="19">
        <f t="shared" si="89"/>
        <v>0</v>
      </c>
    </row>
    <row r="121" spans="2:16" ht="15" x14ac:dyDescent="0.25">
      <c r="B121" s="260" t="s">
        <v>130</v>
      </c>
      <c r="C121" s="260"/>
      <c r="D121" s="260"/>
      <c r="E121" s="261">
        <f t="shared" ref="E121" si="90">+SUM(E122:E125)</f>
        <v>-595594298.62468505</v>
      </c>
      <c r="F121" s="261">
        <f>+SUM(F122:F125)</f>
        <v>683103667.64468479</v>
      </c>
      <c r="G121" s="261">
        <f t="shared" ref="G121:P121" si="91">+SUM(G122:G125)</f>
        <v>-11993055504.6</v>
      </c>
      <c r="H121" s="261">
        <f t="shared" si="91"/>
        <v>0</v>
      </c>
      <c r="I121" s="261">
        <f t="shared" si="91"/>
        <v>0</v>
      </c>
      <c r="J121" s="261">
        <f t="shared" si="91"/>
        <v>0</v>
      </c>
      <c r="K121" s="261">
        <f t="shared" si="91"/>
        <v>0</v>
      </c>
      <c r="L121" s="261">
        <f t="shared" si="91"/>
        <v>0</v>
      </c>
      <c r="M121" s="261">
        <f t="shared" si="91"/>
        <v>0</v>
      </c>
      <c r="N121" s="261">
        <f t="shared" si="91"/>
        <v>0</v>
      </c>
      <c r="O121" s="261">
        <f t="shared" si="91"/>
        <v>0</v>
      </c>
      <c r="P121" s="261">
        <f t="shared" si="91"/>
        <v>0</v>
      </c>
    </row>
    <row r="122" spans="2:16" x14ac:dyDescent="0.2">
      <c r="B122" s="245" t="s">
        <v>59</v>
      </c>
      <c r="E122" s="19">
        <f t="shared" ref="E122" si="92">+(E63-D63)</f>
        <v>-101536000</v>
      </c>
      <c r="F122" s="19">
        <f>+(F63-E63)</f>
        <v>212195000</v>
      </c>
      <c r="G122" s="19">
        <f t="shared" ref="G122:P122" si="93">+(G63-F63)</f>
        <v>-2157079000</v>
      </c>
      <c r="H122" s="19">
        <f t="shared" si="93"/>
        <v>0</v>
      </c>
      <c r="I122" s="19">
        <f t="shared" si="93"/>
        <v>0</v>
      </c>
      <c r="J122" s="19">
        <f t="shared" si="93"/>
        <v>0</v>
      </c>
      <c r="K122" s="19">
        <f t="shared" si="93"/>
        <v>0</v>
      </c>
      <c r="L122" s="19">
        <f t="shared" si="93"/>
        <v>0</v>
      </c>
      <c r="M122" s="19">
        <f t="shared" si="93"/>
        <v>0</v>
      </c>
      <c r="N122" s="19">
        <f t="shared" si="93"/>
        <v>0</v>
      </c>
      <c r="O122" s="19">
        <f t="shared" si="93"/>
        <v>0</v>
      </c>
      <c r="P122" s="19">
        <f t="shared" si="93"/>
        <v>0</v>
      </c>
    </row>
    <row r="123" spans="2:16" x14ac:dyDescent="0.2">
      <c r="B123" s="262" t="s">
        <v>85</v>
      </c>
      <c r="E123" s="19">
        <f t="shared" ref="E123" si="94">+(E65-D65)</f>
        <v>-636137336.26000023</v>
      </c>
      <c r="F123" s="19">
        <f>+(F65-E65)</f>
        <v>-3245301861.5700006</v>
      </c>
      <c r="G123" s="19">
        <f t="shared" ref="G123:P123" si="95">+(G65-F65)</f>
        <v>-4480219088.4399996</v>
      </c>
      <c r="H123" s="19">
        <f t="shared" si="95"/>
        <v>0</v>
      </c>
      <c r="I123" s="19">
        <f t="shared" si="95"/>
        <v>0</v>
      </c>
      <c r="J123" s="19">
        <f t="shared" si="95"/>
        <v>0</v>
      </c>
      <c r="K123" s="19">
        <f t="shared" si="95"/>
        <v>0</v>
      </c>
      <c r="L123" s="19">
        <f t="shared" si="95"/>
        <v>0</v>
      </c>
      <c r="M123" s="19">
        <f t="shared" si="95"/>
        <v>0</v>
      </c>
      <c r="N123" s="19">
        <f t="shared" si="95"/>
        <v>0</v>
      </c>
      <c r="O123" s="19">
        <f t="shared" si="95"/>
        <v>0</v>
      </c>
      <c r="P123" s="19">
        <f t="shared" si="95"/>
        <v>0</v>
      </c>
    </row>
    <row r="124" spans="2:16" x14ac:dyDescent="0.2">
      <c r="B124" s="245" t="s">
        <v>62</v>
      </c>
      <c r="E124" s="19">
        <f t="shared" ref="E124" si="96">+(E66-D66)</f>
        <v>75539037.689999998</v>
      </c>
      <c r="F124" s="19">
        <f>+(F66-E66)</f>
        <v>37243012</v>
      </c>
      <c r="G124" s="19">
        <f t="shared" ref="G124:P124" si="97">+(G66-F66)</f>
        <v>-275806899</v>
      </c>
      <c r="H124" s="19">
        <f t="shared" si="97"/>
        <v>0</v>
      </c>
      <c r="I124" s="19">
        <f t="shared" si="97"/>
        <v>0</v>
      </c>
      <c r="J124" s="19">
        <f t="shared" si="97"/>
        <v>0</v>
      </c>
      <c r="K124" s="19">
        <f t="shared" si="97"/>
        <v>0</v>
      </c>
      <c r="L124" s="19">
        <f t="shared" si="97"/>
        <v>0</v>
      </c>
      <c r="M124" s="19">
        <f t="shared" si="97"/>
        <v>0</v>
      </c>
      <c r="N124" s="19">
        <f t="shared" si="97"/>
        <v>0</v>
      </c>
      <c r="O124" s="19">
        <f t="shared" si="97"/>
        <v>0</v>
      </c>
      <c r="P124" s="19">
        <f t="shared" si="97"/>
        <v>0</v>
      </c>
    </row>
    <row r="125" spans="2:16" x14ac:dyDescent="0.2">
      <c r="B125" s="245" t="s">
        <v>63</v>
      </c>
      <c r="E125" s="19">
        <f t="shared" ref="E125" si="98">+(E67-D67)</f>
        <v>66539999.945315123</v>
      </c>
      <c r="F125" s="19">
        <f>+(F67-E67)</f>
        <v>3678967517.2146854</v>
      </c>
      <c r="G125" s="19">
        <f t="shared" ref="G125:P125" si="99">+(G67-F67)</f>
        <v>-5079950517.1600008</v>
      </c>
      <c r="H125" s="19">
        <f t="shared" si="99"/>
        <v>0</v>
      </c>
      <c r="I125" s="19">
        <f t="shared" si="99"/>
        <v>0</v>
      </c>
      <c r="J125" s="19">
        <f t="shared" si="99"/>
        <v>0</v>
      </c>
      <c r="K125" s="19">
        <f t="shared" si="99"/>
        <v>0</v>
      </c>
      <c r="L125" s="19">
        <f t="shared" si="99"/>
        <v>0</v>
      </c>
      <c r="M125" s="19">
        <f t="shared" si="99"/>
        <v>0</v>
      </c>
      <c r="N125" s="19">
        <f t="shared" si="99"/>
        <v>0</v>
      </c>
      <c r="O125" s="19">
        <f t="shared" si="99"/>
        <v>0</v>
      </c>
      <c r="P125" s="19">
        <f t="shared" si="99"/>
        <v>0</v>
      </c>
    </row>
    <row r="126" spans="2:16" ht="15" x14ac:dyDescent="0.25">
      <c r="B126" s="263" t="s">
        <v>131</v>
      </c>
      <c r="C126" s="263"/>
      <c r="D126" s="263"/>
      <c r="E126" s="264">
        <f>+E117+E121</f>
        <v>-1661757716.3846843</v>
      </c>
      <c r="F126" s="264">
        <f>+F117+F121</f>
        <v>-1449284553.5353155</v>
      </c>
      <c r="G126" s="264">
        <f t="shared" ref="G126:P126" si="100">+G117+G121</f>
        <v>8345046746.6900005</v>
      </c>
      <c r="H126" s="264">
        <f t="shared" si="100"/>
        <v>0</v>
      </c>
      <c r="I126" s="264">
        <f t="shared" si="100"/>
        <v>0</v>
      </c>
      <c r="J126" s="264">
        <f t="shared" si="100"/>
        <v>0</v>
      </c>
      <c r="K126" s="264">
        <f t="shared" si="100"/>
        <v>0</v>
      </c>
      <c r="L126" s="264">
        <f t="shared" si="100"/>
        <v>0</v>
      </c>
      <c r="M126" s="264">
        <f t="shared" si="100"/>
        <v>0</v>
      </c>
      <c r="N126" s="264">
        <f t="shared" si="100"/>
        <v>0</v>
      </c>
      <c r="O126" s="264">
        <f t="shared" si="100"/>
        <v>0</v>
      </c>
      <c r="P126" s="264">
        <f t="shared" si="100"/>
        <v>0</v>
      </c>
    </row>
    <row r="127" spans="2:16" ht="15" x14ac:dyDescent="0.25">
      <c r="B127" s="265" t="s">
        <v>132</v>
      </c>
      <c r="C127" s="265"/>
      <c r="D127" s="265"/>
      <c r="E127" s="266">
        <f t="shared" ref="E127" si="101">+E115+E126</f>
        <v>1469745830.1517394</v>
      </c>
      <c r="F127" s="266">
        <f>+F115+F126</f>
        <v>8581844828.2000628</v>
      </c>
      <c r="G127" s="266">
        <f t="shared" ref="G127:P127" si="102">+G115+G126</f>
        <v>24943080839.842194</v>
      </c>
      <c r="H127" s="266">
        <f t="shared" si="102"/>
        <v>17995763279.943966</v>
      </c>
      <c r="I127" s="266">
        <f t="shared" si="102"/>
        <v>18535636178.342278</v>
      </c>
      <c r="J127" s="266">
        <f t="shared" si="102"/>
        <v>19091705263.692551</v>
      </c>
      <c r="K127" s="266">
        <f t="shared" si="102"/>
        <v>19664456421.603333</v>
      </c>
      <c r="L127" s="266">
        <f t="shared" si="102"/>
        <v>20254390114.251434</v>
      </c>
      <c r="M127" s="266">
        <f t="shared" si="102"/>
        <v>20862021817.67897</v>
      </c>
      <c r="N127" s="266">
        <f t="shared" si="102"/>
        <v>21487882472.209335</v>
      </c>
      <c r="O127" s="266">
        <f t="shared" si="102"/>
        <v>22132518946.375626</v>
      </c>
      <c r="P127" s="266">
        <f t="shared" si="102"/>
        <v>22796494514.766891</v>
      </c>
    </row>
    <row r="128" spans="2:16" x14ac:dyDescent="0.2">
      <c r="B128" s="1" t="s">
        <v>51</v>
      </c>
      <c r="E128" s="19">
        <f t="shared" ref="E128" si="103">+-(E53-D53)+E114</f>
        <v>280139122.43999863</v>
      </c>
      <c r="F128" s="19">
        <f>+-(F53-E53)+F114</f>
        <v>707401206.78000069</v>
      </c>
      <c r="G128" s="19">
        <f t="shared" ref="G128:P128" si="104">+-(G53-F53)+G114</f>
        <v>9741985241.0799999</v>
      </c>
      <c r="H128" s="19">
        <f t="shared" si="104"/>
        <v>0</v>
      </c>
      <c r="I128" s="19">
        <f t="shared" si="104"/>
        <v>0</v>
      </c>
      <c r="J128" s="19">
        <f t="shared" si="104"/>
        <v>0</v>
      </c>
      <c r="K128" s="19">
        <f t="shared" si="104"/>
        <v>0</v>
      </c>
      <c r="L128" s="19">
        <f t="shared" si="104"/>
        <v>0</v>
      </c>
      <c r="M128" s="19">
        <f t="shared" si="104"/>
        <v>0</v>
      </c>
      <c r="N128" s="19">
        <f t="shared" si="104"/>
        <v>0</v>
      </c>
      <c r="O128" s="19">
        <f t="shared" si="104"/>
        <v>0</v>
      </c>
      <c r="P128" s="19">
        <f t="shared" si="104"/>
        <v>0</v>
      </c>
    </row>
    <row r="129" spans="2:16" ht="15" x14ac:dyDescent="0.25">
      <c r="B129" s="263" t="s">
        <v>115</v>
      </c>
      <c r="C129" s="263"/>
      <c r="D129" s="263"/>
      <c r="E129" s="264">
        <f t="shared" ref="E129" si="105">+E126+E128</f>
        <v>-1381618593.9446857</v>
      </c>
      <c r="F129" s="264">
        <f>+F126+F128</f>
        <v>-741883346.75531483</v>
      </c>
      <c r="G129" s="264">
        <f t="shared" ref="G129:P129" si="106">+G126+G128</f>
        <v>18087031987.77</v>
      </c>
      <c r="H129" s="264">
        <f t="shared" si="106"/>
        <v>0</v>
      </c>
      <c r="I129" s="264">
        <f t="shared" si="106"/>
        <v>0</v>
      </c>
      <c r="J129" s="264">
        <f t="shared" si="106"/>
        <v>0</v>
      </c>
      <c r="K129" s="264">
        <f t="shared" si="106"/>
        <v>0</v>
      </c>
      <c r="L129" s="264">
        <f t="shared" si="106"/>
        <v>0</v>
      </c>
      <c r="M129" s="264">
        <f t="shared" si="106"/>
        <v>0</v>
      </c>
      <c r="N129" s="264">
        <f t="shared" si="106"/>
        <v>0</v>
      </c>
      <c r="O129" s="264">
        <f t="shared" si="106"/>
        <v>0</v>
      </c>
      <c r="P129" s="264">
        <f t="shared" si="106"/>
        <v>0</v>
      </c>
    </row>
    <row r="130" spans="2:16" ht="15" x14ac:dyDescent="0.25">
      <c r="B130" s="265" t="s">
        <v>116</v>
      </c>
      <c r="C130" s="265"/>
      <c r="D130" s="265"/>
      <c r="E130" s="266">
        <f t="shared" ref="E130" si="107">+E127+E128</f>
        <v>1749884952.591738</v>
      </c>
      <c r="F130" s="266">
        <f>+F127+F128</f>
        <v>9289246034.9800644</v>
      </c>
      <c r="G130" s="266">
        <f t="shared" ref="G130:P130" si="108">+G127+G128</f>
        <v>34685066080.922195</v>
      </c>
      <c r="H130" s="266">
        <f t="shared" si="108"/>
        <v>17995763279.943966</v>
      </c>
      <c r="I130" s="266">
        <f t="shared" si="108"/>
        <v>18535636178.342278</v>
      </c>
      <c r="J130" s="266">
        <f t="shared" si="108"/>
        <v>19091705263.692551</v>
      </c>
      <c r="K130" s="266">
        <f t="shared" si="108"/>
        <v>19664456421.603333</v>
      </c>
      <c r="L130" s="266">
        <f t="shared" si="108"/>
        <v>20254390114.251434</v>
      </c>
      <c r="M130" s="266">
        <f t="shared" si="108"/>
        <v>20862021817.67897</v>
      </c>
      <c r="N130" s="266">
        <f t="shared" si="108"/>
        <v>21487882472.209335</v>
      </c>
      <c r="O130" s="266">
        <f t="shared" si="108"/>
        <v>22132518946.375626</v>
      </c>
      <c r="P130" s="266">
        <f t="shared" si="108"/>
        <v>22796494514.766891</v>
      </c>
    </row>
    <row r="131" spans="2:16" x14ac:dyDescent="0.2">
      <c r="B131" s="237" t="s">
        <v>15</v>
      </c>
      <c r="E131" s="19">
        <f t="shared" ref="E131" si="109">+E99</f>
        <v>621747595</v>
      </c>
      <c r="F131" s="19">
        <f>+F99</f>
        <v>411173278.94</v>
      </c>
      <c r="G131" s="19">
        <f t="shared" ref="G131:P131" si="110">+G99</f>
        <v>676686933.81472504</v>
      </c>
      <c r="H131" s="19">
        <f t="shared" si="110"/>
        <v>696987541.82916689</v>
      </c>
      <c r="I131" s="19">
        <f t="shared" si="110"/>
        <v>717897168.08404195</v>
      </c>
      <c r="J131" s="19">
        <f t="shared" si="110"/>
        <v>739434083.12656307</v>
      </c>
      <c r="K131" s="19">
        <f t="shared" si="110"/>
        <v>761617105.62036002</v>
      </c>
      <c r="L131" s="19">
        <f t="shared" si="110"/>
        <v>784465618.78897083</v>
      </c>
      <c r="M131" s="19">
        <f t="shared" si="110"/>
        <v>807999587.35263991</v>
      </c>
      <c r="N131" s="19">
        <f t="shared" si="110"/>
        <v>832239574.97321916</v>
      </c>
      <c r="O131" s="19">
        <f t="shared" si="110"/>
        <v>857206762.2224158</v>
      </c>
      <c r="P131" s="19">
        <f t="shared" si="110"/>
        <v>882922965.08908832</v>
      </c>
    </row>
    <row r="132" spans="2:16" x14ac:dyDescent="0.2">
      <c r="B132" s="237" t="s">
        <v>19</v>
      </c>
      <c r="E132" s="19">
        <f t="shared" ref="E132" si="111">+E103</f>
        <v>-303311459.56</v>
      </c>
      <c r="F132" s="19">
        <f>+F103</f>
        <v>-629843016.67999995</v>
      </c>
      <c r="G132" s="19">
        <f t="shared" ref="G132:P132" si="112">+G103</f>
        <v>-947361707.34061503</v>
      </c>
      <c r="H132" s="19">
        <f t="shared" si="112"/>
        <v>-975782558.56083369</v>
      </c>
      <c r="I132" s="19">
        <f t="shared" si="112"/>
        <v>-1005056035.3176587</v>
      </c>
      <c r="J132" s="19">
        <f t="shared" si="112"/>
        <v>-1035207716.3771883</v>
      </c>
      <c r="K132" s="19">
        <f t="shared" si="112"/>
        <v>-1066263947.8685039</v>
      </c>
      <c r="L132" s="19">
        <f t="shared" si="112"/>
        <v>-1098251866.3045592</v>
      </c>
      <c r="M132" s="19">
        <f t="shared" si="112"/>
        <v>-1131199422.2936959</v>
      </c>
      <c r="N132" s="19">
        <f t="shared" si="112"/>
        <v>-1165135404.9625068</v>
      </c>
      <c r="O132" s="19">
        <f t="shared" si="112"/>
        <v>-1200089467.111382</v>
      </c>
      <c r="P132" s="19">
        <f t="shared" si="112"/>
        <v>-1236092151.1247237</v>
      </c>
    </row>
    <row r="133" spans="2:16" x14ac:dyDescent="0.2">
      <c r="B133" s="1" t="s">
        <v>133</v>
      </c>
      <c r="E133" s="19">
        <f>+(E131+E132)*-'ER 2022-2021 '!$D$37</f>
        <v>-112890807.53789191</v>
      </c>
      <c r="F133" s="19">
        <f>+(F131+F132)*-'ER 2022-2021 '!$D$37</f>
        <v>77521991.163025379</v>
      </c>
      <c r="G133" s="19">
        <f>+(G131+G132)*-'ER 2022-2021 '!$D$37</f>
        <v>95958625.17691949</v>
      </c>
      <c r="H133" s="19">
        <f>+(H131+H132)*-'ER 2022-2021 '!$D$37</f>
        <v>98837383.932227105</v>
      </c>
      <c r="I133" s="19">
        <f>+(I131+I132)*-'ER 2022-2021 '!$D$37</f>
        <v>101802505.45019388</v>
      </c>
      <c r="J133" s="19">
        <f>+(J131+J132)*-'ER 2022-2021 '!$D$37</f>
        <v>104856580.61369972</v>
      </c>
      <c r="K133" s="19">
        <f>+(K131+K132)*-'ER 2022-2021 '!$D$37</f>
        <v>108002278.03211068</v>
      </c>
      <c r="L133" s="19">
        <f>+(L131+L132)*-'ER 2022-2021 '!$D$37</f>
        <v>111242346.37307405</v>
      </c>
      <c r="M133" s="19">
        <f>+(M131+M132)*-'ER 2022-2021 '!$D$37</f>
        <v>114579616.76426627</v>
      </c>
      <c r="N133" s="19">
        <f>+(N131+N132)*-'ER 2022-2021 '!$D$37</f>
        <v>118017005.26719423</v>
      </c>
      <c r="O133" s="19">
        <f>+(O131+O132)*-'ER 2022-2021 '!$D$37</f>
        <v>121557515.42521003</v>
      </c>
      <c r="P133" s="19">
        <f>+(P131+P132)*-'ER 2022-2021 '!$D$37</f>
        <v>125204240.88796639</v>
      </c>
    </row>
    <row r="134" spans="2:16" x14ac:dyDescent="0.2">
      <c r="B134" s="1" t="s">
        <v>134</v>
      </c>
      <c r="E134" s="19">
        <f t="shared" ref="E134" si="113">+E32</f>
        <v>496089060</v>
      </c>
      <c r="F134" s="19">
        <f>+F32</f>
        <v>1481685529</v>
      </c>
      <c r="G134" s="19">
        <f t="shared" ref="G134:P134" si="114">+G32</f>
        <v>1481685529</v>
      </c>
      <c r="H134" s="19">
        <f t="shared" si="114"/>
        <v>1481685529</v>
      </c>
      <c r="I134" s="19">
        <f t="shared" si="114"/>
        <v>1481685529</v>
      </c>
      <c r="J134" s="19">
        <f t="shared" si="114"/>
        <v>1481685529</v>
      </c>
      <c r="K134" s="19">
        <f t="shared" si="114"/>
        <v>1481685529</v>
      </c>
      <c r="L134" s="19">
        <f t="shared" si="114"/>
        <v>1481685529</v>
      </c>
      <c r="M134" s="19">
        <f t="shared" si="114"/>
        <v>1481685529</v>
      </c>
      <c r="N134" s="19">
        <f t="shared" si="114"/>
        <v>1481685529</v>
      </c>
      <c r="O134" s="19">
        <f t="shared" si="114"/>
        <v>1481685529</v>
      </c>
      <c r="P134" s="19">
        <f t="shared" si="114"/>
        <v>1481685529</v>
      </c>
    </row>
    <row r="135" spans="2:16" ht="15" x14ac:dyDescent="0.25">
      <c r="B135" s="263" t="s">
        <v>117</v>
      </c>
      <c r="C135" s="263"/>
      <c r="D135" s="263"/>
      <c r="E135" s="264">
        <f t="shared" ref="E135" si="115">+SUM(E131:E134)</f>
        <v>701634387.90210807</v>
      </c>
      <c r="F135" s="264">
        <f>+SUM(F131:F134)</f>
        <v>1340537782.4230254</v>
      </c>
      <c r="G135" s="264">
        <f t="shared" ref="G135:P135" si="116">+SUM(G131:G134)</f>
        <v>1306969380.6510296</v>
      </c>
      <c r="H135" s="264">
        <f t="shared" si="116"/>
        <v>1301727896.2005603</v>
      </c>
      <c r="I135" s="264">
        <f t="shared" si="116"/>
        <v>1296329167.2165771</v>
      </c>
      <c r="J135" s="264">
        <f t="shared" si="116"/>
        <v>1290768476.3630745</v>
      </c>
      <c r="K135" s="264">
        <f t="shared" si="116"/>
        <v>1285040964.7839668</v>
      </c>
      <c r="L135" s="264">
        <f t="shared" si="116"/>
        <v>1279141627.8574858</v>
      </c>
      <c r="M135" s="264">
        <f t="shared" si="116"/>
        <v>1273065310.8232102</v>
      </c>
      <c r="N135" s="264">
        <f t="shared" si="116"/>
        <v>1266806704.2779067</v>
      </c>
      <c r="O135" s="264">
        <f t="shared" si="116"/>
        <v>1260360339.5362439</v>
      </c>
      <c r="P135" s="264">
        <f t="shared" si="116"/>
        <v>1253720583.8523312</v>
      </c>
    </row>
    <row r="136" spans="2:16" x14ac:dyDescent="0.2">
      <c r="B136" s="1" t="s">
        <v>44</v>
      </c>
      <c r="E136" s="19">
        <f t="shared" ref="E136" si="117">+-(E45-D45)</f>
        <v>-534726139.82999992</v>
      </c>
      <c r="F136" s="19">
        <f>+-(F45-E45)</f>
        <v>-866953981.06000018</v>
      </c>
      <c r="G136" s="19">
        <f t="shared" ref="G136:P136" si="118">+-(G45-F45)</f>
        <v>2594834404.1300001</v>
      </c>
      <c r="H136" s="19">
        <f t="shared" si="118"/>
        <v>0</v>
      </c>
      <c r="I136" s="19">
        <f t="shared" si="118"/>
        <v>0</v>
      </c>
      <c r="J136" s="19">
        <f t="shared" si="118"/>
        <v>0</v>
      </c>
      <c r="K136" s="19">
        <f t="shared" si="118"/>
        <v>0</v>
      </c>
      <c r="L136" s="19">
        <f t="shared" si="118"/>
        <v>0</v>
      </c>
      <c r="M136" s="19">
        <f t="shared" si="118"/>
        <v>0</v>
      </c>
      <c r="N136" s="19">
        <f t="shared" si="118"/>
        <v>0</v>
      </c>
      <c r="O136" s="19">
        <f t="shared" si="118"/>
        <v>0</v>
      </c>
      <c r="P136" s="19">
        <f t="shared" si="118"/>
        <v>0</v>
      </c>
    </row>
    <row r="137" spans="2:16" x14ac:dyDescent="0.2">
      <c r="B137" s="1" t="s">
        <v>45</v>
      </c>
      <c r="E137" s="19">
        <f t="shared" ref="E137" si="119">+-(E46-D46)</f>
        <v>106200858</v>
      </c>
      <c r="F137" s="19">
        <f>+-(F46-E46)</f>
        <v>21725046</v>
      </c>
      <c r="G137" s="19">
        <f t="shared" ref="G137:P137" si="120">+-(G46-F46)</f>
        <v>0</v>
      </c>
      <c r="H137" s="19">
        <f t="shared" si="120"/>
        <v>0</v>
      </c>
      <c r="I137" s="19">
        <f t="shared" si="120"/>
        <v>0</v>
      </c>
      <c r="J137" s="19">
        <f t="shared" si="120"/>
        <v>0</v>
      </c>
      <c r="K137" s="19">
        <f t="shared" si="120"/>
        <v>0</v>
      </c>
      <c r="L137" s="19">
        <f t="shared" si="120"/>
        <v>0</v>
      </c>
      <c r="M137" s="19">
        <f t="shared" si="120"/>
        <v>0</v>
      </c>
      <c r="N137" s="19">
        <f t="shared" si="120"/>
        <v>0</v>
      </c>
      <c r="O137" s="19">
        <f t="shared" si="120"/>
        <v>0</v>
      </c>
      <c r="P137" s="19">
        <f t="shared" si="120"/>
        <v>0</v>
      </c>
    </row>
    <row r="138" spans="2:16" x14ac:dyDescent="0.2">
      <c r="B138" s="1" t="s">
        <v>52</v>
      </c>
      <c r="E138" s="19">
        <f t="shared" ref="E138" si="121">+-(E54-D54)</f>
        <v>0</v>
      </c>
      <c r="F138" s="19">
        <f>+-(F54-E54)</f>
        <v>0</v>
      </c>
      <c r="G138" s="19">
        <f t="shared" ref="G138:P138" si="122">+-(G54-F54)</f>
        <v>1223030000</v>
      </c>
      <c r="H138" s="19">
        <f t="shared" si="122"/>
        <v>0</v>
      </c>
      <c r="I138" s="19">
        <f t="shared" si="122"/>
        <v>0</v>
      </c>
      <c r="J138" s="19">
        <f t="shared" si="122"/>
        <v>0</v>
      </c>
      <c r="K138" s="19">
        <f t="shared" si="122"/>
        <v>0</v>
      </c>
      <c r="L138" s="19">
        <f t="shared" si="122"/>
        <v>0</v>
      </c>
      <c r="M138" s="19">
        <f t="shared" si="122"/>
        <v>0</v>
      </c>
      <c r="N138" s="19">
        <f t="shared" si="122"/>
        <v>0</v>
      </c>
      <c r="O138" s="19">
        <f t="shared" si="122"/>
        <v>0</v>
      </c>
      <c r="P138" s="19">
        <f t="shared" si="122"/>
        <v>0</v>
      </c>
    </row>
    <row r="139" spans="2:16" x14ac:dyDescent="0.2">
      <c r="B139" s="1" t="s">
        <v>53</v>
      </c>
      <c r="E139" s="19">
        <f t="shared" ref="E139" si="123">+-(E55-D55)</f>
        <v>5970000</v>
      </c>
      <c r="F139" s="19">
        <f>+-(F55-E55)</f>
        <v>0</v>
      </c>
      <c r="G139" s="19">
        <f t="shared" ref="G139:P139" si="124">+-(G55-F55)</f>
        <v>0</v>
      </c>
      <c r="H139" s="19">
        <f t="shared" si="124"/>
        <v>0</v>
      </c>
      <c r="I139" s="19">
        <f t="shared" si="124"/>
        <v>0</v>
      </c>
      <c r="J139" s="19">
        <f t="shared" si="124"/>
        <v>0</v>
      </c>
      <c r="K139" s="19">
        <f t="shared" si="124"/>
        <v>0</v>
      </c>
      <c r="L139" s="19">
        <f t="shared" si="124"/>
        <v>0</v>
      </c>
      <c r="M139" s="19">
        <f t="shared" si="124"/>
        <v>0</v>
      </c>
      <c r="N139" s="19">
        <f t="shared" si="124"/>
        <v>0</v>
      </c>
      <c r="O139" s="19">
        <f t="shared" si="124"/>
        <v>0</v>
      </c>
      <c r="P139" s="19">
        <f t="shared" si="124"/>
        <v>0</v>
      </c>
    </row>
    <row r="140" spans="2:16" x14ac:dyDescent="0.2">
      <c r="B140" s="1" t="s">
        <v>48</v>
      </c>
      <c r="E140" s="19">
        <f t="shared" ref="E140" si="125">+-(E56-D56)</f>
        <v>285163400</v>
      </c>
      <c r="F140" s="19">
        <f>+-(F56-E56)</f>
        <v>-976884720.072855</v>
      </c>
      <c r="G140" s="19">
        <f t="shared" ref="G140:P140" si="126">+-(G56-F56)</f>
        <v>1240741209.072855</v>
      </c>
      <c r="H140" s="19">
        <f t="shared" si="126"/>
        <v>0</v>
      </c>
      <c r="I140" s="19">
        <f t="shared" si="126"/>
        <v>0</v>
      </c>
      <c r="J140" s="19">
        <f t="shared" si="126"/>
        <v>0</v>
      </c>
      <c r="K140" s="19">
        <f t="shared" si="126"/>
        <v>0</v>
      </c>
      <c r="L140" s="19">
        <f t="shared" si="126"/>
        <v>0</v>
      </c>
      <c r="M140" s="19">
        <f t="shared" si="126"/>
        <v>0</v>
      </c>
      <c r="N140" s="19">
        <f t="shared" si="126"/>
        <v>0</v>
      </c>
      <c r="O140" s="19">
        <f t="shared" si="126"/>
        <v>0</v>
      </c>
      <c r="P140" s="19">
        <f t="shared" si="126"/>
        <v>0</v>
      </c>
    </row>
    <row r="141" spans="2:16" x14ac:dyDescent="0.2">
      <c r="B141" s="1" t="s">
        <v>66</v>
      </c>
      <c r="E141" s="19">
        <f>+(E72-D72)</f>
        <v>259730700.22</v>
      </c>
      <c r="F141" s="19">
        <f>+(F72-E72)</f>
        <v>-234121379</v>
      </c>
      <c r="G141" s="19">
        <f t="shared" ref="G141:P141" si="127">+(G72-F72)</f>
        <v>-217884946.44</v>
      </c>
      <c r="H141" s="19">
        <f t="shared" si="127"/>
        <v>0</v>
      </c>
      <c r="I141" s="19">
        <f t="shared" si="127"/>
        <v>0</v>
      </c>
      <c r="J141" s="19">
        <f t="shared" si="127"/>
        <v>0</v>
      </c>
      <c r="K141" s="19">
        <f t="shared" si="127"/>
        <v>0</v>
      </c>
      <c r="L141" s="19">
        <f t="shared" si="127"/>
        <v>0</v>
      </c>
      <c r="M141" s="19">
        <f t="shared" si="127"/>
        <v>0</v>
      </c>
      <c r="N141" s="19">
        <f t="shared" si="127"/>
        <v>0</v>
      </c>
      <c r="O141" s="19">
        <f t="shared" si="127"/>
        <v>0</v>
      </c>
      <c r="P141" s="19">
        <f t="shared" si="127"/>
        <v>0</v>
      </c>
    </row>
    <row r="142" spans="2:16" x14ac:dyDescent="0.2">
      <c r="B142" s="1" t="s">
        <v>67</v>
      </c>
      <c r="E142" s="19">
        <f t="shared" ref="E142" si="128">+(E73-D73)</f>
        <v>777832477.32000017</v>
      </c>
      <c r="F142" s="19">
        <f>+(F73-E73)</f>
        <v>-2492547041.79</v>
      </c>
      <c r="G142" s="19">
        <f t="shared" ref="G142:P142" si="129">+(G73-F73)</f>
        <v>-1790011691.4200001</v>
      </c>
      <c r="H142" s="19">
        <f t="shared" si="129"/>
        <v>0</v>
      </c>
      <c r="I142" s="19">
        <f t="shared" si="129"/>
        <v>0</v>
      </c>
      <c r="J142" s="19">
        <f t="shared" si="129"/>
        <v>0</v>
      </c>
      <c r="K142" s="19">
        <f t="shared" si="129"/>
        <v>0</v>
      </c>
      <c r="L142" s="19">
        <f t="shared" si="129"/>
        <v>0</v>
      </c>
      <c r="M142" s="19">
        <f t="shared" si="129"/>
        <v>0</v>
      </c>
      <c r="N142" s="19">
        <f t="shared" si="129"/>
        <v>0</v>
      </c>
      <c r="O142" s="19">
        <f t="shared" si="129"/>
        <v>0</v>
      </c>
      <c r="P142" s="19">
        <f t="shared" si="129"/>
        <v>0</v>
      </c>
    </row>
    <row r="143" spans="2:16" x14ac:dyDescent="0.2">
      <c r="B143" s="1" t="s">
        <v>63</v>
      </c>
      <c r="E143" s="19">
        <f t="shared" ref="E143" si="130">+(E74-D74)</f>
        <v>-486657481</v>
      </c>
      <c r="F143" s="19">
        <f>+(F74-E74)</f>
        <v>-504800809</v>
      </c>
      <c r="G143" s="19">
        <f t="shared" ref="G143:P143" si="131">+(G74-F74)</f>
        <v>-35114588</v>
      </c>
      <c r="H143" s="19">
        <f t="shared" si="131"/>
        <v>0</v>
      </c>
      <c r="I143" s="19">
        <f t="shared" si="131"/>
        <v>0</v>
      </c>
      <c r="J143" s="19">
        <f t="shared" si="131"/>
        <v>0</v>
      </c>
      <c r="K143" s="19">
        <f t="shared" si="131"/>
        <v>0</v>
      </c>
      <c r="L143" s="19">
        <f t="shared" si="131"/>
        <v>0</v>
      </c>
      <c r="M143" s="19">
        <f t="shared" si="131"/>
        <v>0</v>
      </c>
      <c r="N143" s="19">
        <f t="shared" si="131"/>
        <v>0</v>
      </c>
      <c r="O143" s="19">
        <f t="shared" si="131"/>
        <v>0</v>
      </c>
      <c r="P143" s="19">
        <f t="shared" si="131"/>
        <v>0</v>
      </c>
    </row>
    <row r="144" spans="2:16" ht="15" x14ac:dyDescent="0.25">
      <c r="B144" s="263" t="s">
        <v>118</v>
      </c>
      <c r="C144" s="263"/>
      <c r="D144" s="263"/>
      <c r="E144" s="264">
        <f t="shared" ref="E144" si="132">+SUM(E136:E143)</f>
        <v>413513814.71000028</v>
      </c>
      <c r="F144" s="264">
        <f>+SUM(F136:F143)</f>
        <v>-5053582884.9228554</v>
      </c>
      <c r="G144" s="264">
        <f t="shared" ref="G144:P144" si="133">+SUM(G136:G143)</f>
        <v>3015594387.3428555</v>
      </c>
      <c r="H144" s="264">
        <f t="shared" si="133"/>
        <v>0</v>
      </c>
      <c r="I144" s="264">
        <f t="shared" si="133"/>
        <v>0</v>
      </c>
      <c r="J144" s="264">
        <f t="shared" si="133"/>
        <v>0</v>
      </c>
      <c r="K144" s="264">
        <f t="shared" si="133"/>
        <v>0</v>
      </c>
      <c r="L144" s="264">
        <f t="shared" si="133"/>
        <v>0</v>
      </c>
      <c r="M144" s="264">
        <f t="shared" si="133"/>
        <v>0</v>
      </c>
      <c r="N144" s="264">
        <f t="shared" si="133"/>
        <v>0</v>
      </c>
      <c r="O144" s="264">
        <f t="shared" si="133"/>
        <v>0</v>
      </c>
      <c r="P144" s="264">
        <f t="shared" si="133"/>
        <v>0</v>
      </c>
    </row>
    <row r="145" spans="2:16" ht="15" x14ac:dyDescent="0.25">
      <c r="B145" s="265" t="s">
        <v>116</v>
      </c>
      <c r="C145" s="265"/>
      <c r="D145" s="265"/>
      <c r="E145" s="266">
        <f t="shared" ref="E145" si="134">+E130+E135+E144</f>
        <v>2865033155.203846</v>
      </c>
      <c r="F145" s="266">
        <f>+F130+F135+F144</f>
        <v>5576200932.4802341</v>
      </c>
      <c r="G145" s="266">
        <f t="shared" ref="G145:P145" si="135">+G130+G135+G144</f>
        <v>39007629848.916084</v>
      </c>
      <c r="H145" s="266">
        <f t="shared" si="135"/>
        <v>19297491176.144527</v>
      </c>
      <c r="I145" s="266">
        <f t="shared" si="135"/>
        <v>19831965345.558853</v>
      </c>
      <c r="J145" s="266">
        <f t="shared" si="135"/>
        <v>20382473740.055626</v>
      </c>
      <c r="K145" s="266">
        <f t="shared" si="135"/>
        <v>20949497386.387299</v>
      </c>
      <c r="L145" s="266">
        <f t="shared" si="135"/>
        <v>21533531742.108921</v>
      </c>
      <c r="M145" s="266">
        <f t="shared" si="135"/>
        <v>22135087128.502182</v>
      </c>
      <c r="N145" s="266">
        <f t="shared" si="135"/>
        <v>22754689176.487244</v>
      </c>
      <c r="O145" s="266">
        <f t="shared" si="135"/>
        <v>23392879285.911869</v>
      </c>
      <c r="P145" s="266">
        <f t="shared" si="135"/>
        <v>24050215098.619225</v>
      </c>
    </row>
    <row r="146" spans="2:16" x14ac:dyDescent="0.2">
      <c r="B146" s="1" t="s">
        <v>18</v>
      </c>
      <c r="E146" s="19">
        <f t="shared" ref="E146" si="136">+E102</f>
        <v>-829110027.19000006</v>
      </c>
      <c r="F146" s="19">
        <f>+F102</f>
        <v>-701702582.53999996</v>
      </c>
      <c r="G146" s="19">
        <f t="shared" ref="G146:P146" si="137">+G102</f>
        <v>0</v>
      </c>
      <c r="H146" s="19">
        <f t="shared" si="137"/>
        <v>0</v>
      </c>
      <c r="I146" s="19">
        <f t="shared" si="137"/>
        <v>0</v>
      </c>
      <c r="J146" s="19">
        <f t="shared" si="137"/>
        <v>0</v>
      </c>
      <c r="K146" s="19">
        <f t="shared" si="137"/>
        <v>0</v>
      </c>
      <c r="L146" s="19">
        <f t="shared" si="137"/>
        <v>0</v>
      </c>
      <c r="M146" s="19">
        <f t="shared" si="137"/>
        <v>0</v>
      </c>
      <c r="N146" s="19">
        <f t="shared" si="137"/>
        <v>0</v>
      </c>
      <c r="O146" s="19">
        <f t="shared" si="137"/>
        <v>0</v>
      </c>
      <c r="P146" s="19">
        <f t="shared" si="137"/>
        <v>0</v>
      </c>
    </row>
    <row r="147" spans="2:16" x14ac:dyDescent="0.2">
      <c r="B147" s="1" t="s">
        <v>135</v>
      </c>
      <c r="E147" s="232">
        <f>+E146*-'ER 2022-2021 '!$D$37</f>
        <v>293933037.3982591</v>
      </c>
      <c r="F147" s="232">
        <f>+F146*-'ER 2022-2021 '!$D$37</f>
        <v>248765018.72159779</v>
      </c>
      <c r="G147" s="232">
        <f>+G146*-'ER 2022-2021 '!$D$37</f>
        <v>0</v>
      </c>
      <c r="H147" s="232">
        <f>+H146*-'ER 2022-2021 '!$D$37</f>
        <v>0</v>
      </c>
      <c r="I147" s="232">
        <f>+I146*-'ER 2022-2021 '!$D$37</f>
        <v>0</v>
      </c>
      <c r="J147" s="232">
        <f>+J146*-'ER 2022-2021 '!$D$37</f>
        <v>0</v>
      </c>
      <c r="K147" s="232">
        <f>+K146*-'ER 2022-2021 '!$D$37</f>
        <v>0</v>
      </c>
      <c r="L147" s="232">
        <f>+L146*-'ER 2022-2021 '!$D$37</f>
        <v>0</v>
      </c>
      <c r="M147" s="232">
        <f>+M146*-'ER 2022-2021 '!$D$37</f>
        <v>0</v>
      </c>
      <c r="N147" s="232">
        <f>+N146*-'ER 2022-2021 '!$D$37</f>
        <v>0</v>
      </c>
      <c r="O147" s="232">
        <f>+O146*-'ER 2022-2021 '!$D$37</f>
        <v>0</v>
      </c>
      <c r="P147" s="232">
        <f>+P146*-'ER 2022-2021 '!$D$37</f>
        <v>0</v>
      </c>
    </row>
    <row r="148" spans="2:16" x14ac:dyDescent="0.2">
      <c r="B148" s="1" t="s">
        <v>60</v>
      </c>
      <c r="E148" s="19">
        <f t="shared" ref="E148" si="138">+(E64-D64)</f>
        <v>-435099042.07999992</v>
      </c>
      <c r="F148" s="19">
        <f>+(F64-E64)</f>
        <v>-1776933799.1600001</v>
      </c>
      <c r="G148" s="19">
        <f t="shared" ref="G148:P148" si="139">+(G64-F64)</f>
        <v>-518309522.00999999</v>
      </c>
      <c r="H148" s="19">
        <f t="shared" si="139"/>
        <v>0</v>
      </c>
      <c r="I148" s="19">
        <f t="shared" si="139"/>
        <v>0</v>
      </c>
      <c r="J148" s="19">
        <f t="shared" si="139"/>
        <v>0</v>
      </c>
      <c r="K148" s="19">
        <f t="shared" si="139"/>
        <v>0</v>
      </c>
      <c r="L148" s="19">
        <f t="shared" si="139"/>
        <v>0</v>
      </c>
      <c r="M148" s="19">
        <f t="shared" si="139"/>
        <v>0</v>
      </c>
      <c r="N148" s="19">
        <f t="shared" si="139"/>
        <v>0</v>
      </c>
      <c r="O148" s="19">
        <f t="shared" si="139"/>
        <v>0</v>
      </c>
      <c r="P148" s="19">
        <f t="shared" si="139"/>
        <v>0</v>
      </c>
    </row>
    <row r="149" spans="2:16" x14ac:dyDescent="0.2">
      <c r="B149" s="1" t="s">
        <v>60</v>
      </c>
      <c r="E149" s="19">
        <f t="shared" ref="E149" si="140">+(E71-D71)</f>
        <v>-1191744674</v>
      </c>
      <c r="F149" s="19">
        <f>+(F71-E71)</f>
        <v>-1724574345.98</v>
      </c>
      <c r="G149" s="19">
        <f t="shared" ref="G149:P149" si="141">+(G71-F71)</f>
        <v>-236690165</v>
      </c>
      <c r="H149" s="19">
        <f t="shared" si="141"/>
        <v>0</v>
      </c>
      <c r="I149" s="19">
        <f t="shared" si="141"/>
        <v>0</v>
      </c>
      <c r="J149" s="19">
        <f t="shared" si="141"/>
        <v>0</v>
      </c>
      <c r="K149" s="19">
        <f t="shared" si="141"/>
        <v>0</v>
      </c>
      <c r="L149" s="19">
        <f t="shared" si="141"/>
        <v>0</v>
      </c>
      <c r="M149" s="19">
        <f t="shared" si="141"/>
        <v>0</v>
      </c>
      <c r="N149" s="19">
        <f t="shared" si="141"/>
        <v>0</v>
      </c>
      <c r="O149" s="19">
        <f t="shared" si="141"/>
        <v>0</v>
      </c>
      <c r="P149" s="19">
        <f t="shared" si="141"/>
        <v>0</v>
      </c>
    </row>
    <row r="150" spans="2:16" ht="15" x14ac:dyDescent="0.25">
      <c r="B150" s="263" t="s">
        <v>119</v>
      </c>
      <c r="C150" s="263"/>
      <c r="D150" s="263"/>
      <c r="E150" s="264">
        <f t="shared" ref="E150" si="142">+SUM(E146:E149)</f>
        <v>-2162020705.8717408</v>
      </c>
      <c r="F150" s="264">
        <f>+SUM(F146:F149)</f>
        <v>-3954445708.9584022</v>
      </c>
      <c r="G150" s="264">
        <f t="shared" ref="G150:P150" si="143">+SUM(G146:G149)</f>
        <v>-754999687.00999999</v>
      </c>
      <c r="H150" s="264">
        <f t="shared" si="143"/>
        <v>0</v>
      </c>
      <c r="I150" s="264">
        <f t="shared" si="143"/>
        <v>0</v>
      </c>
      <c r="J150" s="264">
        <f t="shared" si="143"/>
        <v>0</v>
      </c>
      <c r="K150" s="264">
        <f t="shared" si="143"/>
        <v>0</v>
      </c>
      <c r="L150" s="264">
        <f t="shared" si="143"/>
        <v>0</v>
      </c>
      <c r="M150" s="264">
        <f t="shared" si="143"/>
        <v>0</v>
      </c>
      <c r="N150" s="264">
        <f t="shared" si="143"/>
        <v>0</v>
      </c>
      <c r="O150" s="264">
        <f t="shared" si="143"/>
        <v>0</v>
      </c>
      <c r="P150" s="264">
        <f t="shared" si="143"/>
        <v>0</v>
      </c>
    </row>
    <row r="151" spans="2:16" ht="15" x14ac:dyDescent="0.25">
      <c r="B151" s="265" t="s">
        <v>136</v>
      </c>
      <c r="C151" s="265"/>
      <c r="D151" s="265"/>
      <c r="E151" s="266">
        <f>+E145+E150</f>
        <v>703012449.33210516</v>
      </c>
      <c r="F151" s="266">
        <f>+F145+F150</f>
        <v>1621755223.521832</v>
      </c>
      <c r="G151" s="266">
        <f t="shared" ref="G151:P151" si="144">+G145+G150</f>
        <v>38252630161.906082</v>
      </c>
      <c r="H151" s="266">
        <f t="shared" si="144"/>
        <v>19297491176.144527</v>
      </c>
      <c r="I151" s="266">
        <f t="shared" si="144"/>
        <v>19831965345.558853</v>
      </c>
      <c r="J151" s="266">
        <f t="shared" si="144"/>
        <v>20382473740.055626</v>
      </c>
      <c r="K151" s="266">
        <f t="shared" si="144"/>
        <v>20949497386.387299</v>
      </c>
      <c r="L151" s="266">
        <f t="shared" si="144"/>
        <v>21533531742.108921</v>
      </c>
      <c r="M151" s="266">
        <f t="shared" si="144"/>
        <v>22135087128.502182</v>
      </c>
      <c r="N151" s="266">
        <f t="shared" si="144"/>
        <v>22754689176.487244</v>
      </c>
      <c r="O151" s="266">
        <f t="shared" si="144"/>
        <v>23392879285.911869</v>
      </c>
      <c r="P151" s="266">
        <f t="shared" si="144"/>
        <v>24050215098.619225</v>
      </c>
    </row>
    <row r="152" spans="2:16" x14ac:dyDescent="0.2">
      <c r="B152" s="1" t="s">
        <v>71</v>
      </c>
      <c r="E152" s="19">
        <f t="shared" ref="E152" si="145">+(E79-D79)</f>
        <v>0</v>
      </c>
      <c r="F152" s="19">
        <f>+(F79-E79)</f>
        <v>0</v>
      </c>
      <c r="G152" s="19">
        <f t="shared" ref="G152:P152" si="146">+(G79-F79)</f>
        <v>-2060803967.3599999</v>
      </c>
      <c r="H152" s="19">
        <f t="shared" si="146"/>
        <v>0</v>
      </c>
      <c r="I152" s="19">
        <f t="shared" si="146"/>
        <v>0</v>
      </c>
      <c r="J152" s="19">
        <f t="shared" si="146"/>
        <v>0</v>
      </c>
      <c r="K152" s="19">
        <f t="shared" si="146"/>
        <v>0</v>
      </c>
      <c r="L152" s="19">
        <f t="shared" si="146"/>
        <v>0</v>
      </c>
      <c r="M152" s="19">
        <f t="shared" si="146"/>
        <v>0</v>
      </c>
      <c r="N152" s="19">
        <f t="shared" si="146"/>
        <v>0</v>
      </c>
      <c r="O152" s="19">
        <f t="shared" si="146"/>
        <v>0</v>
      </c>
      <c r="P152" s="19">
        <f t="shared" si="146"/>
        <v>0</v>
      </c>
    </row>
    <row r="153" spans="2:16" x14ac:dyDescent="0.2">
      <c r="B153" s="1" t="s">
        <v>72</v>
      </c>
      <c r="E153" s="19">
        <f t="shared" ref="E153" si="147">+(E80-D80)</f>
        <v>0</v>
      </c>
      <c r="F153" s="19">
        <f>+(F80-E80)</f>
        <v>0</v>
      </c>
      <c r="G153" s="19">
        <f t="shared" ref="G153:P153" si="148">+(G80-F80)</f>
        <v>-2000000000</v>
      </c>
      <c r="H153" s="19">
        <f t="shared" si="148"/>
        <v>0</v>
      </c>
      <c r="I153" s="19">
        <f t="shared" si="148"/>
        <v>0</v>
      </c>
      <c r="J153" s="19">
        <f t="shared" si="148"/>
        <v>0</v>
      </c>
      <c r="K153" s="19">
        <f t="shared" si="148"/>
        <v>0</v>
      </c>
      <c r="L153" s="19">
        <f t="shared" si="148"/>
        <v>0</v>
      </c>
      <c r="M153" s="19">
        <f t="shared" si="148"/>
        <v>0</v>
      </c>
      <c r="N153" s="19">
        <f t="shared" si="148"/>
        <v>0</v>
      </c>
      <c r="O153" s="19">
        <f t="shared" si="148"/>
        <v>0</v>
      </c>
      <c r="P153" s="19">
        <f t="shared" si="148"/>
        <v>0</v>
      </c>
    </row>
    <row r="154" spans="2:16" x14ac:dyDescent="0.2">
      <c r="B154" s="1" t="s">
        <v>73</v>
      </c>
      <c r="E154" s="19">
        <f t="shared" ref="E154" si="149">+(E81-D81)</f>
        <v>-629254340.53999996</v>
      </c>
      <c r="F154" s="19">
        <f>+(F81-E81)</f>
        <v>2460037637.6599998</v>
      </c>
      <c r="G154" s="19">
        <f t="shared" ref="G154:P154" si="150">+(G81-F81)</f>
        <v>10730977987.340004</v>
      </c>
      <c r="H154" s="19">
        <f t="shared" si="150"/>
        <v>18019914191.431877</v>
      </c>
      <c r="I154" s="19">
        <f t="shared" si="150"/>
        <v>19422144855.682751</v>
      </c>
      <c r="J154" s="19">
        <f t="shared" si="150"/>
        <v>19960358635.483231</v>
      </c>
      <c r="K154" s="19">
        <f t="shared" si="150"/>
        <v>20514718828.677734</v>
      </c>
      <c r="L154" s="19">
        <f t="shared" si="150"/>
        <v>21085709827.668076</v>
      </c>
      <c r="M154" s="19">
        <f t="shared" si="150"/>
        <v>21673830556.628113</v>
      </c>
      <c r="N154" s="19">
        <f t="shared" si="150"/>
        <v>22279594907.45694</v>
      </c>
      <c r="O154" s="19">
        <f t="shared" si="150"/>
        <v>22903532188.810669</v>
      </c>
      <c r="P154" s="19">
        <f t="shared" si="150"/>
        <v>23546187588.60498</v>
      </c>
    </row>
    <row r="155" spans="2:16" x14ac:dyDescent="0.2">
      <c r="B155" s="1" t="s">
        <v>74</v>
      </c>
      <c r="E155" s="19">
        <f t="shared" ref="E155" si="151">+(E82-D82)</f>
        <v>0</v>
      </c>
      <c r="F155" s="19">
        <f>+(F82-E82)</f>
        <v>0</v>
      </c>
      <c r="G155" s="19">
        <f t="shared" ref="G155:P155" si="152">+(G82-F82)</f>
        <v>-3313032491.5100002</v>
      </c>
      <c r="H155" s="19">
        <f t="shared" si="152"/>
        <v>0</v>
      </c>
      <c r="I155" s="19">
        <f t="shared" si="152"/>
        <v>0</v>
      </c>
      <c r="J155" s="19">
        <f t="shared" si="152"/>
        <v>0</v>
      </c>
      <c r="K155" s="19">
        <f t="shared" si="152"/>
        <v>0</v>
      </c>
      <c r="L155" s="19">
        <f t="shared" si="152"/>
        <v>0</v>
      </c>
      <c r="M155" s="19">
        <f t="shared" si="152"/>
        <v>0</v>
      </c>
      <c r="N155" s="19">
        <f t="shared" si="152"/>
        <v>0</v>
      </c>
      <c r="O155" s="19">
        <f t="shared" si="152"/>
        <v>0</v>
      </c>
      <c r="P155" s="19">
        <f t="shared" si="152"/>
        <v>0</v>
      </c>
    </row>
    <row r="156" spans="2:16" x14ac:dyDescent="0.2">
      <c r="B156" s="1" t="s">
        <v>75</v>
      </c>
      <c r="E156" s="19">
        <f t="shared" ref="E156" si="153">+(E83-D83)</f>
        <v>0</v>
      </c>
      <c r="F156" s="19">
        <f>+(F83-E83)</f>
        <v>264887967</v>
      </c>
      <c r="G156" s="19">
        <f t="shared" ref="G156:P156" si="154">+(G83-F83)</f>
        <v>-385573649.13</v>
      </c>
      <c r="H156" s="19">
        <f t="shared" si="154"/>
        <v>0</v>
      </c>
      <c r="I156" s="19">
        <f t="shared" si="154"/>
        <v>0</v>
      </c>
      <c r="J156" s="19">
        <f t="shared" si="154"/>
        <v>0</v>
      </c>
      <c r="K156" s="19">
        <f t="shared" si="154"/>
        <v>0</v>
      </c>
      <c r="L156" s="19">
        <f t="shared" si="154"/>
        <v>0</v>
      </c>
      <c r="M156" s="19">
        <f t="shared" si="154"/>
        <v>0</v>
      </c>
      <c r="N156" s="19">
        <f t="shared" si="154"/>
        <v>0</v>
      </c>
      <c r="O156" s="19">
        <f t="shared" si="154"/>
        <v>0</v>
      </c>
      <c r="P156" s="19">
        <f t="shared" si="154"/>
        <v>0</v>
      </c>
    </row>
    <row r="157" spans="2:16" x14ac:dyDescent="0.2">
      <c r="B157" s="1" t="s">
        <v>76</v>
      </c>
      <c r="E157" s="19">
        <f t="shared" ref="E157" si="155">+(E84*0-D84)</f>
        <v>629254342.53999949</v>
      </c>
      <c r="F157" s="19">
        <f>+(F84*0-E84)</f>
        <v>-2724925607.7146826</v>
      </c>
      <c r="G157" s="19">
        <f t="shared" ref="G157:P157" si="156">+(G84*0-F84)</f>
        <v>-10730977987.340004</v>
      </c>
      <c r="H157" s="19">
        <f t="shared" si="156"/>
        <v>-18019914191.431877</v>
      </c>
      <c r="I157" s="19">
        <f t="shared" si="156"/>
        <v>-19422144855.682755</v>
      </c>
      <c r="J157" s="19">
        <f t="shared" si="156"/>
        <v>-19960358635.483234</v>
      </c>
      <c r="K157" s="19">
        <f t="shared" si="156"/>
        <v>-20514718828.677734</v>
      </c>
      <c r="L157" s="19">
        <f t="shared" si="156"/>
        <v>-21085709827.668068</v>
      </c>
      <c r="M157" s="19">
        <f t="shared" si="156"/>
        <v>-21673830556.628113</v>
      </c>
      <c r="N157" s="19">
        <f t="shared" si="156"/>
        <v>-22279594907.456947</v>
      </c>
      <c r="O157" s="19">
        <f t="shared" si="156"/>
        <v>-22903532188.810654</v>
      </c>
      <c r="P157" s="19">
        <f t="shared" si="156"/>
        <v>-23546187588.604984</v>
      </c>
    </row>
    <row r="158" spans="2:16" ht="15" x14ac:dyDescent="0.25">
      <c r="B158" s="263" t="s">
        <v>120</v>
      </c>
      <c r="C158" s="263"/>
      <c r="D158" s="263"/>
      <c r="E158" s="264">
        <f t="shared" ref="E158" si="157">+SUM(E152:E157)</f>
        <v>1.9999995231628418</v>
      </c>
      <c r="F158" s="264">
        <f>+SUM(F152:F157)</f>
        <v>-3.054682731628418</v>
      </c>
      <c r="G158" s="264">
        <f t="shared" ref="G158:P158" si="158">+SUM(G152:G157)</f>
        <v>-7759410108</v>
      </c>
      <c r="H158" s="264">
        <f t="shared" si="158"/>
        <v>0</v>
      </c>
      <c r="I158" s="264">
        <f t="shared" si="158"/>
        <v>0</v>
      </c>
      <c r="J158" s="264">
        <f t="shared" si="158"/>
        <v>0</v>
      </c>
      <c r="K158" s="264">
        <f t="shared" si="158"/>
        <v>0</v>
      </c>
      <c r="L158" s="264">
        <f t="shared" si="158"/>
        <v>0</v>
      </c>
      <c r="M158" s="264">
        <f t="shared" si="158"/>
        <v>0</v>
      </c>
      <c r="N158" s="264">
        <f t="shared" si="158"/>
        <v>0</v>
      </c>
      <c r="O158" s="264">
        <f t="shared" si="158"/>
        <v>0</v>
      </c>
      <c r="P158" s="264">
        <f t="shared" si="158"/>
        <v>0</v>
      </c>
    </row>
    <row r="159" spans="2:16" ht="15" x14ac:dyDescent="0.25">
      <c r="B159" s="265" t="s">
        <v>121</v>
      </c>
      <c r="C159" s="265"/>
      <c r="D159" s="265"/>
      <c r="E159" s="266">
        <f>+E151+E158</f>
        <v>703012451.33210468</v>
      </c>
      <c r="F159" s="266">
        <f>+F151+F158</f>
        <v>1621755220.4671493</v>
      </c>
      <c r="G159" s="266">
        <f t="shared" ref="G159:P159" si="159">+G151+G158</f>
        <v>30493220053.906082</v>
      </c>
      <c r="H159" s="266">
        <f t="shared" si="159"/>
        <v>19297491176.144527</v>
      </c>
      <c r="I159" s="266">
        <f t="shared" si="159"/>
        <v>19831965345.558853</v>
      </c>
      <c r="J159" s="266">
        <f t="shared" si="159"/>
        <v>20382473740.055626</v>
      </c>
      <c r="K159" s="266">
        <f t="shared" si="159"/>
        <v>20949497386.387299</v>
      </c>
      <c r="L159" s="266">
        <f t="shared" si="159"/>
        <v>21533531742.108921</v>
      </c>
      <c r="M159" s="266">
        <f t="shared" si="159"/>
        <v>22135087128.502182</v>
      </c>
      <c r="N159" s="266">
        <f t="shared" si="159"/>
        <v>22754689176.487244</v>
      </c>
      <c r="O159" s="266">
        <f t="shared" si="159"/>
        <v>23392879285.911869</v>
      </c>
      <c r="P159" s="266">
        <f t="shared" si="159"/>
        <v>24050215098.619225</v>
      </c>
    </row>
    <row r="160" spans="2:16" x14ac:dyDescent="0.2">
      <c r="B160" s="1" t="s">
        <v>137</v>
      </c>
      <c r="E160" s="68">
        <f>+D44</f>
        <v>437372722.17000002</v>
      </c>
      <c r="F160" s="68">
        <f>+E44</f>
        <v>755101448.57000005</v>
      </c>
      <c r="G160" s="68">
        <f t="shared" ref="G160:P160" si="160">+F44</f>
        <v>2376856670.0599999</v>
      </c>
      <c r="H160" s="68">
        <f t="shared" si="160"/>
        <v>0</v>
      </c>
      <c r="I160" s="68">
        <f t="shared" si="160"/>
        <v>0</v>
      </c>
      <c r="J160" s="68">
        <f t="shared" si="160"/>
        <v>0</v>
      </c>
      <c r="K160" s="68">
        <f t="shared" si="160"/>
        <v>0</v>
      </c>
      <c r="L160" s="68">
        <f t="shared" si="160"/>
        <v>0</v>
      </c>
      <c r="M160" s="68">
        <f t="shared" si="160"/>
        <v>0</v>
      </c>
      <c r="N160" s="68">
        <f t="shared" si="160"/>
        <v>0</v>
      </c>
      <c r="O160" s="68">
        <f t="shared" si="160"/>
        <v>0</v>
      </c>
      <c r="P160" s="68">
        <f t="shared" si="160"/>
        <v>0</v>
      </c>
    </row>
    <row r="161" spans="1:16" ht="15" x14ac:dyDescent="0.25">
      <c r="B161" s="265" t="s">
        <v>122</v>
      </c>
      <c r="C161" s="265"/>
      <c r="D161" s="265"/>
      <c r="E161" s="266">
        <f>+E159+E160</f>
        <v>1140385173.5021048</v>
      </c>
      <c r="F161" s="266">
        <f>+F159+F160</f>
        <v>2376856669.0371494</v>
      </c>
      <c r="G161" s="266">
        <f t="shared" ref="G161:P161" si="161">+G159+G160</f>
        <v>32870076723.966084</v>
      </c>
      <c r="H161" s="266">
        <f t="shared" si="161"/>
        <v>19297491176.144527</v>
      </c>
      <c r="I161" s="266">
        <f t="shared" si="161"/>
        <v>19831965345.558853</v>
      </c>
      <c r="J161" s="266">
        <f t="shared" si="161"/>
        <v>20382473740.055626</v>
      </c>
      <c r="K161" s="266">
        <f t="shared" si="161"/>
        <v>20949497386.387299</v>
      </c>
      <c r="L161" s="266">
        <f t="shared" si="161"/>
        <v>21533531742.108921</v>
      </c>
      <c r="M161" s="266">
        <f t="shared" si="161"/>
        <v>22135087128.502182</v>
      </c>
      <c r="N161" s="266">
        <f t="shared" si="161"/>
        <v>22754689176.487244</v>
      </c>
      <c r="O161" s="266">
        <f t="shared" si="161"/>
        <v>23392879285.911869</v>
      </c>
      <c r="P161" s="266">
        <f t="shared" si="161"/>
        <v>24050215098.619225</v>
      </c>
    </row>
    <row r="163" spans="1:16" x14ac:dyDescent="0.2">
      <c r="B163" s="275" t="s">
        <v>143</v>
      </c>
      <c r="C163" s="275"/>
      <c r="D163" s="276"/>
      <c r="E163" s="276">
        <f>+E161-E44</f>
        <v>385283724.93210471</v>
      </c>
      <c r="F163" s="276">
        <f>+F161-F44</f>
        <v>-1.022850513458252</v>
      </c>
      <c r="G163" s="276">
        <f t="shared" ref="G163:P163" si="162">+G161-G44</f>
        <v>32870076723.966084</v>
      </c>
      <c r="H163" s="276">
        <f t="shared" si="162"/>
        <v>19297491176.144527</v>
      </c>
      <c r="I163" s="276">
        <f t="shared" si="162"/>
        <v>19831965345.558853</v>
      </c>
      <c r="J163" s="276">
        <f t="shared" si="162"/>
        <v>20382473740.055626</v>
      </c>
      <c r="K163" s="276">
        <f t="shared" si="162"/>
        <v>20949497386.387299</v>
      </c>
      <c r="L163" s="276">
        <f t="shared" si="162"/>
        <v>21533531742.108921</v>
      </c>
      <c r="M163" s="276">
        <f t="shared" si="162"/>
        <v>22135087128.502182</v>
      </c>
      <c r="N163" s="276">
        <f t="shared" si="162"/>
        <v>22754689176.487244</v>
      </c>
      <c r="O163" s="276">
        <f t="shared" si="162"/>
        <v>23392879285.911869</v>
      </c>
      <c r="P163" s="276">
        <f t="shared" si="162"/>
        <v>24050215098.619225</v>
      </c>
    </row>
    <row r="164" spans="1:16" x14ac:dyDescent="0.2">
      <c r="B164" s="275" t="s">
        <v>138</v>
      </c>
      <c r="C164" s="275"/>
      <c r="D164" s="281"/>
      <c r="E164" s="276">
        <f ca="1">+(E118+E119+E120+E128+E136+E137+E138+E139+E140-E159)+(E58-D58)-E114</f>
        <v>-385283723.28211212</v>
      </c>
      <c r="F164" s="276">
        <f ca="1">+(F118+F119+F120+F128+F136+F137+F138+F139+F140-F159)+(F58-E58)-F114</f>
        <v>3.814697265625E-6</v>
      </c>
      <c r="G164" s="276">
        <f t="shared" ref="G164:P164" ca="1" si="163">+(G118+G119+G120+G128+G136+G137+G138+G139+G140-G159)+(G58-F58)-G114</f>
        <v>114910717.62865829</v>
      </c>
      <c r="H164" s="276">
        <f t="shared" ca="1" si="163"/>
        <v>124653679.53822327</v>
      </c>
      <c r="I164" s="276">
        <f t="shared" ca="1" si="163"/>
        <v>128393289.92437744</v>
      </c>
      <c r="J164" s="276">
        <f t="shared" ca="1" si="163"/>
        <v>132245088.62210846</v>
      </c>
      <c r="K164" s="276">
        <f t="shared" ca="1" si="163"/>
        <v>136212441.28077698</v>
      </c>
      <c r="L164" s="276">
        <f t="shared" ca="1" si="163"/>
        <v>140298814.51919174</v>
      </c>
      <c r="M164" s="276">
        <f t="shared" ca="1" si="163"/>
        <v>144507778.95475769</v>
      </c>
      <c r="N164" s="276">
        <f t="shared" ca="1" si="163"/>
        <v>148843012.32342529</v>
      </c>
      <c r="O164" s="276">
        <f t="shared" ca="1" si="163"/>
        <v>153308302.69311142</v>
      </c>
      <c r="P164" s="276">
        <f t="shared" ca="1" si="163"/>
        <v>157907551.77390289</v>
      </c>
    </row>
    <row r="165" spans="1:16" x14ac:dyDescent="0.2">
      <c r="B165" s="275" t="s">
        <v>139</v>
      </c>
      <c r="C165" s="275"/>
      <c r="D165" s="275"/>
      <c r="E165" s="276">
        <f t="shared" ref="E165" ca="1" si="164">+(E122+E123+E124+E125+E141+E142+E143+E148+E149)-(E76-D76)</f>
        <v>0</v>
      </c>
      <c r="F165" s="276">
        <f ca="1">+(F122+F123+F124+F125+F141+F142+F143+F148+F149)-(F76-E76)</f>
        <v>0</v>
      </c>
      <c r="G165" s="276">
        <f t="shared" ref="G165:P165" ca="1" si="165">+(G122+G123+G124+G125+G141+G142+G143+G148+G149)-(G76-F76)</f>
        <v>0</v>
      </c>
      <c r="H165" s="276">
        <f t="shared" ca="1" si="165"/>
        <v>0</v>
      </c>
      <c r="I165" s="276">
        <f t="shared" ca="1" si="165"/>
        <v>0</v>
      </c>
      <c r="J165" s="276">
        <f t="shared" ca="1" si="165"/>
        <v>0</v>
      </c>
      <c r="K165" s="276">
        <f t="shared" ca="1" si="165"/>
        <v>0</v>
      </c>
      <c r="L165" s="276">
        <f t="shared" ca="1" si="165"/>
        <v>0</v>
      </c>
      <c r="M165" s="276">
        <f t="shared" ca="1" si="165"/>
        <v>0</v>
      </c>
      <c r="N165" s="276">
        <f t="shared" ca="1" si="165"/>
        <v>0</v>
      </c>
      <c r="O165" s="276">
        <f t="shared" ca="1" si="165"/>
        <v>0</v>
      </c>
      <c r="P165" s="276">
        <f t="shared" ca="1" si="165"/>
        <v>0</v>
      </c>
    </row>
    <row r="166" spans="1:16" x14ac:dyDescent="0.2">
      <c r="B166" s="275" t="s">
        <v>140</v>
      </c>
      <c r="C166" s="275"/>
      <c r="D166" s="275"/>
      <c r="E166" s="276">
        <f t="shared" ref="E166" si="166">+(E152+E153+E154+E155+E156+E157)-(E85-D85)+E84</f>
        <v>0</v>
      </c>
      <c r="F166" s="276">
        <f>+(F152+F153+F154+F155+F156+F157)-(F85-E85)+F84</f>
        <v>0</v>
      </c>
      <c r="G166" s="276">
        <f t="shared" ref="G166:P166" si="167">+(G152+G153+G154+G155+G156+G157)-(G85-F85)+G84</f>
        <v>0</v>
      </c>
      <c r="H166" s="276">
        <f t="shared" si="167"/>
        <v>0</v>
      </c>
      <c r="I166" s="276">
        <f t="shared" si="167"/>
        <v>0</v>
      </c>
      <c r="J166" s="276">
        <f t="shared" si="167"/>
        <v>0</v>
      </c>
      <c r="K166" s="276">
        <f t="shared" si="167"/>
        <v>0</v>
      </c>
      <c r="L166" s="276">
        <f t="shared" si="167"/>
        <v>0</v>
      </c>
      <c r="M166" s="276">
        <f t="shared" si="167"/>
        <v>0</v>
      </c>
      <c r="N166" s="276">
        <f t="shared" si="167"/>
        <v>0</v>
      </c>
      <c r="O166" s="276">
        <f t="shared" si="167"/>
        <v>0</v>
      </c>
      <c r="P166" s="276">
        <f t="shared" si="167"/>
        <v>0</v>
      </c>
    </row>
    <row r="167" spans="1:16" x14ac:dyDescent="0.2">
      <c r="B167" s="275" t="s">
        <v>141</v>
      </c>
      <c r="C167" s="275"/>
      <c r="D167" s="275"/>
      <c r="E167" s="276">
        <f>+(E111+E131+E132+E133+E134+E112+E146+E147)-E35</f>
        <v>385283722.93211222</v>
      </c>
      <c r="F167" s="276">
        <f>+(F111+F131+F132+F133+F134+F112+F146+F147)-F35</f>
        <v>0</v>
      </c>
      <c r="G167" s="276">
        <f t="shared" ref="G167:P167" si="168">+(G111+G131+G132+G133+G134+G112+G146+G147)-G35</f>
        <v>-114910717.62865448</v>
      </c>
      <c r="H167" s="276">
        <f t="shared" si="168"/>
        <v>-124653679.53822708</v>
      </c>
      <c r="I167" s="276">
        <f t="shared" si="168"/>
        <v>-128393289.92437363</v>
      </c>
      <c r="J167" s="276">
        <f t="shared" si="168"/>
        <v>-132245088.62210846</v>
      </c>
      <c r="K167" s="276">
        <f t="shared" si="168"/>
        <v>-136212441.28076553</v>
      </c>
      <c r="L167" s="276">
        <f t="shared" si="168"/>
        <v>-140298814.51919556</v>
      </c>
      <c r="M167" s="276">
        <f t="shared" si="168"/>
        <v>-144507778.95477295</v>
      </c>
      <c r="N167" s="276">
        <f t="shared" si="168"/>
        <v>-148843012.32341003</v>
      </c>
      <c r="O167" s="276">
        <f t="shared" si="168"/>
        <v>-153308302.69311523</v>
      </c>
      <c r="P167" s="276">
        <f t="shared" si="168"/>
        <v>-157907551.77390671</v>
      </c>
    </row>
    <row r="168" spans="1:16" x14ac:dyDescent="0.2">
      <c r="B168" s="275" t="s">
        <v>142</v>
      </c>
      <c r="C168" s="275"/>
      <c r="D168" s="275"/>
      <c r="E168" s="276">
        <f t="shared" ref="E168" si="169">+E112+E133+E147-E29</f>
        <v>-34759429.067887068</v>
      </c>
      <c r="F168" s="276">
        <f>+F112+F133+F147-F29</f>
        <v>0</v>
      </c>
      <c r="G168" s="276">
        <f t="shared" ref="G168:P168" si="170">+G112+G133+G147-G29</f>
        <v>-114910717.62865067</v>
      </c>
      <c r="H168" s="276">
        <f t="shared" si="170"/>
        <v>-124653679.5382309</v>
      </c>
      <c r="I168" s="276">
        <f t="shared" si="170"/>
        <v>-128393289.92437744</v>
      </c>
      <c r="J168" s="276">
        <f t="shared" si="170"/>
        <v>-132245088.62210846</v>
      </c>
      <c r="K168" s="276">
        <f t="shared" si="170"/>
        <v>-136212441.28076935</v>
      </c>
      <c r="L168" s="276">
        <f t="shared" si="170"/>
        <v>-140298814.51919556</v>
      </c>
      <c r="M168" s="276">
        <f t="shared" si="170"/>
        <v>-144507778.95476913</v>
      </c>
      <c r="N168" s="276">
        <f t="shared" si="170"/>
        <v>-148843012.32341385</v>
      </c>
      <c r="O168" s="276">
        <f t="shared" si="170"/>
        <v>-153308302.69311333</v>
      </c>
      <c r="P168" s="276">
        <f t="shared" si="170"/>
        <v>-157907551.77390862</v>
      </c>
    </row>
    <row r="171" spans="1:16" ht="15" x14ac:dyDescent="0.2">
      <c r="A171" s="1" t="s">
        <v>147</v>
      </c>
      <c r="B171" s="233" t="s">
        <v>149</v>
      </c>
      <c r="C171" s="267"/>
      <c r="D171" s="267"/>
      <c r="E171" s="267"/>
      <c r="F171" s="282">
        <f t="shared" ref="F171:P171" si="171">+F95</f>
        <v>44896</v>
      </c>
      <c r="G171" s="282">
        <f t="shared" si="171"/>
        <v>45261</v>
      </c>
      <c r="H171" s="282">
        <f t="shared" si="171"/>
        <v>45627</v>
      </c>
      <c r="I171" s="282">
        <f t="shared" si="171"/>
        <v>45992</v>
      </c>
      <c r="J171" s="282">
        <f t="shared" si="171"/>
        <v>46357</v>
      </c>
      <c r="K171" s="282">
        <f t="shared" si="171"/>
        <v>46722</v>
      </c>
      <c r="L171" s="282">
        <f t="shared" si="171"/>
        <v>47088</v>
      </c>
      <c r="M171" s="282">
        <f t="shared" si="171"/>
        <v>47453</v>
      </c>
      <c r="N171" s="282">
        <f t="shared" si="171"/>
        <v>47818</v>
      </c>
      <c r="O171" s="282">
        <f t="shared" si="171"/>
        <v>48183</v>
      </c>
      <c r="P171" s="282">
        <f t="shared" si="171"/>
        <v>48549</v>
      </c>
    </row>
    <row r="172" spans="1:16" x14ac:dyDescent="0.2">
      <c r="B172" s="1" t="s">
        <v>150</v>
      </c>
      <c r="F172" s="19"/>
      <c r="G172" s="19">
        <f t="shared" ref="G172:P172" si="172">+G130</f>
        <v>34685066080.922195</v>
      </c>
      <c r="H172" s="19">
        <f t="shared" si="172"/>
        <v>17995763279.943966</v>
      </c>
      <c r="I172" s="19">
        <f t="shared" si="172"/>
        <v>18535636178.342278</v>
      </c>
      <c r="J172" s="19">
        <f t="shared" si="172"/>
        <v>19091705263.692551</v>
      </c>
      <c r="K172" s="19">
        <f t="shared" si="172"/>
        <v>19664456421.603333</v>
      </c>
      <c r="L172" s="19">
        <f t="shared" si="172"/>
        <v>20254390114.251434</v>
      </c>
      <c r="M172" s="19">
        <f t="shared" si="172"/>
        <v>20862021817.67897</v>
      </c>
      <c r="N172" s="19">
        <f t="shared" si="172"/>
        <v>21487882472.209335</v>
      </c>
      <c r="O172" s="19">
        <f t="shared" si="172"/>
        <v>22132518946.375626</v>
      </c>
      <c r="P172" s="19">
        <f t="shared" si="172"/>
        <v>22796494514.766891</v>
      </c>
    </row>
    <row r="173" spans="1:16" x14ac:dyDescent="0.2">
      <c r="B173" s="1" t="s">
        <v>148</v>
      </c>
      <c r="F173" s="298"/>
      <c r="G173" s="304">
        <f t="shared" ref="G173:P173" si="173">+G16</f>
        <v>0.181530930298581</v>
      </c>
      <c r="H173" s="304">
        <f t="shared" si="173"/>
        <v>0.181530930298581</v>
      </c>
      <c r="I173" s="304">
        <f t="shared" si="173"/>
        <v>0.181530930298581</v>
      </c>
      <c r="J173" s="304">
        <f t="shared" si="173"/>
        <v>0.181530930298581</v>
      </c>
      <c r="K173" s="304">
        <f t="shared" si="173"/>
        <v>0.181530930298581</v>
      </c>
      <c r="L173" s="304">
        <f t="shared" si="173"/>
        <v>0.181530930298581</v>
      </c>
      <c r="M173" s="304">
        <f t="shared" si="173"/>
        <v>0.181530930298581</v>
      </c>
      <c r="N173" s="304">
        <f t="shared" si="173"/>
        <v>0.181530930298581</v>
      </c>
      <c r="O173" s="304">
        <f t="shared" si="173"/>
        <v>0.181530930298581</v>
      </c>
      <c r="P173" s="304">
        <f t="shared" si="173"/>
        <v>0.181530930298581</v>
      </c>
    </row>
    <row r="174" spans="1:16" x14ac:dyDescent="0.2">
      <c r="B174" s="1" t="s">
        <v>151</v>
      </c>
      <c r="G174" s="307">
        <f t="shared" ref="G174" si="174">+(1+G173)</f>
        <v>1.181530930298581</v>
      </c>
      <c r="H174" s="307">
        <f t="shared" ref="H174:P174" si="175">+G174*(1+H173)</f>
        <v>1.3960153392522303</v>
      </c>
      <c r="I174" s="307">
        <f t="shared" si="175"/>
        <v>1.6494353024977768</v>
      </c>
      <c r="J174" s="307">
        <f t="shared" si="175"/>
        <v>1.9488588274275196</v>
      </c>
      <c r="K174" s="307">
        <f t="shared" si="175"/>
        <v>2.3026369833910389</v>
      </c>
      <c r="L174" s="307">
        <f t="shared" si="175"/>
        <v>2.7206368171259325</v>
      </c>
      <c r="M174" s="307">
        <f t="shared" si="175"/>
        <v>3.2145165495433736</v>
      </c>
      <c r="N174" s="307">
        <f t="shared" si="175"/>
        <v>3.798050729242167</v>
      </c>
      <c r="O174" s="307">
        <f t="shared" si="175"/>
        <v>4.4875144114427012</v>
      </c>
      <c r="P174" s="307">
        <f t="shared" si="175"/>
        <v>5.3021370772801841</v>
      </c>
    </row>
    <row r="175" spans="1:16" x14ac:dyDescent="0.2">
      <c r="B175" s="1" t="s">
        <v>153</v>
      </c>
      <c r="P175" s="144">
        <f>+P172*(1+P173)/(P173-P4)</f>
        <v>177750927276.07477</v>
      </c>
    </row>
    <row r="176" spans="1:16" ht="15" x14ac:dyDescent="0.25">
      <c r="B176" s="230" t="s">
        <v>152</v>
      </c>
      <c r="C176" s="230"/>
      <c r="D176" s="230"/>
      <c r="E176" s="230"/>
      <c r="F176" s="230"/>
      <c r="G176" s="308">
        <f t="shared" ref="G176:P176" si="176">+(G172+G175)/G174</f>
        <v>29356037316.904636</v>
      </c>
      <c r="H176" s="308">
        <f t="shared" si="176"/>
        <v>12890806264.051023</v>
      </c>
      <c r="I176" s="308">
        <f t="shared" si="176"/>
        <v>11237564850.390524</v>
      </c>
      <c r="J176" s="308">
        <f t="shared" si="176"/>
        <v>9796351072.2290096</v>
      </c>
      <c r="K176" s="308">
        <f t="shared" si="176"/>
        <v>8539972459.1602592</v>
      </c>
      <c r="L176" s="308">
        <f t="shared" si="176"/>
        <v>7444723965.6368666</v>
      </c>
      <c r="M176" s="308">
        <f t="shared" si="176"/>
        <v>6489940709.9467096</v>
      </c>
      <c r="N176" s="308">
        <f t="shared" si="176"/>
        <v>5657608074.2599392</v>
      </c>
      <c r="O176" s="308">
        <f t="shared" si="176"/>
        <v>4932021809.2091188</v>
      </c>
      <c r="P176" s="308">
        <f t="shared" si="176"/>
        <v>37823884759.63652</v>
      </c>
    </row>
    <row r="178" spans="2:6" ht="15" x14ac:dyDescent="0.25">
      <c r="B178" s="310" t="s">
        <v>154</v>
      </c>
      <c r="C178" s="311">
        <f>+SUM(G176:P176)</f>
        <v>134168911281.42462</v>
      </c>
      <c r="D178" s="311"/>
      <c r="F178" s="19"/>
    </row>
    <row r="179" spans="2:6" ht="15" x14ac:dyDescent="0.25">
      <c r="B179" s="230" t="s">
        <v>155</v>
      </c>
      <c r="C179" s="231">
        <f>+-F64-F71</f>
        <v>-754999687.00999999</v>
      </c>
      <c r="D179" s="231"/>
    </row>
    <row r="180" spans="2:6" ht="15" x14ac:dyDescent="0.25">
      <c r="B180" s="310" t="s">
        <v>156</v>
      </c>
      <c r="C180" s="311">
        <f>+C178+C179</f>
        <v>133413911594.41463</v>
      </c>
      <c r="D180" s="311"/>
    </row>
  </sheetData>
  <pageMargins left="0.7" right="0.7" top="0.75" bottom="0.75" header="0.3" footer="0.3"/>
  <pageSetup orientation="portrait" r:id="rId1"/>
  <ignoredErrors>
    <ignoredError sqref="D28 D22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AF0-6199-42F9-B4F8-D2426AA0FCC4}">
  <dimension ref="A1:F34"/>
  <sheetViews>
    <sheetView tabSelected="1" workbookViewId="0">
      <selection activeCell="G13" sqref="G13"/>
    </sheetView>
  </sheetViews>
  <sheetFormatPr baseColWidth="10" defaultRowHeight="15" x14ac:dyDescent="0.25"/>
  <cols>
    <col min="1" max="1" width="29.140625" bestFit="1" customWidth="1"/>
    <col min="2" max="4" width="16.7109375" bestFit="1" customWidth="1"/>
    <col min="6" max="6" width="77.140625" bestFit="1" customWidth="1"/>
  </cols>
  <sheetData>
    <row r="1" spans="1:6" x14ac:dyDescent="0.25">
      <c r="A1" t="s">
        <v>148</v>
      </c>
      <c r="B1" s="320">
        <v>0.18160000000000001</v>
      </c>
    </row>
    <row r="2" spans="1:6" x14ac:dyDescent="0.25">
      <c r="F2" s="322" t="s">
        <v>175</v>
      </c>
    </row>
    <row r="3" spans="1:6" x14ac:dyDescent="0.25">
      <c r="A3" t="s">
        <v>176</v>
      </c>
      <c r="B3" s="321">
        <f>'CF 2021-2022'!F115/'CF 2021-2022'!F20</f>
        <v>0.11117913854032542</v>
      </c>
      <c r="F3" s="322" t="s">
        <v>176</v>
      </c>
    </row>
    <row r="4" spans="1:6" x14ac:dyDescent="0.25">
      <c r="A4" t="s">
        <v>185</v>
      </c>
      <c r="B4" s="321">
        <f>'CF 2021-2022'!F35/'CF 2021-2022'!F85</f>
        <v>0.47222098816997665</v>
      </c>
      <c r="F4" s="322" t="s">
        <v>178</v>
      </c>
    </row>
    <row r="5" spans="1:6" x14ac:dyDescent="0.25">
      <c r="A5" t="s">
        <v>187</v>
      </c>
      <c r="B5">
        <f>'CF 2021-2022'!F113/'CF 2021-2022'!F135</f>
        <v>7.3428573948460061</v>
      </c>
      <c r="F5" s="322" t="s">
        <v>180</v>
      </c>
    </row>
    <row r="6" spans="1:6" x14ac:dyDescent="0.25">
      <c r="A6" t="s">
        <v>189</v>
      </c>
      <c r="B6" s="324">
        <f>'CF 2021-2022'!F113/(-'CF 2021-2022'!F129-'CF 2021-2022'!F144)</f>
        <v>1.6984617587677791</v>
      </c>
      <c r="F6" s="322" t="s">
        <v>182</v>
      </c>
    </row>
    <row r="7" spans="1:6" x14ac:dyDescent="0.25">
      <c r="A7" t="s">
        <v>200</v>
      </c>
      <c r="B7" s="324">
        <f ca="1">'CF 2021-2022'!E76/'CF 2021-2022'!$E$86</f>
        <v>0.63472794523741893</v>
      </c>
      <c r="F7" s="322" t="s">
        <v>184</v>
      </c>
    </row>
    <row r="8" spans="1:6" x14ac:dyDescent="0.25">
      <c r="A8" t="s">
        <v>201</v>
      </c>
      <c r="B8" s="324">
        <f ca="1">'CF 2021-2022'!E85/'CF 2021-2022'!E86</f>
        <v>0.36527205476258107</v>
      </c>
      <c r="F8" s="322" t="s">
        <v>186</v>
      </c>
    </row>
    <row r="9" spans="1:6" x14ac:dyDescent="0.25">
      <c r="F9" s="322" t="s">
        <v>188</v>
      </c>
    </row>
    <row r="10" spans="1:6" x14ac:dyDescent="0.25">
      <c r="A10" t="s">
        <v>210</v>
      </c>
      <c r="B10" s="320">
        <v>3.4299999999999997E-2</v>
      </c>
      <c r="F10" s="322" t="s">
        <v>189</v>
      </c>
    </row>
    <row r="11" spans="1:6" x14ac:dyDescent="0.25">
      <c r="A11" t="s">
        <v>208</v>
      </c>
      <c r="B11" s="320">
        <v>2.6599999999999999E-2</v>
      </c>
      <c r="F11" s="322" t="s">
        <v>148</v>
      </c>
    </row>
    <row r="12" spans="1:6" x14ac:dyDescent="0.25">
      <c r="A12" t="s">
        <v>209</v>
      </c>
      <c r="B12">
        <v>1.1459577381297801</v>
      </c>
      <c r="F12" s="322" t="s">
        <v>190</v>
      </c>
    </row>
    <row r="13" spans="1:6" x14ac:dyDescent="0.25">
      <c r="A13" t="s">
        <v>211</v>
      </c>
      <c r="B13" s="320">
        <v>3.8399999999999997E-2</v>
      </c>
      <c r="F13" t="s">
        <v>191</v>
      </c>
    </row>
    <row r="14" spans="1:6" ht="15.75" thickBot="1" x14ac:dyDescent="0.3">
      <c r="A14" s="343" t="s">
        <v>212</v>
      </c>
      <c r="B14" s="355">
        <f>B10+B12*B11+B13</f>
        <v>0.10318247583425214</v>
      </c>
      <c r="C14" s="320"/>
      <c r="F14" t="s">
        <v>192</v>
      </c>
    </row>
    <row r="15" spans="1:6" ht="16.5" thickTop="1" thickBot="1" x14ac:dyDescent="0.3">
      <c r="A15" s="343" t="s">
        <v>213</v>
      </c>
      <c r="B15" s="355">
        <f ca="1">(B1-B14*B8)/(B7*(1-'ER 2022-2021 '!D37))</f>
        <v>0.35125221345067559</v>
      </c>
      <c r="C15" s="320"/>
      <c r="D15" s="320"/>
      <c r="F15" t="s">
        <v>193</v>
      </c>
    </row>
    <row r="16" spans="1:6" ht="15.75" thickTop="1" x14ac:dyDescent="0.25">
      <c r="F16" t="s">
        <v>194</v>
      </c>
    </row>
    <row r="17" spans="1:6" x14ac:dyDescent="0.25">
      <c r="A17" t="s">
        <v>203</v>
      </c>
      <c r="B17" s="323">
        <f>'CF 2021-2022'!F20</f>
        <v>90224924508.630005</v>
      </c>
      <c r="C17" s="323">
        <f>'CF 2021-2022'!E20</f>
        <v>60053379137.809998</v>
      </c>
      <c r="D17" s="323">
        <f>B17-C17</f>
        <v>30171545370.820007</v>
      </c>
      <c r="F17" t="s">
        <v>195</v>
      </c>
    </row>
    <row r="18" spans="1:6" x14ac:dyDescent="0.25">
      <c r="A18" t="s">
        <v>177</v>
      </c>
      <c r="B18" s="323">
        <f>(('CF 2021-2022'!F113/'CF 2021-2022'!F129)-'KPI''s'!B1)*'CF 2021-2022'!F129</f>
        <v>9978103784.5061436</v>
      </c>
      <c r="C18" s="323">
        <f>(('CF 2021-2022'!E113/'CF 2021-2022'!E129)-'KPI''s'!B1)*'CF 2021-2022'!E129</f>
        <v>3194653869.1967788</v>
      </c>
      <c r="F18" t="s">
        <v>196</v>
      </c>
    </row>
    <row r="19" spans="1:6" x14ac:dyDescent="0.25">
      <c r="A19" t="s">
        <v>179</v>
      </c>
      <c r="B19" s="323">
        <f>(('CF 2021-2022'!F135/'CF 2021-2022'!F144)-'KPI''s'!B1)*'CF 2021-2022'!F144</f>
        <v>2258268434.325016</v>
      </c>
      <c r="C19" s="323">
        <f>(('CF 2021-2022'!E135/'CF 2021-2022'!E144)-'KPI''s'!B1)*'CF 2021-2022'!E144</f>
        <v>626540279.15077209</v>
      </c>
      <c r="F19" s="322" t="s">
        <v>197</v>
      </c>
    </row>
    <row r="20" spans="1:6" ht="15.75" thickBot="1" x14ac:dyDescent="0.3">
      <c r="A20" s="343" t="s">
        <v>181</v>
      </c>
      <c r="B20" s="344">
        <f>B18+B19</f>
        <v>12236372218.83116</v>
      </c>
      <c r="C20" s="344">
        <f>C18+C19</f>
        <v>3821194148.3475509</v>
      </c>
      <c r="D20" s="344">
        <f>B20-C20</f>
        <v>8415178070.4836082</v>
      </c>
      <c r="F20" s="322" t="s">
        <v>198</v>
      </c>
    </row>
    <row r="21" spans="1:6" ht="15.75" thickTop="1" x14ac:dyDescent="0.25">
      <c r="A21" t="s">
        <v>183</v>
      </c>
      <c r="B21" s="321">
        <f>B20/B17</f>
        <v>0.13562075319509689</v>
      </c>
      <c r="C21" s="321">
        <f>C20/C17</f>
        <v>6.3629960598531946E-2</v>
      </c>
      <c r="D21" s="320">
        <f>B21-C21</f>
        <v>7.1990792596564948E-2</v>
      </c>
      <c r="F21" t="s">
        <v>199</v>
      </c>
    </row>
    <row r="22" spans="1:6" x14ac:dyDescent="0.25">
      <c r="A22" t="s">
        <v>204</v>
      </c>
      <c r="C22" s="342">
        <f>D17/B17</f>
        <v>0.33440366434370472</v>
      </c>
    </row>
    <row r="23" spans="1:6" x14ac:dyDescent="0.25">
      <c r="A23" t="s">
        <v>202</v>
      </c>
      <c r="C23" s="320">
        <f>C26+C27</f>
        <v>9.3268884582759587E-2</v>
      </c>
    </row>
    <row r="25" spans="1:6" x14ac:dyDescent="0.25">
      <c r="D25" t="s">
        <v>207</v>
      </c>
    </row>
    <row r="26" spans="1:6" x14ac:dyDescent="0.25">
      <c r="A26" t="s">
        <v>205</v>
      </c>
      <c r="C26" s="320">
        <f>C21*C22</f>
        <v>2.1278091986194632E-2</v>
      </c>
      <c r="D26" s="320">
        <f>C26/$C$23</f>
        <v>0.22813709074985344</v>
      </c>
    </row>
    <row r="27" spans="1:6" x14ac:dyDescent="0.25">
      <c r="A27" t="s">
        <v>206</v>
      </c>
      <c r="C27" s="320">
        <f>D21</f>
        <v>7.1990792596564948E-2</v>
      </c>
      <c r="D27" s="320">
        <f>C27/$C$23</f>
        <v>0.77186290925014645</v>
      </c>
    </row>
    <row r="30" spans="1:6" x14ac:dyDescent="0.25">
      <c r="A30" t="s">
        <v>214</v>
      </c>
      <c r="B30" s="356">
        <f>(B32*B31)/(1-B32*B31)</f>
        <v>0.89473241183387608</v>
      </c>
    </row>
    <row r="31" spans="1:6" x14ac:dyDescent="0.25">
      <c r="A31" t="s">
        <v>215</v>
      </c>
      <c r="B31" s="356">
        <v>1</v>
      </c>
    </row>
    <row r="32" spans="1:6" x14ac:dyDescent="0.25">
      <c r="A32" t="s">
        <v>216</v>
      </c>
      <c r="B32" s="357">
        <f>'CF 2021-2022'!F35/'CF 2021-2022'!F85</f>
        <v>0.47222098816997665</v>
      </c>
    </row>
    <row r="34" spans="1:2" x14ac:dyDescent="0.25">
      <c r="A34" t="s">
        <v>182</v>
      </c>
      <c r="B34" s="358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33D5-F7AB-4DB0-AA1B-BAD0B867C934}">
  <sheetPr>
    <tabColor theme="8" tint="-0.499984740745262"/>
  </sheetPr>
  <dimension ref="B3:Q67"/>
  <sheetViews>
    <sheetView showGridLines="0" zoomScale="93" zoomScaleNormal="150" workbookViewId="0">
      <selection activeCell="B3" sqref="B3:I3"/>
    </sheetView>
  </sheetViews>
  <sheetFormatPr baseColWidth="10" defaultColWidth="11.42578125" defaultRowHeight="15" x14ac:dyDescent="0.2"/>
  <cols>
    <col min="1" max="1" width="4.42578125" style="1" customWidth="1"/>
    <col min="2" max="2" width="43.28515625" style="1" customWidth="1"/>
    <col min="3" max="3" width="5.28515625" style="143" customWidth="1"/>
    <col min="4" max="4" width="18.28515625" style="144" bestFit="1" customWidth="1"/>
    <col min="5" max="5" width="8.5703125" style="145" bestFit="1" customWidth="1"/>
    <col min="6" max="6" width="18.28515625" style="68" bestFit="1" customWidth="1"/>
    <col min="7" max="7" width="8.5703125" style="67" bestFit="1" customWidth="1"/>
    <col min="8" max="8" width="15" style="68" customWidth="1"/>
    <col min="9" max="9" width="10.7109375" style="69" customWidth="1"/>
    <col min="10" max="10" width="16.85546875" style="1" bestFit="1" customWidth="1"/>
    <col min="11" max="11" width="6.7109375" style="1" customWidth="1"/>
    <col min="12" max="12" width="17.42578125" style="1" customWidth="1"/>
    <col min="13" max="16" width="11.42578125" style="1"/>
    <col min="17" max="17" width="18.140625" style="1" bestFit="1" customWidth="1"/>
    <col min="18" max="16384" width="11.42578125" style="1"/>
  </cols>
  <sheetData>
    <row r="3" spans="2:12" ht="18.75" customHeight="1" x14ac:dyDescent="0.2">
      <c r="B3" s="347" t="s">
        <v>0</v>
      </c>
      <c r="C3" s="347"/>
      <c r="D3" s="347"/>
      <c r="E3" s="347"/>
      <c r="F3" s="347"/>
      <c r="G3" s="347"/>
      <c r="H3" s="347"/>
      <c r="I3" s="347"/>
      <c r="J3" s="58"/>
    </row>
    <row r="4" spans="2:12" ht="20.25" x14ac:dyDescent="0.2">
      <c r="B4" s="347" t="s">
        <v>1</v>
      </c>
      <c r="C4" s="347"/>
      <c r="D4" s="347"/>
      <c r="E4" s="347"/>
      <c r="F4" s="347"/>
      <c r="G4" s="347"/>
      <c r="H4" s="347"/>
      <c r="I4" s="347"/>
      <c r="J4" s="58"/>
    </row>
    <row r="5" spans="2:12" ht="18" customHeight="1" x14ac:dyDescent="0.2">
      <c r="B5" s="347" t="s">
        <v>39</v>
      </c>
      <c r="C5" s="347"/>
      <c r="D5" s="347"/>
      <c r="E5" s="347"/>
      <c r="F5" s="347"/>
      <c r="G5" s="347"/>
      <c r="H5" s="347"/>
      <c r="I5" s="347"/>
    </row>
    <row r="6" spans="2:12" ht="20.25" x14ac:dyDescent="0.2">
      <c r="B6" s="347" t="s">
        <v>83</v>
      </c>
      <c r="C6" s="347"/>
      <c r="D6" s="347"/>
      <c r="E6" s="347"/>
      <c r="F6" s="347"/>
      <c r="G6" s="347"/>
      <c r="H6" s="347"/>
      <c r="I6" s="347"/>
    </row>
    <row r="7" spans="2:12" ht="20.25" x14ac:dyDescent="0.2">
      <c r="B7" s="348" t="s">
        <v>3</v>
      </c>
      <c r="C7" s="348"/>
      <c r="D7" s="348"/>
      <c r="E7" s="348"/>
      <c r="F7" s="348"/>
      <c r="G7" s="348"/>
      <c r="H7" s="348"/>
      <c r="I7" s="348"/>
    </row>
    <row r="8" spans="2:12" ht="22.5" x14ac:dyDescent="0.2">
      <c r="B8" s="146"/>
      <c r="C8" s="146" t="s">
        <v>5</v>
      </c>
      <c r="D8" s="147" t="s">
        <v>84</v>
      </c>
      <c r="E8" s="148" t="s">
        <v>7</v>
      </c>
      <c r="F8" s="147" t="s">
        <v>6</v>
      </c>
      <c r="G8" s="148" t="s">
        <v>7</v>
      </c>
      <c r="H8" s="149" t="s">
        <v>9</v>
      </c>
      <c r="I8" s="150" t="s">
        <v>10</v>
      </c>
    </row>
    <row r="9" spans="2:12" ht="14.25" x14ac:dyDescent="0.2">
      <c r="B9" s="63" t="s">
        <v>41</v>
      </c>
      <c r="C9" s="14"/>
      <c r="D9" s="64"/>
      <c r="E9" s="65"/>
      <c r="F9" s="66"/>
    </row>
    <row r="10" spans="2:12" ht="14.25" x14ac:dyDescent="0.2">
      <c r="B10" s="63" t="s">
        <v>42</v>
      </c>
      <c r="C10" s="14"/>
      <c r="D10" s="64"/>
      <c r="E10" s="65"/>
      <c r="F10" s="66"/>
    </row>
    <row r="11" spans="2:12" ht="14.25" x14ac:dyDescent="0.2">
      <c r="B11" s="70" t="s">
        <v>43</v>
      </c>
      <c r="C11" s="14">
        <v>1.1000000000000001</v>
      </c>
      <c r="D11" s="71">
        <v>2376856670.0599999</v>
      </c>
      <c r="E11" s="72">
        <f>+D11/$D$27</f>
        <v>6.3356573055043386E-2</v>
      </c>
      <c r="F11" s="73">
        <v>755101448.57000005</v>
      </c>
      <c r="G11" s="74">
        <f>+F11/$F$27</f>
        <v>2.2997234676156279E-2</v>
      </c>
      <c r="H11" s="75">
        <f>+D11-F11</f>
        <v>1621755221.4899998</v>
      </c>
      <c r="I11" s="76">
        <f t="shared" ref="I11:I54" si="0">+D11/F11-1</f>
        <v>2.1477315724413666</v>
      </c>
      <c r="J11" s="193" t="s">
        <v>92</v>
      </c>
    </row>
    <row r="12" spans="2:12" ht="14.25" x14ac:dyDescent="0.2">
      <c r="B12" s="211" t="s">
        <v>44</v>
      </c>
      <c r="C12" s="14">
        <v>1.2</v>
      </c>
      <c r="D12" s="71">
        <v>2594834404.1300001</v>
      </c>
      <c r="E12" s="72">
        <f t="shared" ref="E12:E18" si="1">+D12/$D$27</f>
        <v>6.9166903314726302E-2</v>
      </c>
      <c r="F12" s="73">
        <v>1727880423.0699999</v>
      </c>
      <c r="G12" s="74">
        <f t="shared" ref="G12:G19" si="2">+F12/$F$27</f>
        <v>5.2624017152833331E-2</v>
      </c>
      <c r="H12" s="204">
        <f t="shared" ref="H12:H14" si="3">+D12-F12</f>
        <v>866953981.06000018</v>
      </c>
      <c r="I12" s="76">
        <f t="shared" si="0"/>
        <v>0.5017442002842103</v>
      </c>
      <c r="J12" s="193" t="s">
        <v>93</v>
      </c>
      <c r="L12" s="19">
        <f>+F12-D12</f>
        <v>-866953981.06000018</v>
      </c>
    </row>
    <row r="13" spans="2:12" ht="14.25" x14ac:dyDescent="0.2">
      <c r="B13" s="213" t="s">
        <v>45</v>
      </c>
      <c r="C13" s="14">
        <v>1.3</v>
      </c>
      <c r="D13" s="71">
        <v>0</v>
      </c>
      <c r="E13" s="72">
        <f t="shared" si="1"/>
        <v>0</v>
      </c>
      <c r="F13" s="73">
        <v>21725046</v>
      </c>
      <c r="G13" s="74">
        <f t="shared" si="2"/>
        <v>6.6165411569326954E-4</v>
      </c>
      <c r="H13" s="204">
        <f t="shared" si="3"/>
        <v>-21725046</v>
      </c>
      <c r="I13" s="76">
        <f t="shared" si="0"/>
        <v>-1</v>
      </c>
      <c r="J13" s="193" t="s">
        <v>93</v>
      </c>
      <c r="L13" s="19">
        <f t="shared" ref="L13:L25" si="4">+F13-D13</f>
        <v>21725046</v>
      </c>
    </row>
    <row r="14" spans="2:12" ht="14.25" x14ac:dyDescent="0.2">
      <c r="B14" s="211" t="s">
        <v>46</v>
      </c>
      <c r="C14" s="14">
        <v>2</v>
      </c>
      <c r="D14" s="71">
        <v>7901915097.3000002</v>
      </c>
      <c r="E14" s="72">
        <f t="shared" si="1"/>
        <v>0.21063039578410925</v>
      </c>
      <c r="F14" s="73">
        <v>6439385556.9499998</v>
      </c>
      <c r="G14" s="74">
        <f t="shared" si="2"/>
        <v>0.19611677491001694</v>
      </c>
      <c r="H14" s="204">
        <f t="shared" si="3"/>
        <v>1462529540.3500004</v>
      </c>
      <c r="I14" s="76">
        <f t="shared" si="0"/>
        <v>0.22712253015685624</v>
      </c>
      <c r="L14" s="19">
        <f t="shared" si="4"/>
        <v>-1462529540.3500004</v>
      </c>
    </row>
    <row r="15" spans="2:12" ht="14.25" x14ac:dyDescent="0.2">
      <c r="B15" s="171" t="s">
        <v>94</v>
      </c>
      <c r="C15" s="172"/>
      <c r="D15" s="173">
        <f>+D14-D16</f>
        <v>7633538705.3000002</v>
      </c>
      <c r="E15" s="174"/>
      <c r="F15" s="173">
        <f>+F14-F16</f>
        <v>6439385556.9499998</v>
      </c>
      <c r="G15" s="175"/>
      <c r="H15" s="176"/>
      <c r="I15" s="177"/>
      <c r="J15" s="193" t="s">
        <v>92</v>
      </c>
      <c r="L15" s="19"/>
    </row>
    <row r="16" spans="2:12" ht="14.25" x14ac:dyDescent="0.2">
      <c r="B16" s="171" t="s">
        <v>95</v>
      </c>
      <c r="C16" s="172"/>
      <c r="D16" s="173">
        <v>268376392</v>
      </c>
      <c r="E16" s="174"/>
      <c r="F16" s="178">
        <v>0</v>
      </c>
      <c r="G16" s="175"/>
      <c r="H16" s="176"/>
      <c r="I16" s="177"/>
      <c r="J16" s="193" t="s">
        <v>93</v>
      </c>
      <c r="L16" s="19"/>
    </row>
    <row r="17" spans="2:17" ht="14.25" x14ac:dyDescent="0.2">
      <c r="B17" s="211" t="s">
        <v>47</v>
      </c>
      <c r="C17" s="14">
        <v>3</v>
      </c>
      <c r="D17" s="71">
        <v>10866193153.99</v>
      </c>
      <c r="E17" s="72">
        <f t="shared" si="1"/>
        <v>0.28964504636015814</v>
      </c>
      <c r="F17" s="73">
        <v>10564508473.16</v>
      </c>
      <c r="G17" s="74">
        <f t="shared" si="2"/>
        <v>0.32175078071377766</v>
      </c>
      <c r="H17" s="204">
        <f t="shared" ref="H17:H18" si="5">+D17-F17</f>
        <v>301684680.82999992</v>
      </c>
      <c r="I17" s="76">
        <f t="shared" si="0"/>
        <v>2.8556433230798595E-2</v>
      </c>
      <c r="J17" s="193" t="s">
        <v>92</v>
      </c>
      <c r="L17" s="19">
        <f t="shared" si="4"/>
        <v>-301684680.82999992</v>
      </c>
    </row>
    <row r="18" spans="2:17" ht="15" customHeight="1" x14ac:dyDescent="0.2">
      <c r="B18" s="211" t="s">
        <v>48</v>
      </c>
      <c r="C18" s="14">
        <v>7.1</v>
      </c>
      <c r="D18" s="78">
        <v>1569994000</v>
      </c>
      <c r="E18" s="72">
        <f t="shared" si="1"/>
        <v>4.1849153468083898E-2</v>
      </c>
      <c r="F18" s="73">
        <v>1201820000</v>
      </c>
      <c r="G18" s="74">
        <f t="shared" si="2"/>
        <v>3.6602414987866316E-2</v>
      </c>
      <c r="H18" s="204">
        <f t="shared" si="5"/>
        <v>368174000</v>
      </c>
      <c r="I18" s="76">
        <f t="shared" si="0"/>
        <v>0.30634704032217797</v>
      </c>
      <c r="J18" s="193" t="s">
        <v>92</v>
      </c>
      <c r="L18" s="19">
        <f t="shared" si="4"/>
        <v>-368174000</v>
      </c>
    </row>
    <row r="19" spans="2:17" ht="14.25" x14ac:dyDescent="0.2">
      <c r="B19" s="63" t="s">
        <v>49</v>
      </c>
      <c r="C19" s="14"/>
      <c r="D19" s="79">
        <v>25309793325.480003</v>
      </c>
      <c r="E19" s="80">
        <f>SUM(E11:E18)</f>
        <v>0.67464807198212096</v>
      </c>
      <c r="F19" s="81">
        <v>20710420947.75</v>
      </c>
      <c r="G19" s="82">
        <f t="shared" si="2"/>
        <v>0.63075287655634382</v>
      </c>
      <c r="H19" s="83">
        <f>SUM(H11:H18)</f>
        <v>4599372377.7300005</v>
      </c>
      <c r="I19" s="76">
        <f t="shared" si="0"/>
        <v>0.22208010109179765</v>
      </c>
      <c r="L19" s="19"/>
    </row>
    <row r="20" spans="2:17" ht="14.25" x14ac:dyDescent="0.2">
      <c r="B20" s="70" t="s">
        <v>14</v>
      </c>
      <c r="C20" s="14"/>
      <c r="D20" s="84"/>
      <c r="E20" s="74"/>
      <c r="F20" s="85"/>
      <c r="G20" s="74"/>
      <c r="H20" s="75"/>
      <c r="I20" s="86"/>
      <c r="L20" s="19"/>
    </row>
    <row r="21" spans="2:17" ht="14.25" x14ac:dyDescent="0.2">
      <c r="B21" s="63" t="s">
        <v>50</v>
      </c>
      <c r="C21" s="14"/>
      <c r="D21" s="84"/>
      <c r="E21" s="74"/>
      <c r="F21" s="85"/>
      <c r="G21" s="74"/>
      <c r="H21" s="75"/>
      <c r="I21" s="86"/>
      <c r="L21" s="19"/>
    </row>
    <row r="22" spans="2:17" ht="15" customHeight="1" x14ac:dyDescent="0.2">
      <c r="B22" s="211" t="s">
        <v>51</v>
      </c>
      <c r="C22" s="14">
        <v>4.0999999999999996</v>
      </c>
      <c r="D22" s="71">
        <v>9741985241.0799999</v>
      </c>
      <c r="E22" s="72">
        <f t="shared" ref="E22:E27" si="6">+D22/$D$27</f>
        <v>0.25967859459193171</v>
      </c>
      <c r="F22" s="73">
        <v>10637138060.860001</v>
      </c>
      <c r="G22" s="74">
        <f t="shared" ref="G22:G27" si="7">+F22/$F$27</f>
        <v>0.32396277444777533</v>
      </c>
      <c r="H22" s="204">
        <f t="shared" ref="H22:H25" si="8">+D22-F22</f>
        <v>-895152819.78000069</v>
      </c>
      <c r="I22" s="76">
        <f t="shared" si="0"/>
        <v>-8.4153539670014266E-2</v>
      </c>
      <c r="J22" s="193" t="s">
        <v>92</v>
      </c>
      <c r="L22" s="19">
        <f t="shared" si="4"/>
        <v>895152819.78000069</v>
      </c>
      <c r="P22" s="1">
        <v>10637</v>
      </c>
    </row>
    <row r="23" spans="2:17" ht="15" customHeight="1" x14ac:dyDescent="0.2">
      <c r="B23" s="211" t="s">
        <v>52</v>
      </c>
      <c r="C23" s="14">
        <v>4.5</v>
      </c>
      <c r="D23" s="71">
        <v>1223030000</v>
      </c>
      <c r="E23" s="72">
        <f t="shared" si="6"/>
        <v>3.2600615139975475E-2</v>
      </c>
      <c r="F23" s="73">
        <v>1223030000</v>
      </c>
      <c r="G23" s="74">
        <f t="shared" si="7"/>
        <v>3.7248382954693834E-2</v>
      </c>
      <c r="H23" s="204">
        <f t="shared" si="8"/>
        <v>0</v>
      </c>
      <c r="I23" s="76">
        <f t="shared" si="0"/>
        <v>0</v>
      </c>
      <c r="J23" s="193" t="s">
        <v>93</v>
      </c>
      <c r="L23" s="19">
        <f t="shared" si="4"/>
        <v>0</v>
      </c>
      <c r="P23" s="1">
        <v>803</v>
      </c>
    </row>
    <row r="24" spans="2:17" ht="15" hidden="1" customHeight="1" x14ac:dyDescent="0.2">
      <c r="B24" s="70" t="s">
        <v>53</v>
      </c>
      <c r="C24" s="14"/>
      <c r="D24" s="71">
        <v>0</v>
      </c>
      <c r="E24" s="72">
        <f t="shared" si="6"/>
        <v>0</v>
      </c>
      <c r="F24" s="73">
        <v>0</v>
      </c>
      <c r="G24" s="74">
        <f t="shared" si="7"/>
        <v>0</v>
      </c>
      <c r="H24" s="75">
        <f t="shared" si="8"/>
        <v>0</v>
      </c>
      <c r="I24" s="76">
        <v>0</v>
      </c>
      <c r="L24" s="19">
        <f t="shared" si="4"/>
        <v>0</v>
      </c>
    </row>
    <row r="25" spans="2:17" ht="14.25" x14ac:dyDescent="0.2">
      <c r="B25" s="211" t="s">
        <v>48</v>
      </c>
      <c r="C25" s="14">
        <v>7.1</v>
      </c>
      <c r="D25" s="87">
        <v>1240741209.072855</v>
      </c>
      <c r="E25" s="72">
        <f t="shared" si="6"/>
        <v>3.3072718285971719E-2</v>
      </c>
      <c r="F25" s="73">
        <v>263856489</v>
      </c>
      <c r="G25" s="74">
        <f t="shared" si="7"/>
        <v>8.0359660411870194E-3</v>
      </c>
      <c r="H25" s="204">
        <f t="shared" si="8"/>
        <v>976884720.072855</v>
      </c>
      <c r="I25" s="76">
        <f t="shared" si="0"/>
        <v>3.7023335062752807</v>
      </c>
      <c r="J25" s="193" t="s">
        <v>93</v>
      </c>
      <c r="K25" s="1" t="s">
        <v>54</v>
      </c>
      <c r="L25" s="19">
        <f t="shared" si="4"/>
        <v>-976884720.072855</v>
      </c>
      <c r="P25" s="1">
        <v>-1155</v>
      </c>
    </row>
    <row r="26" spans="2:17" ht="14.25" x14ac:dyDescent="0.2">
      <c r="B26" s="63" t="s">
        <v>55</v>
      </c>
      <c r="C26" s="14"/>
      <c r="D26" s="79">
        <v>12205756450.152855</v>
      </c>
      <c r="E26" s="80">
        <f t="shared" si="6"/>
        <v>0.32535192801787893</v>
      </c>
      <c r="F26" s="81">
        <v>12124024549.860001</v>
      </c>
      <c r="G26" s="82">
        <f t="shared" si="7"/>
        <v>0.36924712344365618</v>
      </c>
      <c r="H26" s="83">
        <f>SUM(H22:H25)</f>
        <v>81731900.292854309</v>
      </c>
      <c r="I26" s="76">
        <f t="shared" si="0"/>
        <v>6.7413176174901945E-3</v>
      </c>
      <c r="P26" s="1">
        <v>203</v>
      </c>
    </row>
    <row r="27" spans="2:17" thickBot="1" x14ac:dyDescent="0.25">
      <c r="B27" s="63" t="s">
        <v>56</v>
      </c>
      <c r="C27" s="14"/>
      <c r="D27" s="88">
        <v>37515549775.632858</v>
      </c>
      <c r="E27" s="80">
        <f t="shared" si="6"/>
        <v>1</v>
      </c>
      <c r="F27" s="89">
        <v>32834445497.610001</v>
      </c>
      <c r="G27" s="82">
        <f t="shared" si="7"/>
        <v>1</v>
      </c>
      <c r="H27" s="90">
        <f>+H19+H26</f>
        <v>4681104278.0228548</v>
      </c>
      <c r="I27" s="76">
        <f t="shared" si="0"/>
        <v>0.14256687472805329</v>
      </c>
      <c r="J27" s="19"/>
      <c r="K27" s="91"/>
      <c r="P27" s="1">
        <v>-746</v>
      </c>
      <c r="Q27" s="144">
        <v>-746001231</v>
      </c>
    </row>
    <row r="28" spans="2:17" thickTop="1" x14ac:dyDescent="0.2">
      <c r="B28" s="70" t="s">
        <v>14</v>
      </c>
      <c r="C28" s="14"/>
      <c r="D28" s="92">
        <f>+D27-D11</f>
        <v>35138693105.572861</v>
      </c>
      <c r="E28" s="74"/>
      <c r="F28" s="92">
        <f>+F27-F11</f>
        <v>32079344049.040001</v>
      </c>
      <c r="G28" s="74"/>
      <c r="H28" s="75"/>
      <c r="I28" s="86"/>
      <c r="P28" s="1">
        <f>+SUM(P22:P27)</f>
        <v>9742</v>
      </c>
    </row>
    <row r="29" spans="2:17" ht="14.25" x14ac:dyDescent="0.2">
      <c r="B29" s="63" t="s">
        <v>57</v>
      </c>
      <c r="C29" s="14"/>
      <c r="D29" s="92"/>
      <c r="E29" s="74"/>
      <c r="F29" s="93"/>
      <c r="G29" s="74"/>
      <c r="H29" s="75"/>
      <c r="I29" s="86"/>
    </row>
    <row r="30" spans="2:17" ht="15" customHeight="1" x14ac:dyDescent="0.2">
      <c r="B30" s="63" t="s">
        <v>58</v>
      </c>
      <c r="C30" s="14"/>
      <c r="D30" s="92"/>
      <c r="E30" s="74"/>
      <c r="F30" s="93"/>
      <c r="G30" s="74"/>
      <c r="H30" s="75"/>
      <c r="I30" s="86"/>
    </row>
    <row r="31" spans="2:17" ht="14.25" x14ac:dyDescent="0.2">
      <c r="B31" s="214" t="s">
        <v>59</v>
      </c>
      <c r="C31" s="215">
        <v>5.2</v>
      </c>
      <c r="D31" s="216">
        <v>2157079000</v>
      </c>
      <c r="E31" s="217">
        <f t="shared" ref="E31:E36" si="9">+D31/$D$54</f>
        <v>5.7498264397620714E-2</v>
      </c>
      <c r="F31" s="218">
        <v>1944884000</v>
      </c>
      <c r="G31" s="219">
        <f t="shared" ref="G31:G36" si="10">+F31/$F$54</f>
        <v>5.923303928196582E-2</v>
      </c>
      <c r="H31" s="220">
        <f t="shared" ref="H31:H35" si="11">+D31-F31</f>
        <v>212195000</v>
      </c>
      <c r="I31" s="221">
        <f t="shared" si="0"/>
        <v>0.10910419336063226</v>
      </c>
      <c r="J31" s="222" t="s">
        <v>92</v>
      </c>
      <c r="K31" s="222"/>
      <c r="L31" s="223">
        <f>+D31-F31</f>
        <v>212195000</v>
      </c>
    </row>
    <row r="32" spans="2:17" ht="14.25" x14ac:dyDescent="0.2">
      <c r="B32" s="214" t="s">
        <v>60</v>
      </c>
      <c r="C32" s="215">
        <v>5.3</v>
      </c>
      <c r="D32" s="216">
        <v>518309522.00999999</v>
      </c>
      <c r="E32" s="217">
        <f t="shared" si="9"/>
        <v>1.3815858360465887E-2</v>
      </c>
      <c r="F32" s="218">
        <v>2295243321.1700001</v>
      </c>
      <c r="G32" s="219">
        <f t="shared" si="10"/>
        <v>6.990352010944216E-2</v>
      </c>
      <c r="H32" s="220">
        <f t="shared" si="11"/>
        <v>-1776933799.1600001</v>
      </c>
      <c r="I32" s="221">
        <f t="shared" si="0"/>
        <v>-0.774181012867171</v>
      </c>
      <c r="J32" s="222" t="s">
        <v>96</v>
      </c>
      <c r="K32" s="222"/>
      <c r="L32" s="223">
        <f t="shared" ref="L32:L35" si="12">+D32-F32</f>
        <v>-1776933799.1600001</v>
      </c>
    </row>
    <row r="33" spans="2:12" s="33" customFormat="1" ht="14.25" x14ac:dyDescent="0.2">
      <c r="B33" s="212" t="s">
        <v>85</v>
      </c>
      <c r="C33" s="14">
        <v>6.1</v>
      </c>
      <c r="D33" s="95">
        <v>4480219088.4399996</v>
      </c>
      <c r="E33" s="96">
        <f t="shared" si="9"/>
        <v>0.11942298900800126</v>
      </c>
      <c r="F33" s="97">
        <v>7725520950.0100002</v>
      </c>
      <c r="G33" s="74">
        <f t="shared" si="10"/>
        <v>0.23528708442539104</v>
      </c>
      <c r="H33" s="204">
        <f t="shared" si="11"/>
        <v>-3245301861.5700006</v>
      </c>
      <c r="I33" s="76">
        <f t="shared" si="0"/>
        <v>-0.42007547226518105</v>
      </c>
      <c r="J33" s="194" t="s">
        <v>92</v>
      </c>
      <c r="L33" s="68">
        <f t="shared" si="12"/>
        <v>-3245301861.5700006</v>
      </c>
    </row>
    <row r="34" spans="2:12" ht="15" customHeight="1" x14ac:dyDescent="0.2">
      <c r="B34" s="211" t="s">
        <v>62</v>
      </c>
      <c r="C34" s="14">
        <v>6.2</v>
      </c>
      <c r="D34" s="71">
        <v>275806899</v>
      </c>
      <c r="E34" s="72">
        <f t="shared" si="9"/>
        <v>7.3518021367737912E-3</v>
      </c>
      <c r="F34" s="73">
        <v>238563887</v>
      </c>
      <c r="G34" s="74">
        <f t="shared" si="10"/>
        <v>7.2656590778316108E-3</v>
      </c>
      <c r="H34" s="204">
        <f>+D34-F34</f>
        <v>37243012</v>
      </c>
      <c r="I34" s="76">
        <f>+D34/F34-1</f>
        <v>0.15611336849151858</v>
      </c>
      <c r="J34" s="193" t="s">
        <v>92</v>
      </c>
      <c r="K34" s="98"/>
      <c r="L34" s="68">
        <f t="shared" si="12"/>
        <v>37243012</v>
      </c>
    </row>
    <row r="35" spans="2:12" ht="14.25" x14ac:dyDescent="0.2">
      <c r="B35" s="211" t="s">
        <v>63</v>
      </c>
      <c r="C35" s="14">
        <v>7</v>
      </c>
      <c r="D35" s="78">
        <v>5079950517.1600008</v>
      </c>
      <c r="E35" s="72">
        <f t="shared" si="9"/>
        <v>0.13540919825490666</v>
      </c>
      <c r="F35" s="73">
        <v>1400982999.9453151</v>
      </c>
      <c r="G35" s="74">
        <f t="shared" si="10"/>
        <v>4.2668087695269828E-2</v>
      </c>
      <c r="H35" s="204">
        <f t="shared" si="11"/>
        <v>3678967517.2146854</v>
      </c>
      <c r="I35" s="76">
        <f t="shared" si="0"/>
        <v>2.6259901207639835</v>
      </c>
      <c r="J35" s="193" t="s">
        <v>92</v>
      </c>
      <c r="L35" s="68">
        <f t="shared" si="12"/>
        <v>3678967517.2146854</v>
      </c>
    </row>
    <row r="36" spans="2:12" ht="14.25" x14ac:dyDescent="0.2">
      <c r="B36" s="63" t="s">
        <v>64</v>
      </c>
      <c r="C36" s="14"/>
      <c r="D36" s="79">
        <v>12511365026.610001</v>
      </c>
      <c r="E36" s="72">
        <f t="shared" si="9"/>
        <v>0.33349811215776831</v>
      </c>
      <c r="F36" s="81">
        <v>13605195158.125315</v>
      </c>
      <c r="G36" s="82">
        <f t="shared" si="10"/>
        <v>0.41435739058990045</v>
      </c>
      <c r="H36" s="83">
        <f>SUM(H31:H35)</f>
        <v>-1093830131.5153151</v>
      </c>
      <c r="I36" s="76">
        <f t="shared" si="0"/>
        <v>-8.0397974362172664E-2</v>
      </c>
    </row>
    <row r="37" spans="2:12" ht="14.25" x14ac:dyDescent="0.2">
      <c r="B37" s="70" t="s">
        <v>14</v>
      </c>
      <c r="C37" s="14"/>
      <c r="D37" s="92"/>
      <c r="E37" s="72"/>
      <c r="F37" s="93"/>
      <c r="G37" s="74"/>
      <c r="H37" s="75"/>
      <c r="I37" s="86"/>
    </row>
    <row r="38" spans="2:12" ht="14.25" x14ac:dyDescent="0.2">
      <c r="B38" s="63" t="s">
        <v>65</v>
      </c>
      <c r="C38" s="14"/>
      <c r="D38" s="92"/>
      <c r="E38" s="72"/>
      <c r="F38" s="93"/>
      <c r="G38" s="74"/>
      <c r="H38" s="75"/>
      <c r="I38" s="86"/>
    </row>
    <row r="39" spans="2:12" ht="15" customHeight="1" x14ac:dyDescent="0.2">
      <c r="B39" s="211" t="s">
        <v>60</v>
      </c>
      <c r="C39" s="14">
        <v>5.3</v>
      </c>
      <c r="D39" s="71">
        <v>236690165</v>
      </c>
      <c r="E39" s="72">
        <f t="shared" ref="E39:E44" si="13">+D39/$D$54</f>
        <v>6.3091215887255275E-3</v>
      </c>
      <c r="F39" s="73">
        <v>1961264510.98</v>
      </c>
      <c r="G39" s="74">
        <f t="shared" ref="G39:G44" si="14">+F39/$F$54</f>
        <v>5.9731921194890708E-2</v>
      </c>
      <c r="H39" s="204">
        <f t="shared" ref="H39:H42" si="15">+D39-F39</f>
        <v>-1724574345.98</v>
      </c>
      <c r="I39" s="76">
        <f t="shared" si="0"/>
        <v>-0.87931757104923536</v>
      </c>
      <c r="J39" s="1" t="s">
        <v>96</v>
      </c>
      <c r="K39" s="98"/>
      <c r="L39" s="68">
        <f>+D39-F39</f>
        <v>-1724574345.98</v>
      </c>
    </row>
    <row r="40" spans="2:12" ht="14.25" x14ac:dyDescent="0.2">
      <c r="B40" s="211" t="s">
        <v>66</v>
      </c>
      <c r="C40" s="14">
        <v>8</v>
      </c>
      <c r="D40" s="71">
        <v>217884946.44</v>
      </c>
      <c r="E40" s="72">
        <f t="shared" si="13"/>
        <v>5.8078569485255516E-3</v>
      </c>
      <c r="F40" s="73">
        <v>452006325.44</v>
      </c>
      <c r="G40" s="74">
        <f t="shared" si="14"/>
        <v>1.3766223811026542E-2</v>
      </c>
      <c r="H40" s="205">
        <f t="shared" si="15"/>
        <v>-234121379</v>
      </c>
      <c r="I40" s="76">
        <f t="shared" si="0"/>
        <v>-0.51796040414279032</v>
      </c>
      <c r="J40" s="193" t="s">
        <v>93</v>
      </c>
      <c r="L40" s="68">
        <f t="shared" ref="L40:L42" si="16">+D40-F40</f>
        <v>-234121379</v>
      </c>
    </row>
    <row r="41" spans="2:12" ht="14.25" x14ac:dyDescent="0.2">
      <c r="B41" s="211" t="s">
        <v>67</v>
      </c>
      <c r="C41" s="14"/>
      <c r="D41" s="71">
        <v>1790011691.4200001</v>
      </c>
      <c r="E41" s="72">
        <f t="shared" si="13"/>
        <v>4.771386004318777E-2</v>
      </c>
      <c r="F41" s="73">
        <v>4282558733.21</v>
      </c>
      <c r="G41" s="74">
        <f t="shared" si="14"/>
        <v>0.13042884288808676</v>
      </c>
      <c r="H41" s="204">
        <f t="shared" si="15"/>
        <v>-2492547041.79</v>
      </c>
      <c r="I41" s="76">
        <f t="shared" si="0"/>
        <v>-0.58202285060588221</v>
      </c>
      <c r="J41" s="193" t="s">
        <v>92</v>
      </c>
      <c r="L41" s="68">
        <f t="shared" si="16"/>
        <v>-2492547041.79</v>
      </c>
    </row>
    <row r="42" spans="2:12" ht="14.25" x14ac:dyDescent="0.2">
      <c r="B42" s="211" t="s">
        <v>63</v>
      </c>
      <c r="C42" s="14">
        <v>7.1</v>
      </c>
      <c r="D42" s="99">
        <v>35114588</v>
      </c>
      <c r="E42" s="72">
        <f t="shared" si="13"/>
        <v>9.3600089057355781E-4</v>
      </c>
      <c r="F42" s="73">
        <v>539915397</v>
      </c>
      <c r="G42" s="74">
        <f t="shared" si="14"/>
        <v>1.6443566772845666E-2</v>
      </c>
      <c r="H42" s="204">
        <f t="shared" si="15"/>
        <v>-504800809</v>
      </c>
      <c r="I42" s="76">
        <f t="shared" si="0"/>
        <v>-0.93496279566185436</v>
      </c>
      <c r="J42" s="193" t="s">
        <v>93</v>
      </c>
      <c r="L42" s="68">
        <f t="shared" si="16"/>
        <v>-504800809</v>
      </c>
    </row>
    <row r="43" spans="2:12" ht="14.25" x14ac:dyDescent="0.2">
      <c r="B43" s="63" t="s">
        <v>68</v>
      </c>
      <c r="C43" s="14"/>
      <c r="D43" s="79">
        <v>2279701390.8600001</v>
      </c>
      <c r="E43" s="80">
        <f t="shared" si="13"/>
        <v>6.0766839471012406E-2</v>
      </c>
      <c r="F43" s="81">
        <v>7235744966.6300001</v>
      </c>
      <c r="G43" s="82">
        <f t="shared" si="14"/>
        <v>0.22037055466684966</v>
      </c>
      <c r="H43" s="100">
        <f>SUM(H39:H42)</f>
        <v>-4956043575.7700005</v>
      </c>
      <c r="I43" s="76">
        <f t="shared" si="0"/>
        <v>-0.68493895219171108</v>
      </c>
    </row>
    <row r="44" spans="2:12" ht="14.25" x14ac:dyDescent="0.2">
      <c r="B44" s="63" t="s">
        <v>69</v>
      </c>
      <c r="C44" s="14"/>
      <c r="D44" s="79">
        <v>14791066417.470001</v>
      </c>
      <c r="E44" s="80">
        <f t="shared" si="13"/>
        <v>0.39426495162878072</v>
      </c>
      <c r="F44" s="81">
        <v>20840940124.755314</v>
      </c>
      <c r="G44" s="82">
        <f t="shared" si="14"/>
        <v>0.63472794525675003</v>
      </c>
      <c r="H44" s="100">
        <f>+H36+H43</f>
        <v>-6049873707.2853155</v>
      </c>
      <c r="I44" s="76">
        <f t="shared" si="0"/>
        <v>-0.29028794627643228</v>
      </c>
      <c r="J44" s="19"/>
      <c r="K44" s="68"/>
    </row>
    <row r="45" spans="2:12" ht="15" customHeight="1" x14ac:dyDescent="0.2">
      <c r="B45" s="70" t="s">
        <v>14</v>
      </c>
      <c r="C45" s="14"/>
      <c r="D45" s="92"/>
      <c r="E45" s="72"/>
      <c r="F45" s="93"/>
      <c r="G45" s="74"/>
      <c r="H45" s="75"/>
      <c r="I45" s="86"/>
    </row>
    <row r="46" spans="2:12" ht="15" customHeight="1" x14ac:dyDescent="0.2">
      <c r="B46" s="63" t="s">
        <v>70</v>
      </c>
      <c r="C46" s="14"/>
      <c r="D46" s="92"/>
      <c r="E46" s="72"/>
      <c r="F46" s="93"/>
      <c r="G46" s="74"/>
      <c r="H46" s="75"/>
      <c r="I46" s="86"/>
    </row>
    <row r="47" spans="2:12" ht="14.25" x14ac:dyDescent="0.2">
      <c r="B47" s="70" t="s">
        <v>71</v>
      </c>
      <c r="C47" s="14">
        <v>9</v>
      </c>
      <c r="D47" s="71">
        <v>2060803967.3599999</v>
      </c>
      <c r="E47" s="72">
        <f>+D47/$D$54</f>
        <v>5.4931994325164261E-2</v>
      </c>
      <c r="F47" s="73">
        <v>2060803967.3599999</v>
      </c>
      <c r="G47" s="74">
        <f t="shared" ref="G47:G52" si="17">+F47/$F$54</f>
        <v>6.276347707681583E-2</v>
      </c>
      <c r="H47" s="204">
        <f t="shared" ref="H47:H51" si="18">+D47-F47</f>
        <v>0</v>
      </c>
      <c r="I47" s="76">
        <f t="shared" si="0"/>
        <v>0</v>
      </c>
      <c r="J47" s="1" t="s">
        <v>96</v>
      </c>
      <c r="L47" s="19">
        <f t="shared" ref="L47:L51" si="19">+D47-F47</f>
        <v>0</v>
      </c>
    </row>
    <row r="48" spans="2:12" ht="14.25" x14ac:dyDescent="0.2">
      <c r="B48" s="70" t="s">
        <v>72</v>
      </c>
      <c r="C48" s="14">
        <v>9.1999999999999993</v>
      </c>
      <c r="D48" s="71">
        <v>2000000000</v>
      </c>
      <c r="E48" s="72">
        <f>+D48/$D$54</f>
        <v>5.3311227263925627E-2</v>
      </c>
      <c r="F48" s="73">
        <v>2000000000</v>
      </c>
      <c r="G48" s="74">
        <f t="shared" si="17"/>
        <v>6.0911642321049293E-2</v>
      </c>
      <c r="H48" s="204">
        <f t="shared" si="18"/>
        <v>0</v>
      </c>
      <c r="I48" s="76">
        <v>0</v>
      </c>
      <c r="J48" s="1" t="s">
        <v>96</v>
      </c>
      <c r="L48" s="19">
        <f t="shared" si="19"/>
        <v>0</v>
      </c>
    </row>
    <row r="49" spans="2:14" ht="14.25" x14ac:dyDescent="0.2">
      <c r="B49" s="70" t="s">
        <v>73</v>
      </c>
      <c r="C49" s="14">
        <v>9.1</v>
      </c>
      <c r="D49" s="71">
        <v>4234095263.4499998</v>
      </c>
      <c r="E49" s="72">
        <f>+D49/$D$54</f>
        <v>0.112862407423447</v>
      </c>
      <c r="F49" s="73">
        <v>1774057625.79</v>
      </c>
      <c r="G49" s="74">
        <f t="shared" si="17"/>
        <v>5.4030381779525197E-2</v>
      </c>
      <c r="H49" s="204">
        <f t="shared" si="18"/>
        <v>2460037637.6599998</v>
      </c>
      <c r="I49" s="76">
        <f t="shared" si="0"/>
        <v>1.3866729027838249</v>
      </c>
      <c r="J49" s="1" t="s">
        <v>96</v>
      </c>
      <c r="L49" s="19">
        <f t="shared" si="19"/>
        <v>2460037637.6599998</v>
      </c>
    </row>
    <row r="50" spans="2:14" ht="14.25" x14ac:dyDescent="0.2">
      <c r="B50" s="70" t="s">
        <v>74</v>
      </c>
      <c r="C50" s="14">
        <v>9</v>
      </c>
      <c r="D50" s="71">
        <v>3313032491.5100002</v>
      </c>
      <c r="E50" s="72">
        <f>+D50/$D$54</f>
        <v>8.8310914043829694E-2</v>
      </c>
      <c r="F50" s="73">
        <v>3313032491.5100002</v>
      </c>
      <c r="G50" s="74">
        <f t="shared" si="17"/>
        <v>0.10090112506043596</v>
      </c>
      <c r="H50" s="204">
        <f t="shared" si="18"/>
        <v>0</v>
      </c>
      <c r="I50" s="76">
        <f t="shared" si="0"/>
        <v>0</v>
      </c>
      <c r="J50" s="1" t="s">
        <v>96</v>
      </c>
      <c r="L50" s="19">
        <f t="shared" si="19"/>
        <v>0</v>
      </c>
    </row>
    <row r="51" spans="2:14" ht="15" customHeight="1" x14ac:dyDescent="0.2">
      <c r="B51" s="70" t="s">
        <v>75</v>
      </c>
      <c r="C51" s="14">
        <v>9</v>
      </c>
      <c r="D51" s="71">
        <v>385573649.13</v>
      </c>
      <c r="E51" s="72">
        <f t="shared" ref="E51" si="20">+D51/$D$54</f>
        <v>1.0277702217875275E-2</v>
      </c>
      <c r="F51" s="73">
        <v>120685682.13</v>
      </c>
      <c r="G51" s="74">
        <f t="shared" si="17"/>
        <v>3.675581551587205E-3</v>
      </c>
      <c r="H51" s="204">
        <f t="shared" si="18"/>
        <v>264887967</v>
      </c>
      <c r="I51" s="76">
        <f t="shared" si="0"/>
        <v>2.1948582659098568</v>
      </c>
      <c r="J51" s="1" t="s">
        <v>96</v>
      </c>
      <c r="L51" s="19">
        <f t="shared" si="19"/>
        <v>264887967</v>
      </c>
    </row>
    <row r="52" spans="2:14" ht="14.25" x14ac:dyDescent="0.2">
      <c r="B52" s="70" t="s">
        <v>76</v>
      </c>
      <c r="C52" s="14"/>
      <c r="D52" s="71">
        <v>10730977987.340004</v>
      </c>
      <c r="E52" s="72">
        <f>+D52/$D$54</f>
        <v>0.28604080312363311</v>
      </c>
      <c r="F52" s="73">
        <v>2724925607.7146826</v>
      </c>
      <c r="G52" s="74">
        <f t="shared" si="17"/>
        <v>8.298984698429232E-2</v>
      </c>
      <c r="H52" s="75">
        <f>+D52-F52</f>
        <v>8006052379.6253214</v>
      </c>
      <c r="I52" s="76">
        <f t="shared" si="0"/>
        <v>2.9380810826390849</v>
      </c>
      <c r="J52" s="1" t="s">
        <v>96</v>
      </c>
      <c r="K52" s="198"/>
      <c r="L52" s="19">
        <f>+D52-F52</f>
        <v>8006052379.6253214</v>
      </c>
    </row>
    <row r="53" spans="2:14" ht="14.25" x14ac:dyDescent="0.2">
      <c r="B53" s="63" t="s">
        <v>77</v>
      </c>
      <c r="C53" s="14"/>
      <c r="D53" s="79">
        <v>22724483358.790001</v>
      </c>
      <c r="E53" s="80">
        <f>+D53/$D$54</f>
        <v>0.60573504839787484</v>
      </c>
      <c r="F53" s="81">
        <v>11993505374.504681</v>
      </c>
      <c r="G53" s="82">
        <f>SUM(G47:G52)</f>
        <v>0.36527205477370583</v>
      </c>
      <c r="H53" s="81">
        <f>SUM(H47:H52)</f>
        <v>10730977984.28532</v>
      </c>
      <c r="I53" s="76">
        <f t="shared" si="0"/>
        <v>0.89473241135129755</v>
      </c>
      <c r="K53" s="206"/>
      <c r="L53" s="207"/>
      <c r="M53" s="208"/>
      <c r="N53" s="208"/>
    </row>
    <row r="54" spans="2:14" thickBot="1" x14ac:dyDescent="0.25">
      <c r="B54" s="63" t="s">
        <v>78</v>
      </c>
      <c r="C54" s="14"/>
      <c r="D54" s="88">
        <v>37515549775.260002</v>
      </c>
      <c r="E54" s="80">
        <f>+D54/$D$54</f>
        <v>1</v>
      </c>
      <c r="F54" s="89">
        <v>32834445498.259995</v>
      </c>
      <c r="G54" s="82">
        <f>+F54/$F$54</f>
        <v>1</v>
      </c>
      <c r="H54" s="89">
        <f>+H44+H53</f>
        <v>4681104277.0000048</v>
      </c>
      <c r="I54" s="76">
        <f t="shared" si="0"/>
        <v>0.14256687469407936</v>
      </c>
      <c r="K54" s="209"/>
      <c r="L54" s="208"/>
      <c r="M54" s="208"/>
      <c r="N54" s="208"/>
    </row>
    <row r="55" spans="2:14" thickTop="1" x14ac:dyDescent="0.2">
      <c r="B55" s="51"/>
      <c r="C55" s="101"/>
      <c r="D55" s="210">
        <f>+D53-D52</f>
        <v>11993505371.449997</v>
      </c>
      <c r="E55" s="103"/>
      <c r="F55" s="210">
        <f>+F53</f>
        <v>11993505374.504681</v>
      </c>
      <c r="K55" s="209"/>
      <c r="L55" s="208"/>
      <c r="M55" s="208"/>
      <c r="N55" s="208"/>
    </row>
    <row r="56" spans="2:14" ht="14.25" x14ac:dyDescent="0.2">
      <c r="B56" s="349" t="s">
        <v>28</v>
      </c>
      <c r="C56" s="349"/>
      <c r="D56" s="349"/>
      <c r="E56" s="105"/>
      <c r="F56" s="106"/>
      <c r="K56" s="198"/>
    </row>
    <row r="57" spans="2:14" ht="14.25" x14ac:dyDescent="0.2">
      <c r="B57" s="107"/>
      <c r="C57" s="108"/>
      <c r="D57" s="109"/>
      <c r="E57" s="110"/>
      <c r="F57" s="111"/>
    </row>
    <row r="58" spans="2:14" ht="14.25" x14ac:dyDescent="0.2">
      <c r="B58" s="112"/>
      <c r="C58" s="113"/>
      <c r="D58" s="114"/>
      <c r="E58" s="115"/>
      <c r="F58" s="116"/>
    </row>
    <row r="59" spans="2:14" ht="14.25" x14ac:dyDescent="0.2">
      <c r="B59" s="117"/>
      <c r="C59" s="118"/>
      <c r="D59" s="119"/>
      <c r="E59" s="120"/>
      <c r="F59" s="121"/>
      <c r="K59" s="68"/>
    </row>
    <row r="60" spans="2:14" s="124" customFormat="1" ht="15" customHeight="1" x14ac:dyDescent="0.25">
      <c r="B60" s="151"/>
      <c r="C60" s="123"/>
      <c r="D60" s="352"/>
      <c r="E60" s="352"/>
      <c r="F60" s="352"/>
      <c r="G60" s="352"/>
      <c r="H60" s="352"/>
      <c r="I60" s="352"/>
    </row>
    <row r="61" spans="2:14" s="47" customFormat="1" ht="16.149999999999999" customHeight="1" x14ac:dyDescent="0.2">
      <c r="B61" s="125" t="s">
        <v>29</v>
      </c>
      <c r="C61" s="126"/>
      <c r="D61" s="346" t="s">
        <v>30</v>
      </c>
      <c r="E61" s="346"/>
      <c r="F61" s="346"/>
      <c r="G61" s="346" t="s">
        <v>31</v>
      </c>
      <c r="H61" s="346"/>
      <c r="I61" s="346"/>
    </row>
    <row r="62" spans="2:14" ht="14.25" x14ac:dyDescent="0.2">
      <c r="B62" s="50"/>
      <c r="C62" s="127"/>
      <c r="D62" s="353"/>
      <c r="E62" s="353"/>
      <c r="F62" s="353"/>
      <c r="G62" s="354" t="s">
        <v>32</v>
      </c>
      <c r="H62" s="354"/>
      <c r="I62" s="354"/>
    </row>
    <row r="63" spans="2:14" ht="9.75" customHeight="1" x14ac:dyDescent="0.2">
      <c r="B63" s="50"/>
      <c r="C63" s="127"/>
      <c r="D63" s="128"/>
      <c r="E63" s="129"/>
      <c r="F63" s="130"/>
      <c r="G63" s="53" t="s">
        <v>33</v>
      </c>
      <c r="H63" s="131"/>
      <c r="I63" s="132"/>
    </row>
    <row r="64" spans="2:14" ht="14.25" x14ac:dyDescent="0.2">
      <c r="B64" s="50"/>
      <c r="C64" s="127"/>
      <c r="D64" s="128"/>
      <c r="E64" s="50"/>
      <c r="F64" s="133"/>
    </row>
    <row r="65" spans="3:6" ht="14.25" x14ac:dyDescent="0.2">
      <c r="C65" s="108"/>
      <c r="D65" s="134"/>
      <c r="E65" s="135"/>
      <c r="F65" s="136"/>
    </row>
    <row r="66" spans="3:6" ht="14.25" x14ac:dyDescent="0.2">
      <c r="C66" s="113"/>
      <c r="D66" s="137"/>
      <c r="E66" s="138"/>
      <c r="F66" s="139"/>
    </row>
    <row r="67" spans="3:6" ht="14.25" x14ac:dyDescent="0.2">
      <c r="C67" s="118"/>
      <c r="D67" s="140"/>
      <c r="E67" s="141"/>
      <c r="F67" s="142"/>
    </row>
  </sheetData>
  <mergeCells count="12">
    <mergeCell ref="B56:D56"/>
    <mergeCell ref="B3:I3"/>
    <mergeCell ref="B4:I4"/>
    <mergeCell ref="B5:I5"/>
    <mergeCell ref="B6:I6"/>
    <mergeCell ref="B7:I7"/>
    <mergeCell ref="D60:F60"/>
    <mergeCell ref="G60:I60"/>
    <mergeCell ref="D61:F61"/>
    <mergeCell ref="G61:I61"/>
    <mergeCell ref="D62:F62"/>
    <mergeCell ref="G62:I62"/>
  </mergeCells>
  <printOptions horizontalCentered="1" verticalCentered="1"/>
  <pageMargins left="0" right="0" top="0" bottom="0" header="0.31496062992125984" footer="0.31496062992125984"/>
  <pageSetup scale="80" orientation="portrait" r:id="rId1"/>
  <headerFooter scaleWithDoc="0"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5DA1-EE29-489A-93C5-ECA855E9194F}">
  <sheetPr>
    <tabColor theme="8" tint="-0.499984740745262"/>
  </sheetPr>
  <dimension ref="B1:L46"/>
  <sheetViews>
    <sheetView showGridLines="0" topLeftCell="A13" zoomScale="97" zoomScaleNormal="160" workbookViewId="0">
      <selection activeCell="G32" sqref="G32"/>
    </sheetView>
  </sheetViews>
  <sheetFormatPr baseColWidth="10" defaultColWidth="11.42578125" defaultRowHeight="15" x14ac:dyDescent="0.25"/>
  <cols>
    <col min="1" max="1" width="6.7109375" style="1" customWidth="1"/>
    <col min="2" max="2" width="39" style="1" customWidth="1"/>
    <col min="3" max="3" width="7.28515625" style="2" customWidth="1"/>
    <col min="4" max="4" width="15.7109375" style="3" bestFit="1" customWidth="1"/>
    <col min="5" max="5" width="7.7109375" style="1" bestFit="1" customWidth="1"/>
    <col min="6" max="6" width="1.85546875" style="1" customWidth="1"/>
    <col min="7" max="7" width="15.7109375" style="3" bestFit="1" customWidth="1"/>
    <col min="8" max="8" width="7.85546875" style="1" customWidth="1"/>
    <col min="9" max="9" width="15.85546875" style="1" customWidth="1"/>
    <col min="10" max="10" width="10" style="1" bestFit="1" customWidth="1"/>
    <col min="11" max="11" width="13.85546875" style="1" bestFit="1" customWidth="1"/>
    <col min="12" max="12" width="16.85546875" style="1" bestFit="1" customWidth="1"/>
    <col min="13" max="16384" width="11.42578125" style="1"/>
  </cols>
  <sheetData>
    <row r="1" spans="2:12" ht="36" customHeight="1" x14ac:dyDescent="0.25"/>
    <row r="2" spans="2:12" ht="23.25" customHeight="1" x14ac:dyDescent="0.25"/>
    <row r="3" spans="2:12" ht="18.75" customHeight="1" x14ac:dyDescent="0.2">
      <c r="B3" s="347" t="s">
        <v>0</v>
      </c>
      <c r="C3" s="347"/>
      <c r="D3" s="347"/>
      <c r="E3" s="347"/>
      <c r="F3" s="347"/>
      <c r="G3" s="347"/>
      <c r="H3" s="347"/>
      <c r="I3" s="347"/>
      <c r="J3" s="347"/>
    </row>
    <row r="4" spans="2:12" ht="20.25" x14ac:dyDescent="0.2">
      <c r="B4" s="347" t="s">
        <v>1</v>
      </c>
      <c r="C4" s="347"/>
      <c r="D4" s="347"/>
      <c r="E4" s="347"/>
      <c r="F4" s="347"/>
      <c r="G4" s="347"/>
      <c r="H4" s="347"/>
      <c r="I4" s="347"/>
      <c r="J4" s="347"/>
    </row>
    <row r="5" spans="2:12" ht="18.75" customHeight="1" x14ac:dyDescent="0.2">
      <c r="B5" s="347" t="s">
        <v>2</v>
      </c>
      <c r="C5" s="347"/>
      <c r="D5" s="347"/>
      <c r="E5" s="347"/>
      <c r="F5" s="347"/>
      <c r="G5" s="347"/>
      <c r="H5" s="347"/>
      <c r="I5" s="347"/>
      <c r="J5" s="347"/>
    </row>
    <row r="6" spans="2:12" ht="20.25" x14ac:dyDescent="0.2">
      <c r="B6" s="347" t="str">
        <f>+'[20]ESF '!B6:I6</f>
        <v>A 31 de Diciembre 2022 - 2021</v>
      </c>
      <c r="C6" s="347"/>
      <c r="D6" s="347"/>
      <c r="E6" s="347"/>
      <c r="F6" s="347"/>
      <c r="G6" s="347"/>
      <c r="H6" s="347"/>
      <c r="I6" s="347"/>
      <c r="J6" s="347"/>
    </row>
    <row r="7" spans="2:12" ht="20.25" x14ac:dyDescent="0.2">
      <c r="B7" s="348" t="s">
        <v>3</v>
      </c>
      <c r="C7" s="348"/>
      <c r="D7" s="348"/>
      <c r="E7" s="348"/>
      <c r="F7" s="348"/>
      <c r="G7" s="348"/>
      <c r="H7" s="348"/>
      <c r="I7" s="348"/>
      <c r="J7" s="348"/>
    </row>
    <row r="8" spans="2:12" ht="14.25" x14ac:dyDescent="0.2">
      <c r="B8" s="4"/>
      <c r="C8" s="5"/>
    </row>
    <row r="9" spans="2:12" ht="23.25" customHeight="1" x14ac:dyDescent="0.2">
      <c r="B9" s="152" t="s">
        <v>4</v>
      </c>
      <c r="C9" s="153" t="s">
        <v>5</v>
      </c>
      <c r="D9" s="147" t="s">
        <v>84</v>
      </c>
      <c r="E9" s="154" t="s">
        <v>7</v>
      </c>
      <c r="F9" s="154"/>
      <c r="G9" s="147" t="s">
        <v>6</v>
      </c>
      <c r="H9" s="148" t="s">
        <v>7</v>
      </c>
      <c r="I9" s="155" t="s">
        <v>9</v>
      </c>
      <c r="J9" s="156" t="s">
        <v>10</v>
      </c>
    </row>
    <row r="10" spans="2:12" ht="14.25" x14ac:dyDescent="0.2">
      <c r="B10" s="224" t="s">
        <v>11</v>
      </c>
      <c r="C10" s="14">
        <v>10.1</v>
      </c>
      <c r="D10" s="200">
        <v>90224924508.630005</v>
      </c>
      <c r="E10" s="16">
        <f>+D10/$D$10</f>
        <v>1</v>
      </c>
      <c r="F10" s="16"/>
      <c r="G10" s="17">
        <v>60053379137.809998</v>
      </c>
      <c r="H10" s="16">
        <f>+G10/$G$10</f>
        <v>1</v>
      </c>
      <c r="I10" s="17">
        <f>+D10-G10</f>
        <v>30171545370.820007</v>
      </c>
      <c r="J10" s="18">
        <f>+(D10/G10-1)</f>
        <v>0.5024121174194478</v>
      </c>
      <c r="K10" s="19"/>
    </row>
    <row r="11" spans="2:12" ht="14.25" x14ac:dyDescent="0.2">
      <c r="B11" s="225" t="s">
        <v>12</v>
      </c>
      <c r="C11" s="21">
        <v>10.199999999999999</v>
      </c>
      <c r="D11" s="203">
        <v>70068461015.720001</v>
      </c>
      <c r="E11" s="23">
        <f t="shared" ref="E11:E12" si="0">+D11/$D$10</f>
        <v>0.77659761310210862</v>
      </c>
      <c r="F11" s="23"/>
      <c r="G11" s="24">
        <v>51897171186</v>
      </c>
      <c r="H11" s="23">
        <f t="shared" ref="H11:H12" si="1">+G11/$G$10</f>
        <v>0.86418402979300801</v>
      </c>
      <c r="I11" s="24">
        <f t="shared" ref="I11:I12" si="2">+D11-G11</f>
        <v>18171289829.720001</v>
      </c>
      <c r="J11" s="25">
        <f t="shared" ref="J11:J12" si="3">+(D11/G11-1)</f>
        <v>0.35014027575017348</v>
      </c>
    </row>
    <row r="12" spans="2:12" ht="14.25" x14ac:dyDescent="0.2">
      <c r="B12" s="226" t="s">
        <v>13</v>
      </c>
      <c r="C12" s="21"/>
      <c r="D12" s="200">
        <v>20156463492.910004</v>
      </c>
      <c r="E12" s="16">
        <f t="shared" si="0"/>
        <v>0.22340238689789138</v>
      </c>
      <c r="F12" s="16"/>
      <c r="G12" s="17">
        <v>8156207951.8099976</v>
      </c>
      <c r="H12" s="16">
        <f t="shared" si="1"/>
        <v>0.13581597020699199</v>
      </c>
      <c r="I12" s="17">
        <f t="shared" si="2"/>
        <v>12000255541.100006</v>
      </c>
      <c r="J12" s="18">
        <f t="shared" si="3"/>
        <v>1.4713032835849842</v>
      </c>
    </row>
    <row r="13" spans="2:12" ht="14.25" x14ac:dyDescent="0.2">
      <c r="B13" s="225" t="s">
        <v>14</v>
      </c>
      <c r="C13" s="21"/>
      <c r="D13" s="27"/>
      <c r="E13" s="28"/>
      <c r="F13" s="28"/>
      <c r="G13" s="29"/>
      <c r="H13" s="28"/>
      <c r="I13" s="28"/>
      <c r="J13" s="28"/>
    </row>
    <row r="14" spans="2:12" ht="14.25" x14ac:dyDescent="0.2">
      <c r="B14" s="225" t="s">
        <v>15</v>
      </c>
      <c r="C14" s="21">
        <v>11.1</v>
      </c>
      <c r="D14" s="201">
        <v>411173278.94</v>
      </c>
      <c r="E14" s="30">
        <f t="shared" ref="E14:E20" si="4">+D14/$D$10</f>
        <v>4.5572028037626265E-3</v>
      </c>
      <c r="F14" s="28"/>
      <c r="G14" s="29">
        <v>621747595</v>
      </c>
      <c r="H14" s="30">
        <f>+G14/$G$10</f>
        <v>1.0353249124803099E-2</v>
      </c>
      <c r="I14" s="24">
        <f t="shared" ref="I14:I18" si="5">+D14-G14</f>
        <v>-210574316.06</v>
      </c>
      <c r="J14" s="25">
        <f t="shared" ref="J14:J18" si="6">+(D14/G14-1)</f>
        <v>-0.33868135197209726</v>
      </c>
    </row>
    <row r="15" spans="2:12" ht="14.25" x14ac:dyDescent="0.2">
      <c r="B15" s="225" t="s">
        <v>16</v>
      </c>
      <c r="C15" s="21">
        <v>10.199999999999999</v>
      </c>
      <c r="D15" s="201">
        <v>2930296270.71</v>
      </c>
      <c r="E15" s="30">
        <f t="shared" si="4"/>
        <v>3.2477680493151508E-2</v>
      </c>
      <c r="F15" s="28"/>
      <c r="G15" s="29">
        <v>1949592871.48</v>
      </c>
      <c r="H15" s="30">
        <f t="shared" ref="H15:H24" si="7">+G15/$G$10</f>
        <v>3.2464332556642488E-2</v>
      </c>
      <c r="I15" s="24">
        <f t="shared" si="5"/>
        <v>980703399.23000002</v>
      </c>
      <c r="J15" s="25">
        <f t="shared" si="6"/>
        <v>0.50302984462879974</v>
      </c>
    </row>
    <row r="16" spans="2:12" ht="14.25" x14ac:dyDescent="0.2">
      <c r="B16" s="225" t="s">
        <v>17</v>
      </c>
      <c r="C16" s="21">
        <v>10.199999999999999</v>
      </c>
      <c r="D16" s="201">
        <v>1976551926.4200001</v>
      </c>
      <c r="E16" s="30">
        <f t="shared" si="4"/>
        <v>2.190693909897307E-2</v>
      </c>
      <c r="F16" s="28"/>
      <c r="G16" s="29">
        <v>1646078488.9200001</v>
      </c>
      <c r="H16" s="30">
        <f t="shared" si="7"/>
        <v>2.7410255884895218E-2</v>
      </c>
      <c r="I16" s="24">
        <f t="shared" si="5"/>
        <v>330473437.5</v>
      </c>
      <c r="J16" s="25">
        <f t="shared" si="6"/>
        <v>0.20076408246901112</v>
      </c>
      <c r="L16" s="202">
        <f>+D12-D15-D16</f>
        <v>15249615295.780005</v>
      </c>
    </row>
    <row r="17" spans="2:12" ht="14.25" x14ac:dyDescent="0.2">
      <c r="B17" s="225" t="s">
        <v>18</v>
      </c>
      <c r="C17" s="21">
        <v>11.3</v>
      </c>
      <c r="D17" s="201">
        <v>701702582.53999996</v>
      </c>
      <c r="E17" s="30">
        <f>+D17/$D$10</f>
        <v>7.7772587382201929E-3</v>
      </c>
      <c r="F17" s="28"/>
      <c r="G17" s="29">
        <v>829110027.19000006</v>
      </c>
      <c r="H17" s="30">
        <f>+G17/$G$10</f>
        <v>1.3806217719861612E-2</v>
      </c>
      <c r="I17" s="24">
        <f>+D17-G17</f>
        <v>-127407444.6500001</v>
      </c>
      <c r="J17" s="25">
        <f>+(D17/G17-1)</f>
        <v>-0.15366771655362366</v>
      </c>
    </row>
    <row r="18" spans="2:12" ht="14.25" x14ac:dyDescent="0.2">
      <c r="B18" s="225" t="s">
        <v>19</v>
      </c>
      <c r="C18" s="21">
        <v>11.2</v>
      </c>
      <c r="D18" s="201">
        <v>629843016.67999995</v>
      </c>
      <c r="E18" s="30">
        <f t="shared" si="4"/>
        <v>6.9808095724120615E-3</v>
      </c>
      <c r="F18" s="28"/>
      <c r="G18" s="29">
        <v>303311459.56</v>
      </c>
      <c r="H18" s="30">
        <f t="shared" si="7"/>
        <v>5.0506976279213762E-3</v>
      </c>
      <c r="I18" s="24">
        <f t="shared" si="5"/>
        <v>326531557.11999995</v>
      </c>
      <c r="J18" s="25">
        <f t="shared" si="6"/>
        <v>1.0765552926806139</v>
      </c>
    </row>
    <row r="19" spans="2:12" ht="14.25" x14ac:dyDescent="0.2">
      <c r="B19" s="225"/>
      <c r="C19" s="21"/>
      <c r="D19" s="27">
        <f>+D12+D14-D15-D16-D17-D18</f>
        <v>14329242975.500004</v>
      </c>
      <c r="E19" s="30"/>
      <c r="F19" s="28"/>
      <c r="G19" s="29"/>
      <c r="H19" s="28"/>
      <c r="I19" s="28"/>
      <c r="J19" s="28"/>
    </row>
    <row r="20" spans="2:12" s="33" customFormat="1" ht="25.5" x14ac:dyDescent="0.25">
      <c r="B20" s="227" t="s">
        <v>20</v>
      </c>
      <c r="C20" s="14"/>
      <c r="D20" s="15">
        <v>14329242975.5</v>
      </c>
      <c r="E20" s="16">
        <f t="shared" si="4"/>
        <v>0.15881690179889715</v>
      </c>
      <c r="F20" s="32"/>
      <c r="G20" s="17">
        <v>4049862699.6599975</v>
      </c>
      <c r="H20" s="16">
        <f t="shared" si="7"/>
        <v>6.7437715542474408E-2</v>
      </c>
      <c r="I20" s="17">
        <f t="shared" ref="I20" si="8">+D20-G20</f>
        <v>10279380275.840002</v>
      </c>
      <c r="J20" s="18">
        <f t="shared" ref="J20" si="9">+(D20/G20-1)</f>
        <v>2.5382046351109628</v>
      </c>
      <c r="K20" s="199"/>
      <c r="L20" s="199">
        <f>+D12+D14-D15-D16-D17-D18</f>
        <v>14329242975.500004</v>
      </c>
    </row>
    <row r="21" spans="2:12" ht="14.25" x14ac:dyDescent="0.2">
      <c r="B21" s="226"/>
      <c r="C21" s="21"/>
      <c r="D21" s="27"/>
      <c r="E21" s="28"/>
      <c r="F21" s="28"/>
      <c r="G21" s="29"/>
      <c r="H21" s="28"/>
      <c r="I21" s="28"/>
      <c r="J21" s="28"/>
      <c r="L21" s="19"/>
    </row>
    <row r="22" spans="2:12" s="33" customFormat="1" ht="14.25" x14ac:dyDescent="0.25">
      <c r="B22" s="228" t="s">
        <v>21</v>
      </c>
      <c r="C22" s="14">
        <v>7</v>
      </c>
      <c r="D22" s="35">
        <v>5079950517.1600008</v>
      </c>
      <c r="E22" s="23">
        <f t="shared" ref="E22:E24" si="10">+D22/$D$10</f>
        <v>5.6303183902072472E-2</v>
      </c>
      <c r="F22" s="36"/>
      <c r="G22" s="37">
        <v>1400982999.9453151</v>
      </c>
      <c r="H22" s="23">
        <f t="shared" si="7"/>
        <v>2.332896200112821E-2</v>
      </c>
      <c r="I22" s="24">
        <f t="shared" ref="I22" si="11">+D22-G22</f>
        <v>3678967517.2146854</v>
      </c>
      <c r="J22" s="25">
        <f t="shared" ref="J22" si="12">+(D22/G22-1)</f>
        <v>2.6259901207639835</v>
      </c>
    </row>
    <row r="23" spans="2:12" ht="14.25" x14ac:dyDescent="0.2">
      <c r="B23" s="225"/>
      <c r="C23" s="21"/>
      <c r="D23" s="27"/>
      <c r="E23" s="30"/>
      <c r="F23" s="28"/>
      <c r="G23" s="29"/>
      <c r="H23" s="30"/>
      <c r="I23" s="28"/>
      <c r="J23" s="28"/>
    </row>
    <row r="24" spans="2:12" s="33" customFormat="1" ht="25.5" x14ac:dyDescent="0.25">
      <c r="B24" s="227" t="s">
        <v>22</v>
      </c>
      <c r="C24" s="14"/>
      <c r="D24" s="15">
        <v>9249292458.340004</v>
      </c>
      <c r="E24" s="16">
        <f t="shared" si="10"/>
        <v>0.10251371789682473</v>
      </c>
      <c r="F24" s="32"/>
      <c r="G24" s="17">
        <v>2648879699.7146826</v>
      </c>
      <c r="H24" s="16">
        <f t="shared" si="7"/>
        <v>4.4108753541346198E-2</v>
      </c>
      <c r="I24" s="17">
        <f t="shared" ref="I24" si="13">+D24-G24</f>
        <v>6600412758.6253214</v>
      </c>
      <c r="J24" s="18">
        <f t="shared" ref="J24" si="14">+(D24/G24-1)</f>
        <v>2.4917752056978157</v>
      </c>
    </row>
    <row r="25" spans="2:12" ht="14.25" x14ac:dyDescent="0.2">
      <c r="B25" s="225" t="s">
        <v>14</v>
      </c>
      <c r="C25" s="21"/>
      <c r="D25" s="29"/>
      <c r="E25" s="28"/>
      <c r="F25" s="28"/>
      <c r="G25" s="29"/>
      <c r="H25" s="28"/>
      <c r="I25" s="28"/>
      <c r="J25" s="28"/>
    </row>
    <row r="26" spans="2:12" ht="25.5" x14ac:dyDescent="0.2">
      <c r="B26" s="226" t="s">
        <v>23</v>
      </c>
      <c r="C26" s="21"/>
      <c r="D26" s="29"/>
      <c r="E26" s="28"/>
      <c r="F26" s="28"/>
      <c r="G26" s="29"/>
      <c r="H26" s="28"/>
      <c r="I26" s="28"/>
      <c r="J26" s="28"/>
    </row>
    <row r="27" spans="2:12" ht="14.25" x14ac:dyDescent="0.2">
      <c r="B27" s="225" t="s">
        <v>24</v>
      </c>
      <c r="C27" s="21">
        <v>11.4</v>
      </c>
      <c r="D27" s="201">
        <v>1481685529</v>
      </c>
      <c r="E27" s="23">
        <f t="shared" ref="E27:E31" si="15">+D27/$D$10</f>
        <v>1.6422130991733629E-2</v>
      </c>
      <c r="F27" s="28"/>
      <c r="G27" s="29">
        <v>496089060</v>
      </c>
      <c r="H27" s="23">
        <f t="shared" ref="H27:H31" si="16">+G27/$G$10</f>
        <v>8.260801758741651E-3</v>
      </c>
      <c r="I27" s="24">
        <f t="shared" ref="I27:I28" si="17">+D27-G27</f>
        <v>985596469</v>
      </c>
      <c r="J27" s="18">
        <v>0</v>
      </c>
    </row>
    <row r="28" spans="2:12" ht="14.25" x14ac:dyDescent="0.2">
      <c r="B28" s="225" t="s">
        <v>25</v>
      </c>
      <c r="C28" s="21"/>
      <c r="D28" s="35">
        <v>0</v>
      </c>
      <c r="E28" s="35">
        <v>0</v>
      </c>
      <c r="F28" s="28"/>
      <c r="G28" s="29">
        <v>420043152</v>
      </c>
      <c r="H28" s="23">
        <f t="shared" si="16"/>
        <v>6.9944965300968069E-3</v>
      </c>
      <c r="I28" s="24">
        <f t="shared" si="17"/>
        <v>-420043152</v>
      </c>
      <c r="J28" s="25">
        <v>0</v>
      </c>
    </row>
    <row r="29" spans="2:12" ht="14.25" x14ac:dyDescent="0.2">
      <c r="B29" s="226" t="s">
        <v>26</v>
      </c>
      <c r="C29" s="21"/>
      <c r="D29" s="38">
        <v>1481685529</v>
      </c>
      <c r="E29" s="16">
        <f t="shared" si="15"/>
        <v>1.6422130991733629E-2</v>
      </c>
      <c r="F29" s="39"/>
      <c r="G29" s="38">
        <v>76045908</v>
      </c>
      <c r="H29" s="16">
        <f t="shared" si="16"/>
        <v>1.2663052286448441E-3</v>
      </c>
      <c r="I29" s="38">
        <f>+I27+I28</f>
        <v>565553317</v>
      </c>
      <c r="J29" s="40">
        <f>SUM(J27:J28)</f>
        <v>0</v>
      </c>
    </row>
    <row r="30" spans="2:12" ht="14.25" x14ac:dyDescent="0.2">
      <c r="B30" s="20"/>
      <c r="C30" s="21"/>
      <c r="D30" s="29"/>
      <c r="E30" s="41"/>
      <c r="F30" s="41"/>
      <c r="G30" s="29"/>
      <c r="H30" s="41"/>
      <c r="I30" s="41"/>
      <c r="J30" s="41"/>
    </row>
    <row r="31" spans="2:12" ht="25.5" x14ac:dyDescent="0.2">
      <c r="B31" s="31" t="s">
        <v>27</v>
      </c>
      <c r="C31" s="14"/>
      <c r="D31" s="17">
        <v>10730977987.34</v>
      </c>
      <c r="E31" s="16">
        <f t="shared" si="15"/>
        <v>0.11893584888855832</v>
      </c>
      <c r="F31" s="42"/>
      <c r="G31" s="17">
        <v>2724925607.7146826</v>
      </c>
      <c r="H31" s="16">
        <f t="shared" si="16"/>
        <v>4.5375058769991039E-2</v>
      </c>
      <c r="I31" s="17">
        <f t="shared" ref="I31" si="18">+D31-G31</f>
        <v>8006052379.6253176</v>
      </c>
      <c r="J31" s="18">
        <f t="shared" ref="J31" si="19">+(D31/G31-1)</f>
        <v>2.9380810826390835</v>
      </c>
    </row>
    <row r="32" spans="2:12" ht="14.25" x14ac:dyDescent="0.2">
      <c r="B32" s="20"/>
      <c r="C32" s="21"/>
      <c r="D32" s="29"/>
      <c r="E32" s="29"/>
      <c r="F32" s="29"/>
      <c r="G32" s="29"/>
      <c r="H32" s="29"/>
      <c r="I32" s="29"/>
      <c r="J32" s="29"/>
    </row>
    <row r="33" spans="2:10" ht="14.25" x14ac:dyDescent="0.2">
      <c r="B33" s="349" t="s">
        <v>28</v>
      </c>
      <c r="C33" s="349"/>
      <c r="D33" s="349"/>
    </row>
    <row r="34" spans="2:10" ht="14.25" x14ac:dyDescent="0.2">
      <c r="B34" s="43"/>
      <c r="C34" s="43"/>
      <c r="D34" s="44"/>
    </row>
    <row r="35" spans="2:10" ht="14.25" x14ac:dyDescent="0.2">
      <c r="B35" s="43"/>
      <c r="C35" s="43"/>
      <c r="D35" s="44"/>
    </row>
    <row r="36" spans="2:10" ht="14.25" x14ac:dyDescent="0.2">
      <c r="B36" s="43"/>
      <c r="C36" s="43"/>
      <c r="D36" s="43"/>
    </row>
    <row r="37" spans="2:10" ht="14.25" x14ac:dyDescent="0.2">
      <c r="B37" s="20"/>
      <c r="C37" s="21"/>
      <c r="D37" s="67">
        <f>+D22/D20</f>
        <v>0.35451632203080446</v>
      </c>
      <c r="G37" s="67">
        <f>+G22/G20</f>
        <v>0.34593345598183695</v>
      </c>
    </row>
    <row r="38" spans="2:10" ht="14.25" x14ac:dyDescent="0.2">
      <c r="B38" s="20"/>
      <c r="C38" s="21"/>
    </row>
    <row r="39" spans="2:10" ht="14.25" x14ac:dyDescent="0.2">
      <c r="B39" s="20"/>
      <c r="C39" s="21"/>
    </row>
    <row r="40" spans="2:10" s="47" customFormat="1" ht="15" customHeight="1" x14ac:dyDescent="0.25">
      <c r="B40" s="45"/>
      <c r="C40" s="46"/>
      <c r="D40" s="350"/>
      <c r="E40" s="350"/>
      <c r="F40" s="350"/>
      <c r="G40" s="350"/>
      <c r="H40" s="350"/>
      <c r="I40" s="350"/>
      <c r="J40" s="350"/>
    </row>
    <row r="41" spans="2:10" ht="15" customHeight="1" x14ac:dyDescent="0.25">
      <c r="B41" s="48" t="s">
        <v>29</v>
      </c>
      <c r="C41" s="49"/>
      <c r="D41" s="351" t="s">
        <v>79</v>
      </c>
      <c r="E41" s="351"/>
      <c r="F41" s="351"/>
      <c r="G41" s="351"/>
      <c r="H41" s="351" t="s">
        <v>82</v>
      </c>
      <c r="I41" s="351"/>
      <c r="J41" s="351"/>
    </row>
    <row r="42" spans="2:10" ht="9.75" customHeight="1" x14ac:dyDescent="0.2">
      <c r="B42" s="51"/>
      <c r="C42" s="52"/>
      <c r="H42" s="53" t="s">
        <v>33</v>
      </c>
      <c r="I42" s="53"/>
      <c r="J42" s="53"/>
    </row>
    <row r="44" spans="2:10" x14ac:dyDescent="0.25">
      <c r="B44" s="54" t="s">
        <v>34</v>
      </c>
      <c r="C44" s="55"/>
      <c r="D44" s="56">
        <f>+D20-D22</f>
        <v>9249292458.3400002</v>
      </c>
      <c r="E44" s="57"/>
      <c r="F44" s="57"/>
      <c r="G44" s="56">
        <f>+G20-G22</f>
        <v>2648879699.7146826</v>
      </c>
    </row>
    <row r="45" spans="2:10" x14ac:dyDescent="0.25">
      <c r="B45" s="54" t="s">
        <v>35</v>
      </c>
      <c r="C45" s="55"/>
      <c r="D45" s="56">
        <f>+D44*0.1</f>
        <v>924929245.83400011</v>
      </c>
      <c r="E45" s="57"/>
      <c r="F45" s="57"/>
      <c r="G45" s="56">
        <f>+G44*0.1</f>
        <v>264887969.97146827</v>
      </c>
    </row>
    <row r="46" spans="2:10" x14ac:dyDescent="0.25">
      <c r="B46" s="54" t="s">
        <v>36</v>
      </c>
      <c r="C46" s="55"/>
      <c r="D46" s="56" t="s">
        <v>37</v>
      </c>
      <c r="E46" s="57"/>
      <c r="F46" s="57"/>
      <c r="G46" s="56" t="s">
        <v>38</v>
      </c>
    </row>
  </sheetData>
  <mergeCells count="10">
    <mergeCell ref="D40:G40"/>
    <mergeCell ref="H40:J40"/>
    <mergeCell ref="D41:G41"/>
    <mergeCell ref="H41:J41"/>
    <mergeCell ref="B3:J3"/>
    <mergeCell ref="B4:J4"/>
    <mergeCell ref="B5:J5"/>
    <mergeCell ref="B6:J6"/>
    <mergeCell ref="B7:J7"/>
    <mergeCell ref="B33:D33"/>
  </mergeCells>
  <pageMargins left="0" right="0" top="0" bottom="0.74803149606299213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6</vt:i4>
      </vt:variant>
    </vt:vector>
  </HeadingPairs>
  <TitlesOfParts>
    <vt:vector size="15" baseType="lpstr">
      <vt:lpstr>ESF 2021-2020</vt:lpstr>
      <vt:lpstr>ER 2021-2020 </vt:lpstr>
      <vt:lpstr>EVA 2021-2022</vt:lpstr>
      <vt:lpstr>ER PRUEBA</vt:lpstr>
      <vt:lpstr>ESF PRUEBA</vt:lpstr>
      <vt:lpstr>CF 2021-2022</vt:lpstr>
      <vt:lpstr>KPI's</vt:lpstr>
      <vt:lpstr>ESF 2022-2021</vt:lpstr>
      <vt:lpstr>ER 2022-2021 </vt:lpstr>
      <vt:lpstr>'ER 2021-2020 '!Área_de_impresión</vt:lpstr>
      <vt:lpstr>'ER 2022-2021 '!Área_de_impresión</vt:lpstr>
      <vt:lpstr>'ER PRUEBA'!Área_de_impresión</vt:lpstr>
      <vt:lpstr>'ESF 2021-2020'!Área_de_impresión</vt:lpstr>
      <vt:lpstr>'ESF 2022-2021'!Área_de_impresión</vt:lpstr>
      <vt:lpstr>'ESF PRUEBA'!Área_de_impresión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Claritza Barriga Rojas</dc:creator>
  <cp:lastModifiedBy>NICOLÁS GONZÁLEZ</cp:lastModifiedBy>
  <dcterms:created xsi:type="dcterms:W3CDTF">2023-03-27T20:31:53Z</dcterms:created>
  <dcterms:modified xsi:type="dcterms:W3CDTF">2023-04-20T00:38:10Z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