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OJ\OneDrive\Desktop\NICO\MAF\Semestre 3\Finanzas Corporativas\"/>
    </mc:Choice>
  </mc:AlternateContent>
  <xr:revisionPtr revIDLastSave="0" documentId="13_ncr:1_{71889AD8-BC86-4F60-B059-28FDDDDD59DF}" xr6:coauthVersionLast="47" xr6:coauthVersionMax="47" xr10:uidLastSave="{00000000-0000-0000-0000-000000000000}"/>
  <bookViews>
    <workbookView xWindow="-108" yWindow="-108" windowWidth="23256" windowHeight="12456" xr2:uid="{FDAE46A8-23CA-46D1-B31E-E6445E759C01}"/>
  </bookViews>
  <sheets>
    <sheet name="PyG" sheetId="1" r:id="rId1"/>
    <sheet name="Deuda" sheetId="3" r:id="rId2"/>
    <sheet name="Hoja1" sheetId="7" r:id="rId3"/>
    <sheet name="Credito" sheetId="4" r:id="rId4"/>
    <sheet name="Bono" sheetId="5" r:id="rId5"/>
    <sheet name="Z Score" sheetId="6" r:id="rId6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1" l="1"/>
  <c r="K70" i="1" l="1"/>
  <c r="K69" i="1"/>
  <c r="K68" i="1"/>
  <c r="K67" i="1"/>
  <c r="K66" i="1"/>
  <c r="K65" i="1"/>
  <c r="K64" i="1"/>
  <c r="K52" i="1"/>
  <c r="K45" i="1"/>
  <c r="H13" i="4"/>
  <c r="K47" i="1"/>
  <c r="J46" i="1"/>
  <c r="I7" i="4"/>
  <c r="I3" i="4"/>
  <c r="C39" i="1"/>
  <c r="C37" i="1"/>
  <c r="C38" i="1"/>
  <c r="C32" i="1"/>
  <c r="C24" i="1" l="1"/>
  <c r="K21" i="1"/>
  <c r="E7" i="7"/>
  <c r="B14" i="7"/>
  <c r="B15" i="7"/>
  <c r="B16" i="7"/>
  <c r="B17" i="7"/>
  <c r="B18" i="7"/>
  <c r="B19" i="7"/>
  <c r="B20" i="7"/>
  <c r="B21" i="7"/>
  <c r="E8" i="7" s="1"/>
  <c r="C8" i="5"/>
  <c r="C8" i="4"/>
  <c r="E11" i="7" l="1"/>
  <c r="E10" i="7"/>
  <c r="C5" i="6"/>
  <c r="E5" i="6" s="1"/>
  <c r="C4" i="6"/>
  <c r="E4" i="6" s="1"/>
  <c r="C3" i="6"/>
  <c r="E6" i="6"/>
  <c r="E3" i="6"/>
  <c r="E2" i="6"/>
  <c r="C2" i="6"/>
  <c r="O47" i="1"/>
  <c r="O21" i="1" s="1"/>
  <c r="C9" i="5"/>
  <c r="E7" i="6" l="1"/>
  <c r="L47" i="1"/>
  <c r="L21" i="1" s="1"/>
  <c r="M47" i="1"/>
  <c r="M21" i="1" s="1"/>
  <c r="N47" i="1"/>
  <c r="N21" i="1" s="1"/>
  <c r="C5" i="5"/>
  <c r="C4" i="5"/>
  <c r="R8" i="4"/>
  <c r="I8" i="4"/>
  <c r="R11" i="4"/>
  <c r="R12" i="4"/>
  <c r="Q3" i="4"/>
  <c r="R3" i="4"/>
  <c r="R7" i="4"/>
  <c r="Q7" i="4"/>
  <c r="P7" i="4"/>
  <c r="P10" i="4"/>
  <c r="R15" i="4"/>
  <c r="P15" i="4"/>
  <c r="O15" i="4"/>
  <c r="N15" i="4"/>
  <c r="M15" i="4"/>
  <c r="L15" i="4"/>
  <c r="K15" i="4"/>
  <c r="J15" i="4"/>
  <c r="I15" i="4"/>
  <c r="J6" i="4"/>
  <c r="K6" i="4"/>
  <c r="L6" i="4" s="1"/>
  <c r="M6" i="4" s="1"/>
  <c r="N6" i="4" s="1"/>
  <c r="O6" i="4" s="1"/>
  <c r="P6" i="4" s="1"/>
  <c r="Q6" i="4" s="1"/>
  <c r="R6" i="4" s="1"/>
  <c r="I6" i="4"/>
  <c r="I2" i="4"/>
  <c r="I4" i="4" s="1"/>
  <c r="H9" i="4"/>
  <c r="H8" i="4" s="1"/>
  <c r="H2" i="4"/>
  <c r="H4" i="4" s="1"/>
  <c r="J43" i="1"/>
  <c r="J45" i="1" s="1"/>
  <c r="J27" i="1"/>
  <c r="K27" i="1" s="1"/>
  <c r="C2" i="3"/>
  <c r="G7" i="3" s="1"/>
  <c r="B7" i="3" a="1"/>
  <c r="B7" i="3" s="1"/>
  <c r="C4" i="3"/>
  <c r="L11" i="1"/>
  <c r="M11" i="1"/>
  <c r="N11" i="1"/>
  <c r="O11" i="1"/>
  <c r="L18" i="1"/>
  <c r="L39" i="1" s="1"/>
  <c r="M18" i="1"/>
  <c r="M39" i="1" s="1"/>
  <c r="N18" i="1"/>
  <c r="N39" i="1" s="1"/>
  <c r="O18" i="1"/>
  <c r="O39" i="1" s="1"/>
  <c r="K18" i="1"/>
  <c r="K11" i="1"/>
  <c r="J10" i="1"/>
  <c r="K10" i="1" s="1"/>
  <c r="K16" i="1" s="1"/>
  <c r="J9" i="1"/>
  <c r="K9" i="1" s="1"/>
  <c r="O6" i="1"/>
  <c r="N6" i="1"/>
  <c r="M6" i="1"/>
  <c r="L6" i="1"/>
  <c r="K6" i="1"/>
  <c r="C28" i="1"/>
  <c r="K28" i="1" l="1"/>
  <c r="K39" i="1"/>
  <c r="K29" i="1"/>
  <c r="L9" i="1"/>
  <c r="F8" i="3"/>
  <c r="D17" i="3"/>
  <c r="H15" i="4"/>
  <c r="H5" i="4"/>
  <c r="I10" i="4"/>
  <c r="I12" i="4" s="1"/>
  <c r="J2" i="4"/>
  <c r="J3" i="4" s="1"/>
  <c r="J7" i="4" s="1"/>
  <c r="I5" i="4"/>
  <c r="K32" i="1"/>
  <c r="L10" i="1"/>
  <c r="M10" i="1" s="1"/>
  <c r="N10" i="1" s="1"/>
  <c r="O10" i="1" s="1"/>
  <c r="L27" i="1"/>
  <c r="D12" i="3"/>
  <c r="D11" i="3"/>
  <c r="D22" i="3"/>
  <c r="D14" i="3"/>
  <c r="C8" i="3"/>
  <c r="L28" i="1"/>
  <c r="M28" i="1" s="1"/>
  <c r="D21" i="3"/>
  <c r="D20" i="3"/>
  <c r="D13" i="3"/>
  <c r="D8" i="3"/>
  <c r="E8" i="3" s="1"/>
  <c r="D10" i="3"/>
  <c r="D9" i="3"/>
  <c r="D18" i="3"/>
  <c r="D16" i="3"/>
  <c r="D15" i="3"/>
  <c r="D19" i="3"/>
  <c r="K15" i="1"/>
  <c r="K4" i="1"/>
  <c r="K17" i="1" l="1"/>
  <c r="K31" i="1"/>
  <c r="N28" i="1"/>
  <c r="O28" i="1" s="1"/>
  <c r="M9" i="1"/>
  <c r="L15" i="1"/>
  <c r="L31" i="1" s="1"/>
  <c r="L16" i="1"/>
  <c r="L32" i="1" s="1"/>
  <c r="M16" i="1"/>
  <c r="M32" i="1" s="1"/>
  <c r="G8" i="3"/>
  <c r="C9" i="3" s="1"/>
  <c r="J8" i="4"/>
  <c r="J10" i="4"/>
  <c r="J12" i="4" s="1"/>
  <c r="K2" i="4"/>
  <c r="K3" i="4" s="1"/>
  <c r="K7" i="4" s="1"/>
  <c r="J4" i="4"/>
  <c r="J5" i="4"/>
  <c r="K19" i="1"/>
  <c r="K20" i="1" s="1"/>
  <c r="M27" i="1"/>
  <c r="L29" i="1"/>
  <c r="N16" i="1"/>
  <c r="N32" i="1" s="1"/>
  <c r="O16" i="1"/>
  <c r="O32" i="1" s="1"/>
  <c r="K3" i="1"/>
  <c r="C33" i="1" l="1"/>
  <c r="C34" i="1" s="1"/>
  <c r="C35" i="1" s="1"/>
  <c r="C36" i="1" s="1"/>
  <c r="K57" i="1"/>
  <c r="K38" i="1"/>
  <c r="K40" i="1" s="1"/>
  <c r="L19" i="1"/>
  <c r="F9" i="3"/>
  <c r="E9" i="3" s="1"/>
  <c r="G9" i="3" s="1"/>
  <c r="C10" i="3" s="1"/>
  <c r="N9" i="1"/>
  <c r="M15" i="1"/>
  <c r="L17" i="1"/>
  <c r="L20" i="1" s="1"/>
  <c r="L64" i="1" s="1"/>
  <c r="L65" i="1" s="1"/>
  <c r="M17" i="1"/>
  <c r="K10" i="4"/>
  <c r="K12" i="4" s="1"/>
  <c r="K8" i="4"/>
  <c r="L2" i="4"/>
  <c r="L3" i="4" s="1"/>
  <c r="L7" i="4" s="1"/>
  <c r="K4" i="4"/>
  <c r="K5" i="4"/>
  <c r="K22" i="1"/>
  <c r="K23" i="1" s="1"/>
  <c r="K33" i="1" s="1"/>
  <c r="K34" i="1" s="1"/>
  <c r="K35" i="1" s="1"/>
  <c r="K41" i="1" s="1"/>
  <c r="N27" i="1"/>
  <c r="M29" i="1"/>
  <c r="L4" i="1"/>
  <c r="L3" i="1"/>
  <c r="M3" i="1" s="1"/>
  <c r="N3" i="1" s="1"/>
  <c r="O3" i="1" s="1"/>
  <c r="F10" i="3" l="1"/>
  <c r="K58" i="1"/>
  <c r="K59" i="1" s="1"/>
  <c r="M31" i="1"/>
  <c r="M19" i="1"/>
  <c r="M20" i="1" s="1"/>
  <c r="M64" i="1" s="1"/>
  <c r="M65" i="1" s="1"/>
  <c r="O9" i="1"/>
  <c r="O15" i="1" s="1"/>
  <c r="N15" i="1"/>
  <c r="L8" i="4"/>
  <c r="L10" i="4"/>
  <c r="L12" i="4" s="1"/>
  <c r="M2" i="4"/>
  <c r="M3" i="4" s="1"/>
  <c r="M7" i="4" s="1"/>
  <c r="L4" i="4"/>
  <c r="L5" i="4"/>
  <c r="E10" i="3"/>
  <c r="G10" i="3" s="1"/>
  <c r="C11" i="3" s="1"/>
  <c r="K24" i="1"/>
  <c r="O27" i="1"/>
  <c r="O29" i="1" s="1"/>
  <c r="N29" i="1"/>
  <c r="M4" i="1"/>
  <c r="L22" i="1"/>
  <c r="L23" i="1" s="1"/>
  <c r="L33" i="1" s="1"/>
  <c r="L38" i="1"/>
  <c r="L57" i="1"/>
  <c r="M38" i="1" l="1"/>
  <c r="M57" i="1"/>
  <c r="N31" i="1"/>
  <c r="N19" i="1"/>
  <c r="N17" i="1"/>
  <c r="N20" i="1" s="1"/>
  <c r="O31" i="1"/>
  <c r="O19" i="1"/>
  <c r="O17" i="1"/>
  <c r="M40" i="1"/>
  <c r="L40" i="1"/>
  <c r="M10" i="4"/>
  <c r="M12" i="4" s="1"/>
  <c r="M8" i="4"/>
  <c r="N2" i="4"/>
  <c r="N3" i="4" s="1"/>
  <c r="N7" i="4" s="1"/>
  <c r="M5" i="4"/>
  <c r="M4" i="4"/>
  <c r="F11" i="3"/>
  <c r="L34" i="1"/>
  <c r="L58" i="1"/>
  <c r="L59" i="1" s="1"/>
  <c r="N4" i="1"/>
  <c r="M22" i="1"/>
  <c r="M23" i="1" s="1"/>
  <c r="M33" i="1" s="1"/>
  <c r="L24" i="1"/>
  <c r="O20" i="1" l="1"/>
  <c r="O64" i="1"/>
  <c r="O65" i="1" s="1"/>
  <c r="O38" i="1"/>
  <c r="O40" i="1" s="1"/>
  <c r="O57" i="1"/>
  <c r="N64" i="1"/>
  <c r="N65" i="1" s="1"/>
  <c r="N57" i="1"/>
  <c r="N38" i="1"/>
  <c r="N40" i="1" s="1"/>
  <c r="L35" i="1"/>
  <c r="L41" i="1" s="1"/>
  <c r="L42" i="1" s="1"/>
  <c r="L45" i="1" s="1"/>
  <c r="L52" i="1" s="1"/>
  <c r="L66" i="1"/>
  <c r="L67" i="1" s="1"/>
  <c r="L68" i="1"/>
  <c r="N10" i="4"/>
  <c r="N12" i="4" s="1"/>
  <c r="N8" i="4"/>
  <c r="O2" i="4"/>
  <c r="O3" i="4" s="1"/>
  <c r="O7" i="4" s="1"/>
  <c r="N4" i="4"/>
  <c r="N5" i="4"/>
  <c r="E11" i="3"/>
  <c r="G11" i="3" s="1"/>
  <c r="F12" i="3" s="1"/>
  <c r="N22" i="1"/>
  <c r="N23" i="1" s="1"/>
  <c r="N33" i="1" s="1"/>
  <c r="M24" i="1"/>
  <c r="M58" i="1"/>
  <c r="M59" i="1" s="1"/>
  <c r="M34" i="1"/>
  <c r="O4" i="1"/>
  <c r="C12" i="3" l="1"/>
  <c r="M35" i="1"/>
  <c r="M41" i="1" s="1"/>
  <c r="M42" i="1" s="1"/>
  <c r="M66" i="1"/>
  <c r="M67" i="1" s="1"/>
  <c r="M68" i="1"/>
  <c r="L69" i="1"/>
  <c r="L70" i="1"/>
  <c r="O8" i="4"/>
  <c r="O10" i="4"/>
  <c r="O12" i="4" s="1"/>
  <c r="P2" i="4"/>
  <c r="P3" i="4" s="1"/>
  <c r="O4" i="4"/>
  <c r="O5" i="4"/>
  <c r="E12" i="3"/>
  <c r="G12" i="3" s="1"/>
  <c r="C13" i="3" s="1"/>
  <c r="O22" i="1"/>
  <c r="O23" i="1" s="1"/>
  <c r="N24" i="1"/>
  <c r="N58" i="1"/>
  <c r="N59" i="1" s="1"/>
  <c r="N34" i="1"/>
  <c r="O58" i="1" l="1"/>
  <c r="O59" i="1" s="1"/>
  <c r="O33" i="1"/>
  <c r="M45" i="1"/>
  <c r="M52" i="1" s="1"/>
  <c r="F13" i="3"/>
  <c r="E13" i="3" s="1"/>
  <c r="G13" i="3" s="1"/>
  <c r="M70" i="1"/>
  <c r="M69" i="1"/>
  <c r="N35" i="1"/>
  <c r="N41" i="1" s="1"/>
  <c r="N42" i="1" s="1"/>
  <c r="N45" i="1" s="1"/>
  <c r="N52" i="1" s="1"/>
  <c r="N66" i="1"/>
  <c r="N67" i="1" s="1"/>
  <c r="N68" i="1"/>
  <c r="P12" i="4"/>
  <c r="P8" i="4"/>
  <c r="Q2" i="4"/>
  <c r="P4" i="4"/>
  <c r="P5" i="4"/>
  <c r="O34" i="1"/>
  <c r="P44" i="1" s="1"/>
  <c r="O24" i="1"/>
  <c r="O35" i="1" l="1"/>
  <c r="O41" i="1" s="1"/>
  <c r="O42" i="1" s="1"/>
  <c r="O45" i="1" s="1"/>
  <c r="O52" i="1" s="1"/>
  <c r="J52" i="1" s="1"/>
  <c r="P45" i="1"/>
  <c r="O66" i="1"/>
  <c r="O67" i="1" s="1"/>
  <c r="O68" i="1"/>
  <c r="N69" i="1"/>
  <c r="N70" i="1"/>
  <c r="Q10" i="4"/>
  <c r="Q12" i="4" s="1"/>
  <c r="Q15" i="4" s="1"/>
  <c r="H16" i="4" s="1"/>
  <c r="H17" i="4" s="1"/>
  <c r="H18" i="4" s="1"/>
  <c r="Q8" i="4"/>
  <c r="R2" i="4"/>
  <c r="Q5" i="4"/>
  <c r="Q4" i="4"/>
  <c r="C14" i="3"/>
  <c r="F14" i="3"/>
  <c r="E14" i="3" s="1"/>
  <c r="O69" i="1" l="1"/>
  <c r="O70" i="1"/>
  <c r="R10" i="4"/>
  <c r="R5" i="4"/>
  <c r="R4" i="4"/>
  <c r="G14" i="3"/>
  <c r="C15" i="3" l="1"/>
  <c r="F15" i="3"/>
  <c r="E15" i="3" s="1"/>
  <c r="G15" i="3" l="1"/>
  <c r="F16" i="3" l="1"/>
  <c r="E16" i="3" s="1"/>
  <c r="C16" i="3"/>
  <c r="G16" i="3" l="1"/>
  <c r="C17" i="3"/>
  <c r="F17" i="3"/>
  <c r="E17" i="3" s="1"/>
  <c r="G17" i="3" l="1"/>
  <c r="C18" i="3" l="1"/>
  <c r="F18" i="3"/>
  <c r="E18" i="3" s="1"/>
  <c r="G18" i="3" l="1"/>
  <c r="F19" i="3" l="1"/>
  <c r="E19" i="3" s="1"/>
  <c r="C19" i="3"/>
  <c r="G19" i="3" l="1"/>
  <c r="C20" i="3"/>
  <c r="F20" i="3"/>
  <c r="E20" i="3" s="1"/>
  <c r="G20" i="3" l="1"/>
  <c r="F21" i="3" l="1"/>
  <c r="E21" i="3" s="1"/>
  <c r="C21" i="3"/>
  <c r="G21" i="3" l="1"/>
  <c r="F22" i="3" l="1"/>
  <c r="E22" i="3" s="1"/>
  <c r="C22" i="3"/>
  <c r="G2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NICOLÁS GONZÁLEZ</author>
  </authors>
  <commentList>
    <comment ref="D1" authorId="0" shapeId="0" xr:uid="{DF48DACC-401E-4299-906A-961EAB42DB9F}">
      <text>
        <r>
          <rPr>
            <b/>
            <sz val="9"/>
            <color indexed="81"/>
            <rFont val="Tahoma"/>
            <family val="2"/>
          </rPr>
          <t>NICOLÁS GONZÁLEZ:</t>
        </r>
        <r>
          <rPr>
            <sz val="9"/>
            <color indexed="81"/>
            <rFont val="Tahoma"/>
            <family val="2"/>
          </rPr>
          <t xml:space="preserve">
Estos coeficientes son estandar.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<sst xmlns="http://schemas.openxmlformats.org/spreadsheetml/2006/main" count="186" uniqueCount="169">
  <si>
    <t xml:space="preserve">Ejercicio Clase Flujo de Caja Libre </t>
  </si>
  <si>
    <t xml:space="preserve">Escenario Macroeconómico </t>
  </si>
  <si>
    <t>Profesor: Gustavo A. Sánchez Ribero</t>
  </si>
  <si>
    <t xml:space="preserve">Años </t>
  </si>
  <si>
    <t>Curso Finanzas Corporativas G5732 EAFIT Bogotá</t>
  </si>
  <si>
    <t>Consec</t>
  </si>
  <si>
    <t>Universidad EAFIT - Agosto de  2023</t>
  </si>
  <si>
    <t xml:space="preserve">Inflación </t>
  </si>
  <si>
    <t xml:space="preserve">Año Base </t>
  </si>
  <si>
    <t xml:space="preserve">Tasa de impuestos </t>
  </si>
  <si>
    <t>Unidades Kg</t>
  </si>
  <si>
    <t>Precio por Kg</t>
  </si>
  <si>
    <t>Costo por Kg</t>
  </si>
  <si>
    <t xml:space="preserve">Precio </t>
  </si>
  <si>
    <t xml:space="preserve">Gastos Op / Ingresos </t>
  </si>
  <si>
    <t>Costo</t>
  </si>
  <si>
    <t>Horizonte Inversión</t>
  </si>
  <si>
    <t>años</t>
  </si>
  <si>
    <t>Cantidades</t>
  </si>
  <si>
    <t>Proy Venta activo</t>
  </si>
  <si>
    <t>Sobre el valor de adquisición</t>
  </si>
  <si>
    <t xml:space="preserve">Disposición Final </t>
  </si>
  <si>
    <t>Tax</t>
  </si>
  <si>
    <t>Incluir las tasas proyectadas según Normatividad Tributaria vigente</t>
  </si>
  <si>
    <t>Inversión planta</t>
  </si>
  <si>
    <t>millones</t>
  </si>
  <si>
    <t xml:space="preserve">Vida últil </t>
  </si>
  <si>
    <t>Rotaciones (días)</t>
  </si>
  <si>
    <t>CXC</t>
  </si>
  <si>
    <t>CXP</t>
  </si>
  <si>
    <t>Crec Real Precio</t>
  </si>
  <si>
    <t>Crec Real Costo</t>
  </si>
  <si>
    <t xml:space="preserve">Ganancia Ocasional </t>
  </si>
  <si>
    <t xml:space="preserve">Propuesta Reforma Tributaria Nuevo Gobierno </t>
  </si>
  <si>
    <t xml:space="preserve">%D </t>
  </si>
  <si>
    <t>%E</t>
  </si>
  <si>
    <t>Kd</t>
  </si>
  <si>
    <t xml:space="preserve">FCL / SD Objetivo </t>
  </si>
  <si>
    <t>Ke</t>
  </si>
  <si>
    <t>WACC</t>
  </si>
  <si>
    <t>Estado de Resultados</t>
  </si>
  <si>
    <t>Ingresos</t>
  </si>
  <si>
    <t xml:space="preserve">Costos </t>
  </si>
  <si>
    <t>Gross Profit</t>
  </si>
  <si>
    <t>D&amp;A</t>
  </si>
  <si>
    <t>DD&amp;A</t>
  </si>
  <si>
    <t>Gastos Operacionales</t>
  </si>
  <si>
    <t>EBIT</t>
  </si>
  <si>
    <t>Gasto en Intereses</t>
  </si>
  <si>
    <t>EBT</t>
  </si>
  <si>
    <t>Imporenta</t>
  </si>
  <si>
    <t>Net Profit</t>
  </si>
  <si>
    <t>Principal</t>
  </si>
  <si>
    <t>Periodos</t>
  </si>
  <si>
    <t>Tasa</t>
  </si>
  <si>
    <t>Periodo</t>
  </si>
  <si>
    <t>Capital Inicial</t>
  </si>
  <si>
    <t>Pago</t>
  </si>
  <si>
    <t xml:space="preserve">Amortizacion </t>
  </si>
  <si>
    <t>Interes</t>
  </si>
  <si>
    <t>Saldo</t>
  </si>
  <si>
    <t>PPE</t>
  </si>
  <si>
    <t>Depreciacion Aumulada</t>
  </si>
  <si>
    <t>PPE Neto</t>
  </si>
  <si>
    <t>Impuestos por Pagar</t>
  </si>
  <si>
    <t>KTNO</t>
  </si>
  <si>
    <t>Delta KTNO</t>
  </si>
  <si>
    <t>Flujo de Caja Libre</t>
  </si>
  <si>
    <t>NOPAT</t>
  </si>
  <si>
    <t>FC Bruto</t>
  </si>
  <si>
    <t>FCLO</t>
  </si>
  <si>
    <t>Capex</t>
  </si>
  <si>
    <t>FCL</t>
  </si>
  <si>
    <t>Impuesto Operativo</t>
  </si>
  <si>
    <t>Impuesto Renta</t>
  </si>
  <si>
    <t>Tax Shield</t>
  </si>
  <si>
    <t>Valor de Salvamento</t>
  </si>
  <si>
    <t>Venta del Activo</t>
  </si>
  <si>
    <t>Valor en Libros</t>
  </si>
  <si>
    <t>Utilidad Ganancia Ocasional</t>
  </si>
  <si>
    <t>Impuesto Ganancia Ocasional</t>
  </si>
  <si>
    <t>Ingreso a Caja por Venta</t>
  </si>
  <si>
    <t>Disposicion Final</t>
  </si>
  <si>
    <t>Recuperacion KTNO</t>
  </si>
  <si>
    <t>Valor de Salvamento Neto</t>
  </si>
  <si>
    <t>Indicadores</t>
  </si>
  <si>
    <t>EBITDA</t>
  </si>
  <si>
    <t>Margen EBITDA</t>
  </si>
  <si>
    <t>Margen KTNO</t>
  </si>
  <si>
    <t>PC</t>
  </si>
  <si>
    <t>Capital Invertido</t>
  </si>
  <si>
    <t>ROIC</t>
  </si>
  <si>
    <t>EVA</t>
  </si>
  <si>
    <t>Monto</t>
  </si>
  <si>
    <t>Spread</t>
  </si>
  <si>
    <t>Pago Intereses</t>
  </si>
  <si>
    <t>Trimestral</t>
  </si>
  <si>
    <t>Pago de Capital</t>
  </si>
  <si>
    <t>Bullet</t>
  </si>
  <si>
    <t>Comisiones</t>
  </si>
  <si>
    <t>Fecha</t>
  </si>
  <si>
    <t>Fecha de Vencimiento</t>
  </si>
  <si>
    <t>Años</t>
  </si>
  <si>
    <t>Plazo</t>
  </si>
  <si>
    <t>Millones COP</t>
  </si>
  <si>
    <t>Tasa IBR 3M</t>
  </si>
  <si>
    <t>Desembolso</t>
  </si>
  <si>
    <t>Año</t>
  </si>
  <si>
    <t>Gasto de Intereses</t>
  </si>
  <si>
    <t>Días</t>
  </si>
  <si>
    <t>Trimestre</t>
  </si>
  <si>
    <t>Tasa PTV</t>
  </si>
  <si>
    <t>Tasa NATV</t>
  </si>
  <si>
    <t>Servicio de la Deuda</t>
  </si>
  <si>
    <t xml:space="preserve">Comisiones </t>
  </si>
  <si>
    <t>FC</t>
  </si>
  <si>
    <t>TIR PTV</t>
  </si>
  <si>
    <t>TIR NATV</t>
  </si>
  <si>
    <t>TIR EA</t>
  </si>
  <si>
    <t>IPC</t>
  </si>
  <si>
    <t>Tasa EA</t>
  </si>
  <si>
    <t>Tasa PSV</t>
  </si>
  <si>
    <t>Fecha de Emision</t>
  </si>
  <si>
    <t>Fecha Cupon</t>
  </si>
  <si>
    <t>No de Dias</t>
  </si>
  <si>
    <t>SD</t>
  </si>
  <si>
    <t>Pago tipó Bullet porque es un Bono</t>
  </si>
  <si>
    <t>Aportes de Equity</t>
  </si>
  <si>
    <t>FCL/SD</t>
  </si>
  <si>
    <t>X1</t>
  </si>
  <si>
    <t>X2</t>
  </si>
  <si>
    <t>X3</t>
  </si>
  <si>
    <t>X4</t>
  </si>
  <si>
    <t>X5</t>
  </si>
  <si>
    <t>Coeficientes</t>
  </si>
  <si>
    <t>KTNO/ACTIVO</t>
  </si>
  <si>
    <t>INDICADOR</t>
  </si>
  <si>
    <t>VARIABLE</t>
  </si>
  <si>
    <t>VALOR</t>
  </si>
  <si>
    <t>Z Score</t>
  </si>
  <si>
    <t>Ut.Ret/ACTIVO</t>
  </si>
  <si>
    <t>Utilidad OP/ACTIVO</t>
  </si>
  <si>
    <t>MV/PASIVO</t>
  </si>
  <si>
    <t>Ventas/ACTIVO</t>
  </si>
  <si>
    <t>Utilidad a Distribuir (Liquida)</t>
  </si>
  <si>
    <t>(-) Otras Reservas</t>
  </si>
  <si>
    <t>(-) Reserva Legal</t>
  </si>
  <si>
    <t>Utilidad Liquidada Desp de Imp</t>
  </si>
  <si>
    <t>(-) Provision de Imporenta</t>
  </si>
  <si>
    <t>UAI</t>
  </si>
  <si>
    <t>(-) Gasto de Intereses</t>
  </si>
  <si>
    <t>Utilidad Operativa - EBIT</t>
  </si>
  <si>
    <t>Liquidacion de Dividendos</t>
  </si>
  <si>
    <t xml:space="preserve">Total </t>
  </si>
  <si>
    <t>Utilidades Distribuidas</t>
  </si>
  <si>
    <t>No de Acciones Ordinarias</t>
  </si>
  <si>
    <t>Utilidades Retenidas</t>
  </si>
  <si>
    <t>Payout</t>
  </si>
  <si>
    <t>Equity Cash Flow</t>
  </si>
  <si>
    <t>Dividendo por Accion</t>
  </si>
  <si>
    <t>Otras Reservas Ocasionales</t>
  </si>
  <si>
    <t>No de Acciones en Circulacion</t>
  </si>
  <si>
    <t>Reserva Legal</t>
  </si>
  <si>
    <t>% Retencion (1-Payout)</t>
  </si>
  <si>
    <t>Impuestos</t>
  </si>
  <si>
    <t>Gastos Intereses</t>
  </si>
  <si>
    <t>Dividendos a Pagar</t>
  </si>
  <si>
    <t>Estados Financieros</t>
  </si>
  <si>
    <t>Politica de Dividendos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</si>
</sst>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\ #,##0;[Red]\-&quot;$&quot;\ #,##0"/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%"/>
    <numFmt numFmtId="165" formatCode="_-&quot;$&quot;\ * #,##0_-;\-&quot;$&quot;\ * #,##0_-;_-&quot;$&quot;\ * &quot;-&quot;??_-;_-@_-"/>
    <numFmt numFmtId="166" formatCode="_-* #,##0.0_-;\-* #,##0.0_-;_-* &quot;-&quot;??_-;_-@_-"/>
    <numFmt numFmtId="167" formatCode="0.000"/>
    <numFmt numFmtId="168" formatCode="#,##0_ ;[Red]\-#,##0\ "/>
    <numFmt numFmtId="169" formatCode="_-&quot;$&quot;\ * #,##0.0000_-;\-&quot;$&quot;\ * #,##0.0000_-;_-&quot;$&quot;\ 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 Nova Cond"/>
      <family val="2"/>
    </font>
    <font>
      <sz val="9"/>
      <color theme="1"/>
      <name val="Arial Nova Cond"/>
      <family val="2"/>
    </font>
    <font>
      <i/>
      <sz val="9"/>
      <color theme="1"/>
      <name val="Arial Nova Cond"/>
      <family val="2"/>
    </font>
    <font>
      <sz val="9"/>
      <color rgb="FFFF0000"/>
      <name val="Arial Nova Cond"/>
      <family val="2"/>
    </font>
    <font>
      <i/>
      <sz val="9"/>
      <color rgb="FFFF0000"/>
      <name val="Arial Nova Cond"/>
      <family val="2"/>
    </font>
    <font>
      <b/>
      <sz val="11"/>
      <color theme="1"/>
      <name val="Arial Nova Cond"/>
      <family val="2"/>
    </font>
    <font>
      <b/>
      <sz val="9"/>
      <color theme="1"/>
      <name val="Arial Nova Cond"/>
      <family val="2"/>
    </font>
    <font>
      <sz val="9"/>
      <color theme="1"/>
      <name val="Arial Nova Cond"/>
      <family val="2"/>
    </font>
    <font>
      <sz val="9"/>
      <color rgb="FFFF0000"/>
      <name val="Arial Nova Cond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41" fontId="3" fillId="0" borderId="0" xfId="1" applyFont="1"/>
    <xf numFmtId="42" fontId="3" fillId="0" borderId="0" xfId="2" applyFont="1"/>
    <xf numFmtId="42" fontId="3" fillId="0" borderId="0" xfId="0" applyNumberFormat="1" applyFont="1"/>
    <xf numFmtId="165" fontId="3" fillId="0" borderId="0" xfId="0" applyNumberFormat="1" applyFont="1"/>
    <xf numFmtId="9" fontId="3" fillId="0" borderId="0" xfId="2" applyNumberFormat="1" applyFont="1"/>
    <xf numFmtId="41" fontId="3" fillId="0" borderId="0" xfId="0" applyNumberFormat="1" applyFont="1"/>
    <xf numFmtId="42" fontId="3" fillId="0" borderId="1" xfId="0" applyNumberFormat="1" applyFont="1" applyBorder="1"/>
    <xf numFmtId="9" fontId="3" fillId="0" borderId="0" xfId="2" applyNumberFormat="1" applyFont="1" applyAlignment="1">
      <alignment horizontal="right"/>
    </xf>
    <xf numFmtId="0" fontId="4" fillId="0" borderId="0" xfId="0" applyFont="1"/>
    <xf numFmtId="9" fontId="3" fillId="0" borderId="0" xfId="0" applyNumberFormat="1" applyFont="1"/>
    <xf numFmtId="165" fontId="3" fillId="0" borderId="0" xfId="3" applyNumberFormat="1" applyFont="1"/>
    <xf numFmtId="165" fontId="2" fillId="0" borderId="0" xfId="0" applyNumberFormat="1" applyFont="1"/>
    <xf numFmtId="0" fontId="3" fillId="0" borderId="0" xfId="0" applyFont="1" applyAlignment="1">
      <alignment horizontal="left" indent="2"/>
    </xf>
    <xf numFmtId="164" fontId="3" fillId="0" borderId="0" xfId="2" applyNumberFormat="1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9" fontId="5" fillId="0" borderId="0" xfId="2" applyNumberFormat="1" applyFont="1"/>
    <xf numFmtId="9" fontId="5" fillId="0" borderId="0" xfId="0" applyNumberFormat="1" applyFont="1"/>
    <xf numFmtId="0" fontId="7" fillId="0" borderId="0" xfId="0" applyFont="1"/>
    <xf numFmtId="10" fontId="5" fillId="0" borderId="0" xfId="0" applyNumberFormat="1" applyFont="1" applyAlignment="1">
      <alignment horizontal="center"/>
    </xf>
    <xf numFmtId="9" fontId="5" fillId="0" borderId="1" xfId="0" applyNumberFormat="1" applyFont="1" applyBorder="1" applyAlignment="1">
      <alignment horizontal="center"/>
    </xf>
    <xf numFmtId="42" fontId="2" fillId="0" borderId="0" xfId="0" applyNumberFormat="1" applyFont="1"/>
    <xf numFmtId="164" fontId="2" fillId="0" borderId="0" xfId="0" applyNumberFormat="1" applyFont="1"/>
    <xf numFmtId="166" fontId="2" fillId="0" borderId="0" xfId="5" applyNumberFormat="1" applyFont="1"/>
    <xf numFmtId="41" fontId="3" fillId="0" borderId="1" xfId="1" applyFont="1" applyBorder="1"/>
    <xf numFmtId="44" fontId="2" fillId="0" borderId="0" xfId="3" applyFont="1"/>
    <xf numFmtId="6" fontId="3" fillId="0" borderId="0" xfId="0" applyNumberFormat="1" applyFont="1"/>
    <xf numFmtId="10" fontId="3" fillId="0" borderId="1" xfId="4" applyNumberFormat="1" applyFont="1" applyBorder="1"/>
    <xf numFmtId="164" fontId="3" fillId="0" borderId="0" xfId="4" applyNumberFormat="1" applyFont="1" applyFill="1" applyAlignment="1">
      <alignment horizontal="center"/>
    </xf>
    <xf numFmtId="165" fontId="3" fillId="0" borderId="0" xfId="3" applyNumberFormat="1" applyFont="1" applyFill="1" applyAlignment="1">
      <alignment horizontal="center"/>
    </xf>
    <xf numFmtId="42" fontId="3" fillId="0" borderId="0" xfId="2" applyFont="1" applyFill="1" applyAlignment="1">
      <alignment horizontal="center"/>
    </xf>
    <xf numFmtId="165" fontId="3" fillId="0" borderId="0" xfId="3" applyNumberFormat="1" applyFont="1" applyFill="1"/>
    <xf numFmtId="166" fontId="3" fillId="0" borderId="0" xfId="5" applyNumberFormat="1" applyFont="1" applyFill="1"/>
    <xf numFmtId="166" fontId="2" fillId="0" borderId="0" xfId="5" applyNumberFormat="1" applyFont="1" applyFill="1"/>
    <xf numFmtId="166" fontId="2" fillId="0" borderId="0" xfId="0" applyNumberFormat="1" applyFont="1"/>
    <xf numFmtId="9" fontId="3" fillId="0" borderId="0" xfId="4" applyFont="1" applyFill="1" applyAlignment="1">
      <alignment horizontal="center"/>
    </xf>
    <xf numFmtId="0" fontId="8" fillId="0" borderId="0" xfId="0" applyFont="1"/>
    <xf numFmtId="0" fontId="9" fillId="0" borderId="0" xfId="0" applyFont="1"/>
    <xf numFmtId="165" fontId="8" fillId="0" borderId="0" xfId="3" applyNumberFormat="1" applyFont="1"/>
    <xf numFmtId="165" fontId="9" fillId="0" borderId="0" xfId="3" applyNumberFormat="1" applyFont="1"/>
    <xf numFmtId="165" fontId="2" fillId="0" borderId="0" xfId="3" applyNumberFormat="1" applyFont="1"/>
    <xf numFmtId="42" fontId="0" fillId="0" borderId="0" xfId="0" applyNumberFormat="1"/>
    <xf numFmtId="42" fontId="8" fillId="0" borderId="0" xfId="0" applyNumberFormat="1" applyFont="1"/>
    <xf numFmtId="42" fontId="9" fillId="0" borderId="0" xfId="0" applyNumberFormat="1" applyFont="1"/>
    <xf numFmtId="165" fontId="10" fillId="0" borderId="0" xfId="3" applyNumberFormat="1" applyFont="1"/>
    <xf numFmtId="165" fontId="8" fillId="0" borderId="0" xfId="0" applyNumberFormat="1" applyFont="1"/>
    <xf numFmtId="165" fontId="9" fillId="0" borderId="0" xfId="0" applyNumberFormat="1" applyFont="1"/>
    <xf numFmtId="10" fontId="3" fillId="0" borderId="0" xfId="4" applyNumberFormat="1" applyFont="1" applyFill="1"/>
    <xf numFmtId="2" fontId="3" fillId="0" borderId="0" xfId="4" applyNumberFormat="1" applyFont="1" applyFill="1"/>
    <xf numFmtId="10" fontId="3" fillId="0" borderId="0" xfId="0" applyNumberFormat="1" applyFont="1"/>
    <xf numFmtId="1" fontId="9" fillId="0" borderId="0" xfId="3" applyNumberFormat="1" applyFont="1" applyAlignment="1">
      <alignment horizontal="center"/>
    </xf>
    <xf numFmtId="14" fontId="0" fillId="0" borderId="0" xfId="0" applyNumberFormat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9" fontId="0" fillId="0" borderId="5" xfId="0" applyNumberFormat="1" applyBorder="1"/>
    <xf numFmtId="0" fontId="0" fillId="0" borderId="6" xfId="0" applyBorder="1"/>
    <xf numFmtId="10" fontId="0" fillId="0" borderId="5" xfId="0" applyNumberFormat="1" applyBorder="1"/>
    <xf numFmtId="1" fontId="0" fillId="0" borderId="0" xfId="0" applyNumberFormat="1"/>
    <xf numFmtId="9" fontId="0" fillId="0" borderId="7" xfId="0" applyNumberFormat="1" applyBorder="1"/>
    <xf numFmtId="164" fontId="0" fillId="0" borderId="0" xfId="4" applyNumberFormat="1" applyFont="1"/>
    <xf numFmtId="164" fontId="0" fillId="0" borderId="0" xfId="0" applyNumberFormat="1"/>
    <xf numFmtId="10" fontId="0" fillId="0" borderId="0" xfId="4" applyNumberFormat="1" applyFont="1"/>
    <xf numFmtId="10" fontId="0" fillId="0" borderId="0" xfId="0" applyNumberFormat="1"/>
    <xf numFmtId="43" fontId="3" fillId="0" borderId="0" xfId="5" applyFont="1" applyFill="1" applyAlignment="1">
      <alignment horizontal="center"/>
    </xf>
    <xf numFmtId="43" fontId="2" fillId="0" borderId="0" xfId="5" applyFont="1"/>
    <xf numFmtId="2" fontId="0" fillId="0" borderId="0" xfId="0" applyNumberFormat="1"/>
    <xf numFmtId="167" fontId="0" fillId="0" borderId="0" xfId="0" applyNumberFormat="1"/>
    <xf numFmtId="0" fontId="11" fillId="0" borderId="0" xfId="0" applyFont="1" applyAlignment="1">
      <alignment horizontal="center"/>
    </xf>
    <xf numFmtId="165" fontId="0" fillId="0" borderId="0" xfId="0" applyNumberFormat="1"/>
    <xf numFmtId="0" fontId="11" fillId="0" borderId="0" xfId="0" applyFont="1"/>
    <xf numFmtId="168" fontId="0" fillId="0" borderId="0" xfId="0" applyNumberFormat="1"/>
    <xf numFmtId="165" fontId="0" fillId="0" borderId="0" xfId="3" applyNumberFormat="1" applyFont="1"/>
    <xf numFmtId="169" fontId="0" fillId="0" borderId="0" xfId="0" applyNumberFormat="1"/>
    <xf numFmtId="9" fontId="0" fillId="0" borderId="0" xfId="0" applyNumberFormat="1"/>
  </cellXfs>
  <cellStyles count="6">
    <cellStyle name="Millares" xfId="5" builtinId="3"/>
    <cellStyle name="Millares [0]" xfId="1" builtinId="6"/>
    <cellStyle name="Moneda" xfId="3" builtinId="4"/>
    <cellStyle name="Moneda [0]" xfId="2" builtinId="7"/>
    <cellStyle name="Normal" xfId="0" builtinId="0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5530-DD9B-424E-B8BD-BD2584E88ECF}">
  <dimension ref="B2:Y96"/>
  <sheetViews>
    <sheetView showGridLines="0" tabSelected="1" topLeftCell="G20" zoomScaleNormal="100" workbookViewId="0">
      <selection activeCell="K42" sqref="K42"/>
    </sheetView>
  </sheetViews>
  <sheetFormatPr baseColWidth="10" defaultColWidth="11.44140625" defaultRowHeight="11.4" x14ac:dyDescent="0.2"/>
  <cols>
    <col min="1" max="1" width="11.44140625" style="2"/>
    <col min="2" max="2" width="25" style="2" customWidth="1"/>
    <col min="3" max="3" width="16.109375" style="2" customWidth="1"/>
    <col min="4" max="8" width="11.44140625" style="2"/>
    <col min="9" max="9" width="26.33203125" style="2" bestFit="1" customWidth="1"/>
    <col min="10" max="10" width="16.33203125" style="2" customWidth="1"/>
    <col min="11" max="13" width="20.33203125" style="2" bestFit="1" customWidth="1"/>
    <col min="14" max="15" width="21.5546875" style="2" bestFit="1" customWidth="1"/>
    <col min="16" max="16" width="26.21875" style="2" bestFit="1" customWidth="1"/>
    <col min="17" max="25" width="14.6640625" style="2" bestFit="1" customWidth="1"/>
    <col min="26" max="16384" width="11.44140625" style="2"/>
  </cols>
  <sheetData>
    <row r="2" spans="2:16" ht="13.8" x14ac:dyDescent="0.25">
      <c r="B2" s="26" t="s">
        <v>0</v>
      </c>
      <c r="I2" s="1" t="s">
        <v>1</v>
      </c>
    </row>
    <row r="3" spans="2:16" x14ac:dyDescent="0.2">
      <c r="B3" s="1" t="s">
        <v>2</v>
      </c>
      <c r="I3" s="1" t="s">
        <v>3</v>
      </c>
      <c r="J3" s="3">
        <v>2023</v>
      </c>
      <c r="K3" s="3">
        <f>J3+1</f>
        <v>2024</v>
      </c>
      <c r="L3" s="3">
        <f t="shared" ref="L3:O4" si="0">K3+1</f>
        <v>2025</v>
      </c>
      <c r="M3" s="3">
        <f t="shared" si="0"/>
        <v>2026</v>
      </c>
      <c r="N3" s="3">
        <f t="shared" si="0"/>
        <v>2027</v>
      </c>
      <c r="O3" s="3">
        <f t="shared" si="0"/>
        <v>2028</v>
      </c>
    </row>
    <row r="4" spans="2:16" x14ac:dyDescent="0.2">
      <c r="B4" s="1" t="s">
        <v>4</v>
      </c>
      <c r="I4" s="2" t="s">
        <v>5</v>
      </c>
      <c r="J4" s="4">
        <v>0</v>
      </c>
      <c r="K4" s="4">
        <f>J4+1</f>
        <v>1</v>
      </c>
      <c r="L4" s="4">
        <f t="shared" si="0"/>
        <v>2</v>
      </c>
      <c r="M4" s="4">
        <f t="shared" si="0"/>
        <v>3</v>
      </c>
      <c r="N4" s="4">
        <f t="shared" si="0"/>
        <v>4</v>
      </c>
      <c r="O4" s="4">
        <f t="shared" si="0"/>
        <v>5</v>
      </c>
    </row>
    <row r="5" spans="2:16" x14ac:dyDescent="0.2">
      <c r="B5" s="5" t="s">
        <v>6</v>
      </c>
      <c r="C5" s="6"/>
      <c r="D5" s="6"/>
      <c r="E5" s="6"/>
      <c r="F5" s="6"/>
      <c r="I5" s="2" t="s">
        <v>7</v>
      </c>
      <c r="J5" s="27">
        <v>9.4E-2</v>
      </c>
      <c r="K5" s="27">
        <v>7.0000000000000007E-2</v>
      </c>
      <c r="L5" s="27">
        <v>0.05</v>
      </c>
      <c r="M5" s="27">
        <v>0.04</v>
      </c>
      <c r="N5" s="27">
        <v>0.04</v>
      </c>
      <c r="O5" s="27">
        <v>0.04</v>
      </c>
    </row>
    <row r="6" spans="2:16" x14ac:dyDescent="0.2">
      <c r="B6" s="2" t="s">
        <v>8</v>
      </c>
      <c r="C6" s="2">
        <v>2022</v>
      </c>
      <c r="I6" s="2" t="s">
        <v>9</v>
      </c>
      <c r="J6" s="28"/>
      <c r="K6" s="28">
        <f t="shared" ref="K6:O6" si="1">$C$14</f>
        <v>0.35</v>
      </c>
      <c r="L6" s="28">
        <f t="shared" si="1"/>
        <v>0.35</v>
      </c>
      <c r="M6" s="28">
        <f t="shared" si="1"/>
        <v>0.35</v>
      </c>
      <c r="N6" s="28">
        <f t="shared" si="1"/>
        <v>0.35</v>
      </c>
      <c r="O6" s="28">
        <f t="shared" si="1"/>
        <v>0.35</v>
      </c>
    </row>
    <row r="7" spans="2:16" x14ac:dyDescent="0.2">
      <c r="B7" s="2" t="s">
        <v>10</v>
      </c>
      <c r="C7" s="7">
        <v>20000</v>
      </c>
    </row>
    <row r="8" spans="2:16" x14ac:dyDescent="0.2">
      <c r="B8" s="2" t="s">
        <v>11</v>
      </c>
      <c r="C8" s="8">
        <v>1500000</v>
      </c>
      <c r="I8" s="1"/>
    </row>
    <row r="9" spans="2:16" x14ac:dyDescent="0.2">
      <c r="B9" s="2" t="s">
        <v>12</v>
      </c>
      <c r="C9" s="8">
        <v>1150000</v>
      </c>
      <c r="I9" s="2" t="s">
        <v>13</v>
      </c>
      <c r="J9" s="9">
        <f>$C$8</f>
        <v>1500000</v>
      </c>
      <c r="K9" s="10">
        <f>J9*(1+J$5)*(1+$C$20)</f>
        <v>1690230.0000000002</v>
      </c>
      <c r="L9" s="10">
        <f t="shared" ref="L9:O9" si="2">K9*(1+K$5)*(1+$C$20)</f>
        <v>1862802.4830000005</v>
      </c>
      <c r="M9" s="10">
        <f t="shared" si="2"/>
        <v>2014620.8853645006</v>
      </c>
      <c r="N9" s="10">
        <f t="shared" si="2"/>
        <v>2158061.8924024533</v>
      </c>
      <c r="O9" s="10">
        <f t="shared" si="2"/>
        <v>2311715.8991415082</v>
      </c>
    </row>
    <row r="10" spans="2:16" x14ac:dyDescent="0.2">
      <c r="B10" s="2" t="s">
        <v>14</v>
      </c>
      <c r="C10" s="11">
        <v>0.15</v>
      </c>
      <c r="I10" s="2" t="s">
        <v>15</v>
      </c>
      <c r="J10" s="12">
        <f>$C$9</f>
        <v>1150000</v>
      </c>
      <c r="K10" s="10">
        <f>J10*(1+J$5)*(1+$C$21)</f>
        <v>1276971.4999999998</v>
      </c>
      <c r="L10" s="10">
        <f t="shared" ref="L10:O10" si="3">K10*(1+K$5)*(1+$C$21)</f>
        <v>1386854.8975749998</v>
      </c>
      <c r="M10" s="10">
        <f t="shared" si="3"/>
        <v>1478040.6070905561</v>
      </c>
      <c r="N10" s="10">
        <f t="shared" si="3"/>
        <v>1560219.6648447909</v>
      </c>
      <c r="O10" s="10">
        <f t="shared" si="3"/>
        <v>1646967.8782101613</v>
      </c>
    </row>
    <row r="11" spans="2:16" x14ac:dyDescent="0.2">
      <c r="B11" s="2" t="s">
        <v>16</v>
      </c>
      <c r="C11" s="2">
        <v>5</v>
      </c>
      <c r="D11" s="2" t="s">
        <v>17</v>
      </c>
      <c r="I11" s="2" t="s">
        <v>18</v>
      </c>
      <c r="J11" s="13"/>
      <c r="K11" s="32">
        <f>$C$7</f>
        <v>20000</v>
      </c>
      <c r="L11" s="32">
        <f t="shared" ref="L11:O11" si="4">$C$7</f>
        <v>20000</v>
      </c>
      <c r="M11" s="32">
        <f t="shared" si="4"/>
        <v>20000</v>
      </c>
      <c r="N11" s="32">
        <f t="shared" si="4"/>
        <v>20000</v>
      </c>
      <c r="O11" s="32">
        <f t="shared" si="4"/>
        <v>20000</v>
      </c>
    </row>
    <row r="12" spans="2:16" x14ac:dyDescent="0.2">
      <c r="B12" s="2" t="s">
        <v>19</v>
      </c>
      <c r="C12" s="14">
        <v>0.4</v>
      </c>
      <c r="D12" s="15" t="s">
        <v>20</v>
      </c>
    </row>
    <row r="13" spans="2:16" x14ac:dyDescent="0.2">
      <c r="B13" s="2" t="s">
        <v>21</v>
      </c>
      <c r="C13" s="16">
        <v>0.15</v>
      </c>
      <c r="D13" s="15" t="s">
        <v>20</v>
      </c>
      <c r="K13" s="17"/>
      <c r="L13" s="17"/>
      <c r="M13" s="17"/>
      <c r="N13" s="17"/>
      <c r="O13" s="17"/>
    </row>
    <row r="14" spans="2:16" x14ac:dyDescent="0.2">
      <c r="B14" s="2" t="s">
        <v>22</v>
      </c>
      <c r="C14" s="24">
        <v>0.35</v>
      </c>
      <c r="D14" s="23" t="s">
        <v>23</v>
      </c>
      <c r="I14" s="44" t="s">
        <v>40</v>
      </c>
      <c r="J14" s="46"/>
      <c r="K14" s="46"/>
      <c r="L14" s="46"/>
      <c r="M14" s="46"/>
      <c r="N14" s="46"/>
      <c r="O14" s="46"/>
    </row>
    <row r="15" spans="2:16" x14ac:dyDescent="0.2">
      <c r="B15" s="2" t="s">
        <v>24</v>
      </c>
      <c r="C15" s="8">
        <v>25000</v>
      </c>
      <c r="D15" s="15" t="s">
        <v>25</v>
      </c>
      <c r="I15" s="2" t="s">
        <v>41</v>
      </c>
      <c r="J15" s="17"/>
      <c r="K15" s="17">
        <f>K9*K11</f>
        <v>33804600000.000004</v>
      </c>
      <c r="L15" s="17">
        <f t="shared" ref="L15:O15" si="5">L9*L11</f>
        <v>37256049660.000008</v>
      </c>
      <c r="M15" s="17">
        <f t="shared" si="5"/>
        <v>40292417707.290009</v>
      </c>
      <c r="N15" s="17">
        <f t="shared" si="5"/>
        <v>43161237848.049065</v>
      </c>
      <c r="O15" s="17">
        <f t="shared" si="5"/>
        <v>46234317982.830162</v>
      </c>
    </row>
    <row r="16" spans="2:16" x14ac:dyDescent="0.2">
      <c r="B16" s="2" t="s">
        <v>26</v>
      </c>
      <c r="C16" s="2">
        <v>15</v>
      </c>
      <c r="D16" s="2" t="s">
        <v>17</v>
      </c>
      <c r="I16" s="45" t="s">
        <v>42</v>
      </c>
      <c r="J16" s="47"/>
      <c r="K16" s="47">
        <f>K10*K11</f>
        <v>25539429999.999996</v>
      </c>
      <c r="L16" s="47">
        <f t="shared" ref="L16:O16" si="6">L10*L11</f>
        <v>27737097951.499996</v>
      </c>
      <c r="M16" s="47">
        <f t="shared" si="6"/>
        <v>29560812141.811123</v>
      </c>
      <c r="N16" s="47">
        <f t="shared" si="6"/>
        <v>31204393296.895821</v>
      </c>
      <c r="O16" s="47">
        <f t="shared" si="6"/>
        <v>32939357564.203228</v>
      </c>
      <c r="P16" s="18"/>
    </row>
    <row r="17" spans="2:25" x14ac:dyDescent="0.2">
      <c r="B17" s="2" t="s">
        <v>27</v>
      </c>
      <c r="C17" s="8"/>
      <c r="I17" s="44" t="s">
        <v>43</v>
      </c>
      <c r="J17" s="46"/>
      <c r="K17" s="46">
        <f>K15-K16</f>
        <v>8265170000.0000076</v>
      </c>
      <c r="L17" s="46">
        <f t="shared" ref="L17:O17" si="7">L15-L16</f>
        <v>9518951708.5000114</v>
      </c>
      <c r="M17" s="46">
        <f t="shared" si="7"/>
        <v>10731605565.478886</v>
      </c>
      <c r="N17" s="46">
        <f t="shared" si="7"/>
        <v>11956844551.153244</v>
      </c>
      <c r="O17" s="46">
        <f t="shared" si="7"/>
        <v>13294960418.626934</v>
      </c>
      <c r="P17" s="9"/>
      <c r="Q17" s="22"/>
    </row>
    <row r="18" spans="2:25" x14ac:dyDescent="0.2">
      <c r="B18" s="19" t="s">
        <v>28</v>
      </c>
      <c r="C18" s="7">
        <v>90</v>
      </c>
      <c r="I18" s="2" t="s">
        <v>45</v>
      </c>
      <c r="J18" s="17"/>
      <c r="K18" s="17">
        <f>$C$15*1000000/$C$16</f>
        <v>1666666666.6666667</v>
      </c>
      <c r="L18" s="17">
        <f t="shared" ref="L18:Y18" si="8">$C$15*1000000/$C$16</f>
        <v>1666666666.6666667</v>
      </c>
      <c r="M18" s="17">
        <f t="shared" si="8"/>
        <v>1666666666.6666667</v>
      </c>
      <c r="N18" s="17">
        <f t="shared" si="8"/>
        <v>1666666666.6666667</v>
      </c>
      <c r="O18" s="17">
        <f t="shared" si="8"/>
        <v>1666666666.6666667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2:25" x14ac:dyDescent="0.2">
      <c r="B19" s="19" t="s">
        <v>29</v>
      </c>
      <c r="C19" s="7">
        <v>45</v>
      </c>
      <c r="I19" s="45" t="s">
        <v>46</v>
      </c>
      <c r="J19" s="47"/>
      <c r="K19" s="47">
        <f>$C$10*K15</f>
        <v>5070690000</v>
      </c>
      <c r="L19" s="47">
        <f t="shared" ref="L19:O19" si="9">$C$10*L15</f>
        <v>5588407449.000001</v>
      </c>
      <c r="M19" s="47">
        <f t="shared" si="9"/>
        <v>6043862656.0935011</v>
      </c>
      <c r="N19" s="47">
        <f t="shared" si="9"/>
        <v>6474185677.2073593</v>
      </c>
      <c r="O19" s="47">
        <f t="shared" si="9"/>
        <v>6935147697.4245243</v>
      </c>
      <c r="P19" s="18"/>
    </row>
    <row r="20" spans="2:25" x14ac:dyDescent="0.2">
      <c r="B20" s="2" t="s">
        <v>30</v>
      </c>
      <c r="C20" s="20">
        <v>0.03</v>
      </c>
      <c r="I20" s="44" t="s">
        <v>47</v>
      </c>
      <c r="J20" s="46"/>
      <c r="K20" s="46">
        <f>K17-K18-K19</f>
        <v>1527813333.3333406</v>
      </c>
      <c r="L20" s="46">
        <f t="shared" ref="L20:O20" si="10">L17-L18-L19</f>
        <v>2263877592.8333435</v>
      </c>
      <c r="M20" s="46">
        <f t="shared" si="10"/>
        <v>3021076242.7187185</v>
      </c>
      <c r="N20" s="46">
        <f t="shared" si="10"/>
        <v>3815992207.2792187</v>
      </c>
      <c r="O20" s="46">
        <f t="shared" si="10"/>
        <v>4693146054.5357437</v>
      </c>
      <c r="P20" s="10"/>
      <c r="Q20" s="22"/>
    </row>
    <row r="21" spans="2:25" x14ac:dyDescent="0.2">
      <c r="B21" s="2" t="s">
        <v>31</v>
      </c>
      <c r="C21" s="21">
        <v>1.4999999999999999E-2</v>
      </c>
      <c r="I21" s="45" t="s">
        <v>48</v>
      </c>
      <c r="J21" s="47"/>
      <c r="K21" s="52">
        <f>K47</f>
        <v>1809040786.7549419</v>
      </c>
      <c r="L21" s="52">
        <f t="shared" ref="L21:N21" si="11">L47</f>
        <v>1809040786.7549419</v>
      </c>
      <c r="M21" s="52">
        <f t="shared" si="11"/>
        <v>1809040786.7549419</v>
      </c>
      <c r="N21" s="52">
        <f t="shared" si="11"/>
        <v>1809040786.7549419</v>
      </c>
      <c r="O21" s="52">
        <f>O47-J46</f>
        <v>1809040786.754941</v>
      </c>
    </row>
    <row r="22" spans="2:25" x14ac:dyDescent="0.2">
      <c r="B22" s="2" t="s">
        <v>32</v>
      </c>
      <c r="C22" s="25">
        <v>0.2</v>
      </c>
      <c r="D22" s="22" t="s">
        <v>33</v>
      </c>
      <c r="I22" s="44" t="s">
        <v>49</v>
      </c>
      <c r="J22" s="46"/>
      <c r="K22" s="46">
        <f>K20-K21</f>
        <v>-281227453.4216013</v>
      </c>
      <c r="L22" s="46">
        <f t="shared" ref="L22:O22" si="12">L20-L21</f>
        <v>454836806.07840157</v>
      </c>
      <c r="M22" s="46">
        <f t="shared" si="12"/>
        <v>1212035455.9637766</v>
      </c>
      <c r="N22" s="46">
        <f t="shared" si="12"/>
        <v>2006951420.5242767</v>
      </c>
      <c r="O22" s="46">
        <f t="shared" si="12"/>
        <v>2884105267.7808027</v>
      </c>
      <c r="P22" s="18"/>
    </row>
    <row r="23" spans="2:25" x14ac:dyDescent="0.2">
      <c r="B23" s="2" t="s">
        <v>34</v>
      </c>
      <c r="C23" s="16">
        <v>0.30150679779249034</v>
      </c>
      <c r="I23" s="45" t="s">
        <v>50</v>
      </c>
      <c r="J23" s="47"/>
      <c r="K23" s="47">
        <f>IF(K22&lt;0,0,K22*K6)</f>
        <v>0</v>
      </c>
      <c r="L23" s="47">
        <f t="shared" ref="L23:O23" si="13">IF(L22&lt;0,0,L22*L6)</f>
        <v>159192882.12744054</v>
      </c>
      <c r="M23" s="47">
        <f t="shared" si="13"/>
        <v>424212409.58732176</v>
      </c>
      <c r="N23" s="47">
        <f t="shared" si="13"/>
        <v>702432997.18349683</v>
      </c>
      <c r="O23" s="47">
        <f t="shared" si="13"/>
        <v>1009436843.7232809</v>
      </c>
      <c r="P23" s="17"/>
      <c r="Q23" s="22"/>
    </row>
    <row r="24" spans="2:25" x14ac:dyDescent="0.2">
      <c r="B24" s="2" t="s">
        <v>35</v>
      </c>
      <c r="C24" s="16">
        <f>1-C23</f>
        <v>0.69849320220750966</v>
      </c>
      <c r="I24" s="1" t="s">
        <v>51</v>
      </c>
      <c r="J24" s="48"/>
      <c r="K24" s="48">
        <f>K22-K23</f>
        <v>-281227453.4216013</v>
      </c>
      <c r="L24" s="48">
        <f t="shared" ref="L24:O24" si="14">L22-L23</f>
        <v>295643923.95096099</v>
      </c>
      <c r="M24" s="48">
        <f t="shared" si="14"/>
        <v>787823046.37645483</v>
      </c>
      <c r="N24" s="48">
        <f t="shared" si="14"/>
        <v>1304518423.3407798</v>
      </c>
      <c r="O24" s="48">
        <f t="shared" si="14"/>
        <v>1874668424.0575218</v>
      </c>
      <c r="P24" s="18"/>
    </row>
    <row r="25" spans="2:25" x14ac:dyDescent="0.2">
      <c r="B25" s="2" t="s">
        <v>36</v>
      </c>
      <c r="C25" s="16">
        <v>0.24</v>
      </c>
      <c r="D25" s="15"/>
      <c r="E25" s="9"/>
      <c r="K25" s="17"/>
      <c r="L25" s="17"/>
      <c r="M25" s="17"/>
      <c r="N25" s="17"/>
      <c r="O25" s="17"/>
    </row>
    <row r="26" spans="2:25" x14ac:dyDescent="0.2">
      <c r="B26" s="1" t="s">
        <v>37</v>
      </c>
      <c r="C26" s="31">
        <v>1.5</v>
      </c>
      <c r="J26" s="1"/>
      <c r="K26" s="9"/>
      <c r="L26" s="9"/>
      <c r="M26" s="9"/>
      <c r="N26" s="9"/>
      <c r="O26" s="9"/>
    </row>
    <row r="27" spans="2:25" x14ac:dyDescent="0.2">
      <c r="B27" s="2" t="s">
        <v>38</v>
      </c>
      <c r="C27" s="16">
        <v>0.3</v>
      </c>
      <c r="I27" s="45" t="s">
        <v>61</v>
      </c>
      <c r="J27" s="51">
        <f>C15*1000000</f>
        <v>25000000000</v>
      </c>
      <c r="K27" s="10">
        <f>J27</f>
        <v>25000000000</v>
      </c>
      <c r="L27" s="10">
        <f t="shared" ref="L27:O27" si="15">K27</f>
        <v>25000000000</v>
      </c>
      <c r="M27" s="10">
        <f t="shared" si="15"/>
        <v>25000000000</v>
      </c>
      <c r="N27" s="10">
        <f t="shared" si="15"/>
        <v>25000000000</v>
      </c>
      <c r="O27" s="10">
        <f t="shared" si="15"/>
        <v>25000000000</v>
      </c>
    </row>
    <row r="28" spans="2:25" x14ac:dyDescent="0.2">
      <c r="B28" s="6" t="s">
        <v>39</v>
      </c>
      <c r="C28" s="35">
        <f>(C27*C24)+((C25*C23)*(1-C14))</f>
        <v>0.25658302111788139</v>
      </c>
      <c r="I28" s="45" t="s">
        <v>62</v>
      </c>
      <c r="J28" s="45"/>
      <c r="K28" s="29">
        <f>K18</f>
        <v>1666666666.6666667</v>
      </c>
      <c r="L28" s="29">
        <f>K28+L18</f>
        <v>3333333333.3333335</v>
      </c>
      <c r="M28" s="29">
        <f>L28+M18</f>
        <v>5000000000</v>
      </c>
      <c r="N28" s="29">
        <f>M28+N18</f>
        <v>6666666666.666667</v>
      </c>
      <c r="O28" s="29">
        <f t="shared" ref="O28" si="16">N28+O18</f>
        <v>8333333333.333334</v>
      </c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2:25" x14ac:dyDescent="0.2">
      <c r="I29" s="45" t="s">
        <v>63</v>
      </c>
      <c r="J29" s="51"/>
      <c r="K29" s="10">
        <f>K27-K28</f>
        <v>23333333333.333332</v>
      </c>
      <c r="L29" s="10">
        <f t="shared" ref="L29:O29" si="17">L27-L28</f>
        <v>21666666666.666668</v>
      </c>
      <c r="M29" s="10">
        <f t="shared" si="17"/>
        <v>20000000000</v>
      </c>
      <c r="N29" s="10">
        <f t="shared" si="17"/>
        <v>18333333333.333332</v>
      </c>
      <c r="O29" s="10">
        <f t="shared" si="17"/>
        <v>16666666666.666666</v>
      </c>
    </row>
    <row r="30" spans="2:25" x14ac:dyDescent="0.2">
      <c r="C30" s="9"/>
      <c r="I30" s="45"/>
      <c r="J30" s="45"/>
      <c r="K30" s="9"/>
      <c r="L30" s="9"/>
      <c r="M30" s="9"/>
      <c r="N30" s="9"/>
      <c r="O30" s="9"/>
    </row>
    <row r="31" spans="2:25" x14ac:dyDescent="0.2">
      <c r="C31" s="17"/>
      <c r="I31" s="45" t="s">
        <v>28</v>
      </c>
      <c r="J31" s="45"/>
      <c r="K31" s="9">
        <f>K15/360*$C$18</f>
        <v>8451150000</v>
      </c>
      <c r="L31" s="9">
        <f>L15/360*$C$18</f>
        <v>9314012415.0000019</v>
      </c>
      <c r="M31" s="9">
        <f t="shared" ref="M31:O31" si="18">M15/360*$C$18</f>
        <v>10073104426.822502</v>
      </c>
      <c r="N31" s="9">
        <f t="shared" si="18"/>
        <v>10790309462.012266</v>
      </c>
      <c r="O31" s="9">
        <f t="shared" si="18"/>
        <v>11558579495.707541</v>
      </c>
    </row>
    <row r="32" spans="2:25" x14ac:dyDescent="0.2">
      <c r="B32" s="45" t="s">
        <v>77</v>
      </c>
      <c r="C32" s="51">
        <f>C15*1000000*C12</f>
        <v>10000000000</v>
      </c>
      <c r="I32" s="45" t="s">
        <v>29</v>
      </c>
      <c r="J32" s="45"/>
      <c r="K32" s="51">
        <f>K16/360*$C$19</f>
        <v>3192428749.9999995</v>
      </c>
      <c r="L32" s="51">
        <f>L16/360*$C$19</f>
        <v>3467137243.9374995</v>
      </c>
      <c r="M32" s="51">
        <f t="shared" ref="M32:O32" si="19">M16/360*$C$19</f>
        <v>3695101517.7263904</v>
      </c>
      <c r="N32" s="51">
        <f t="shared" si="19"/>
        <v>3900549162.1119776</v>
      </c>
      <c r="O32" s="51">
        <f t="shared" si="19"/>
        <v>4117419695.5254035</v>
      </c>
    </row>
    <row r="33" spans="2:16" x14ac:dyDescent="0.2">
      <c r="B33" s="2" t="s">
        <v>78</v>
      </c>
      <c r="C33" s="9">
        <f>C15*1000000-O28</f>
        <v>16666666666.666666</v>
      </c>
      <c r="I33" s="45" t="s">
        <v>64</v>
      </c>
      <c r="J33" s="45"/>
      <c r="K33" s="10">
        <f>K23</f>
        <v>0</v>
      </c>
      <c r="L33" s="10">
        <f>L23</f>
        <v>159192882.12744054</v>
      </c>
      <c r="M33" s="10">
        <f t="shared" ref="M33:O33" si="20">M23</f>
        <v>424212409.58732176</v>
      </c>
      <c r="N33" s="10">
        <f t="shared" si="20"/>
        <v>702432997.18349683</v>
      </c>
      <c r="O33" s="10">
        <f t="shared" si="20"/>
        <v>1009436843.7232809</v>
      </c>
    </row>
    <row r="34" spans="2:16" x14ac:dyDescent="0.2">
      <c r="B34" s="2" t="s">
        <v>79</v>
      </c>
      <c r="C34" s="10">
        <f>C32-C33</f>
        <v>-6666666666.666666</v>
      </c>
      <c r="D34" s="22"/>
      <c r="I34" s="44" t="s">
        <v>65</v>
      </c>
      <c r="J34" s="50"/>
      <c r="K34" s="53">
        <f>K31-K32-K33</f>
        <v>5258721250</v>
      </c>
      <c r="L34" s="53">
        <f>L31-L32-L33</f>
        <v>5687682288.9350615</v>
      </c>
      <c r="M34" s="53">
        <f t="shared" ref="M34:O34" si="21">M31-M32-M33</f>
        <v>5953790499.5087891</v>
      </c>
      <c r="N34" s="53">
        <f t="shared" si="21"/>
        <v>6187327302.7167921</v>
      </c>
      <c r="O34" s="53">
        <f t="shared" si="21"/>
        <v>6431722956.4588556</v>
      </c>
      <c r="P34" s="10"/>
    </row>
    <row r="35" spans="2:16" x14ac:dyDescent="0.2">
      <c r="B35" s="45" t="s">
        <v>80</v>
      </c>
      <c r="C35" s="54">
        <f>IF(C34&lt;0,0,C34*C22)</f>
        <v>0</v>
      </c>
      <c r="I35" s="44" t="s">
        <v>66</v>
      </c>
      <c r="J35" s="50"/>
      <c r="K35" s="50">
        <f>K34-J34</f>
        <v>5258721250</v>
      </c>
      <c r="L35" s="50">
        <f>L34-K34</f>
        <v>428961038.93506145</v>
      </c>
      <c r="M35" s="50">
        <f t="shared" ref="M35:O35" si="22">M34-L34</f>
        <v>266108210.57372761</v>
      </c>
      <c r="N35" s="50">
        <f t="shared" si="22"/>
        <v>233536803.20800304</v>
      </c>
      <c r="O35" s="50">
        <f t="shared" si="22"/>
        <v>244395653.74206352</v>
      </c>
    </row>
    <row r="36" spans="2:16" x14ac:dyDescent="0.2">
      <c r="B36" s="2" t="s">
        <v>81</v>
      </c>
      <c r="C36" s="10">
        <f>C32-C35</f>
        <v>10000000000</v>
      </c>
      <c r="I36" s="1"/>
      <c r="K36" s="33"/>
      <c r="L36" s="33"/>
      <c r="M36" s="33"/>
      <c r="N36" s="33"/>
      <c r="O36" s="33"/>
    </row>
    <row r="37" spans="2:16" x14ac:dyDescent="0.2">
      <c r="B37" s="45" t="s">
        <v>82</v>
      </c>
      <c r="C37" s="51">
        <f>C15*1000000*C13</f>
        <v>3750000000</v>
      </c>
      <c r="I37" s="2" t="s">
        <v>67</v>
      </c>
      <c r="K37" s="17"/>
      <c r="L37" s="17"/>
      <c r="M37" s="17"/>
      <c r="N37" s="17"/>
      <c r="O37" s="17"/>
    </row>
    <row r="38" spans="2:16" x14ac:dyDescent="0.2">
      <c r="B38" s="45" t="s">
        <v>83</v>
      </c>
      <c r="C38" s="18">
        <f>O34</f>
        <v>6431722956.4588556</v>
      </c>
      <c r="I38" s="44" t="s">
        <v>68</v>
      </c>
      <c r="J38" s="44"/>
      <c r="K38" s="53">
        <f>K20*(1-K6)</f>
        <v>993078666.6666714</v>
      </c>
      <c r="L38" s="53">
        <f>L20*(1-L6)</f>
        <v>1471520435.3416734</v>
      </c>
      <c r="M38" s="53">
        <f t="shared" ref="M38:O38" si="23">M20*(1-M6)</f>
        <v>1963699557.7671671</v>
      </c>
      <c r="N38" s="53">
        <f t="shared" si="23"/>
        <v>2480394934.731492</v>
      </c>
      <c r="O38" s="53">
        <f t="shared" si="23"/>
        <v>3050544935.4482336</v>
      </c>
    </row>
    <row r="39" spans="2:16" x14ac:dyDescent="0.2">
      <c r="B39" s="1" t="s">
        <v>84</v>
      </c>
      <c r="C39" s="18">
        <f>C36-C37+C38</f>
        <v>12681722956.458855</v>
      </c>
      <c r="I39" s="2" t="s">
        <v>44</v>
      </c>
      <c r="K39" s="10">
        <f>K18</f>
        <v>1666666666.6666667</v>
      </c>
      <c r="L39" s="10">
        <f>L18</f>
        <v>1666666666.6666667</v>
      </c>
      <c r="M39" s="10">
        <f t="shared" ref="M39:O39" si="24">M18</f>
        <v>1666666666.6666667</v>
      </c>
      <c r="N39" s="10">
        <f t="shared" si="24"/>
        <v>1666666666.6666667</v>
      </c>
      <c r="O39" s="10">
        <f t="shared" si="24"/>
        <v>1666666666.6666667</v>
      </c>
    </row>
    <row r="40" spans="2:16" x14ac:dyDescent="0.2">
      <c r="I40" s="44" t="s">
        <v>69</v>
      </c>
      <c r="J40" s="44"/>
      <c r="K40" s="53">
        <f>K38+K39</f>
        <v>2659745333.3333383</v>
      </c>
      <c r="L40" s="53">
        <f>L38+L39</f>
        <v>3138187102.0083399</v>
      </c>
      <c r="M40" s="53">
        <f t="shared" ref="M40:O40" si="25">M38+M39</f>
        <v>3630366224.4338341</v>
      </c>
      <c r="N40" s="53">
        <f t="shared" si="25"/>
        <v>4147061601.398159</v>
      </c>
      <c r="O40" s="53">
        <f t="shared" si="25"/>
        <v>4717211602.1149006</v>
      </c>
    </row>
    <row r="41" spans="2:16" x14ac:dyDescent="0.2">
      <c r="C41" s="34"/>
      <c r="I41" s="2" t="s">
        <v>66</v>
      </c>
      <c r="J41" s="9"/>
      <c r="K41" s="9">
        <f>K35</f>
        <v>5258721250</v>
      </c>
      <c r="L41" s="9">
        <f>L35</f>
        <v>428961038.93506145</v>
      </c>
      <c r="M41" s="9">
        <f t="shared" ref="M41:O41" si="26">M35</f>
        <v>266108210.57372761</v>
      </c>
      <c r="N41" s="9">
        <f t="shared" si="26"/>
        <v>233536803.20800304</v>
      </c>
      <c r="O41" s="9">
        <f t="shared" si="26"/>
        <v>244395653.74206352</v>
      </c>
    </row>
    <row r="42" spans="2:16" x14ac:dyDescent="0.2">
      <c r="C42" s="21"/>
      <c r="I42" s="44" t="s">
        <v>70</v>
      </c>
      <c r="J42" s="44"/>
      <c r="K42" s="53">
        <f>K40-K41</f>
        <v>-2598975916.6666617</v>
      </c>
      <c r="L42" s="53">
        <f>L40-L41</f>
        <v>2709226063.0732784</v>
      </c>
      <c r="M42" s="53">
        <f t="shared" ref="M42:O42" si="27">M40-M41</f>
        <v>3364258013.8601065</v>
      </c>
      <c r="N42" s="53">
        <f t="shared" si="27"/>
        <v>3913524798.190156</v>
      </c>
      <c r="O42" s="53">
        <f t="shared" si="27"/>
        <v>4472815948.3728371</v>
      </c>
      <c r="P42" s="9"/>
    </row>
    <row r="43" spans="2:16" x14ac:dyDescent="0.2">
      <c r="C43" s="34"/>
      <c r="I43" s="1" t="s">
        <v>71</v>
      </c>
      <c r="J43" s="29">
        <f>C15*1000000</f>
        <v>25000000000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/>
    </row>
    <row r="44" spans="2:16" x14ac:dyDescent="0.2">
      <c r="C44" s="34"/>
      <c r="I44" s="45" t="s">
        <v>76</v>
      </c>
      <c r="J44" s="29"/>
      <c r="K44" s="29"/>
      <c r="L44" s="29"/>
      <c r="M44" s="29"/>
      <c r="N44" s="29"/>
      <c r="O44" s="29"/>
      <c r="P44" s="29">
        <f>C39</f>
        <v>12681722956.458855</v>
      </c>
    </row>
    <row r="45" spans="2:16" x14ac:dyDescent="0.2">
      <c r="I45" s="1" t="s">
        <v>72</v>
      </c>
      <c r="J45" s="18">
        <f>J42-J43+J44</f>
        <v>-25000000000</v>
      </c>
      <c r="K45" s="18">
        <f>K42-K43+K44</f>
        <v>-2598975916.6666617</v>
      </c>
      <c r="L45" s="18">
        <f>L42-L43+L44</f>
        <v>2709226063.0732784</v>
      </c>
      <c r="M45" s="18">
        <f>M42-M43+M44</f>
        <v>3364258013.8601065</v>
      </c>
      <c r="N45" s="18">
        <f t="shared" ref="N45:O45" si="28">N42-N43+N44</f>
        <v>3913524798.190156</v>
      </c>
      <c r="O45" s="18">
        <f t="shared" si="28"/>
        <v>4472815948.3728371</v>
      </c>
      <c r="P45" s="18">
        <f>P42-P43+P44</f>
        <v>12681722956.458855</v>
      </c>
    </row>
    <row r="46" spans="2:16" x14ac:dyDescent="0.2">
      <c r="I46" s="2" t="s">
        <v>106</v>
      </c>
      <c r="J46" s="9">
        <f>C15*1000000*C23</f>
        <v>7537669944.8122587</v>
      </c>
      <c r="L46" s="18"/>
      <c r="M46" s="18"/>
      <c r="N46" s="18"/>
      <c r="O46" s="18"/>
      <c r="P46" s="18"/>
    </row>
    <row r="47" spans="2:16" x14ac:dyDescent="0.2">
      <c r="I47" s="2" t="s">
        <v>125</v>
      </c>
      <c r="J47" s="18"/>
      <c r="K47" s="9">
        <f>$J$46*$C$25</f>
        <v>1809040786.7549419</v>
      </c>
      <c r="L47" s="9">
        <f>$J$46*$C$25</f>
        <v>1809040786.7549419</v>
      </c>
      <c r="M47" s="9">
        <f>$J$46*$C$25</f>
        <v>1809040786.7549419</v>
      </c>
      <c r="N47" s="9">
        <f>$J$46*$C$25</f>
        <v>1809040786.7549419</v>
      </c>
      <c r="O47" s="9">
        <f>J46+$J$46*C25</f>
        <v>9346710731.5671997</v>
      </c>
      <c r="P47" s="9" t="s">
        <v>126</v>
      </c>
    </row>
    <row r="48" spans="2:16" x14ac:dyDescent="0.2">
      <c r="I48" s="2" t="s">
        <v>99</v>
      </c>
      <c r="J48" s="18"/>
      <c r="K48" s="18"/>
      <c r="L48" s="18"/>
      <c r="M48" s="18"/>
      <c r="N48" s="18"/>
      <c r="O48" s="18"/>
      <c r="P48" s="18"/>
    </row>
    <row r="49" spans="9:16" x14ac:dyDescent="0.2">
      <c r="I49" s="2" t="s">
        <v>75</v>
      </c>
      <c r="J49" s="18"/>
      <c r="K49" s="18"/>
      <c r="L49" s="18"/>
      <c r="M49" s="18"/>
      <c r="N49" s="18"/>
      <c r="O49" s="18"/>
      <c r="P49" s="18"/>
    </row>
    <row r="50" spans="9:16" x14ac:dyDescent="0.2">
      <c r="I50" s="2" t="s">
        <v>127</v>
      </c>
      <c r="J50" s="18"/>
      <c r="K50" s="18"/>
      <c r="L50" s="18"/>
      <c r="M50" s="18"/>
      <c r="N50" s="18"/>
      <c r="O50" s="18"/>
      <c r="P50" s="18"/>
    </row>
    <row r="51" spans="9:16" x14ac:dyDescent="0.2">
      <c r="I51" s="1"/>
      <c r="J51" s="18"/>
      <c r="K51" s="18"/>
      <c r="L51" s="18"/>
      <c r="M51" s="18"/>
      <c r="N51" s="18"/>
      <c r="O51" s="18"/>
      <c r="P51" s="18"/>
    </row>
    <row r="52" spans="9:16" x14ac:dyDescent="0.2">
      <c r="I52" s="1" t="s">
        <v>128</v>
      </c>
      <c r="J52" s="31">
        <f>AVERAGE(L52:O52)</f>
        <v>1.4997886265432738</v>
      </c>
      <c r="K52" s="75">
        <f>K45/K47</f>
        <v>-1.4366596572588646</v>
      </c>
      <c r="L52" s="75">
        <f t="shared" ref="L52:O52" si="29">L45/L47</f>
        <v>1.4976036377450004</v>
      </c>
      <c r="M52" s="75">
        <f t="shared" si="29"/>
        <v>1.8596916324340669</v>
      </c>
      <c r="N52" s="75">
        <f t="shared" si="29"/>
        <v>2.1633148499709827</v>
      </c>
      <c r="O52" s="75">
        <f t="shared" si="29"/>
        <v>0.47854438602304561</v>
      </c>
      <c r="P52" s="18"/>
    </row>
    <row r="53" spans="9:16" x14ac:dyDescent="0.2">
      <c r="I53" s="1"/>
      <c r="J53" s="18"/>
      <c r="K53" s="18"/>
      <c r="L53" s="18"/>
      <c r="M53" s="18"/>
      <c r="N53" s="18"/>
      <c r="O53" s="18"/>
      <c r="P53" s="18"/>
    </row>
    <row r="54" spans="9:16" x14ac:dyDescent="0.2">
      <c r="I54" s="1"/>
      <c r="J54" s="18"/>
      <c r="K54" s="18"/>
      <c r="L54" s="18"/>
      <c r="M54" s="18"/>
      <c r="N54" s="18"/>
      <c r="O54" s="18"/>
      <c r="P54" s="18"/>
    </row>
    <row r="55" spans="9:16" x14ac:dyDescent="0.2">
      <c r="I55" s="1"/>
      <c r="J55" s="18"/>
      <c r="K55" s="18"/>
      <c r="L55" s="18"/>
      <c r="M55" s="18"/>
      <c r="N55" s="18"/>
      <c r="O55" s="18"/>
      <c r="P55" s="18"/>
    </row>
    <row r="56" spans="9:16" x14ac:dyDescent="0.2">
      <c r="I56" s="1"/>
      <c r="J56" s="1"/>
      <c r="K56" s="18"/>
      <c r="L56" s="18"/>
      <c r="M56" s="18"/>
      <c r="N56" s="18"/>
      <c r="O56" s="18"/>
      <c r="P56" s="18"/>
    </row>
    <row r="57" spans="9:16" x14ac:dyDescent="0.2">
      <c r="I57" s="2" t="s">
        <v>73</v>
      </c>
      <c r="K57" s="9">
        <f>K20*K6</f>
        <v>534734666.66666919</v>
      </c>
      <c r="L57" s="9">
        <f>L20*L6</f>
        <v>792357157.49167013</v>
      </c>
      <c r="M57" s="9">
        <f>M20*M6</f>
        <v>1057376684.9515514</v>
      </c>
      <c r="N57" s="9">
        <f>N20*N6</f>
        <v>1335597272.5477264</v>
      </c>
      <c r="O57" s="9">
        <f>O20*O6</f>
        <v>1642601119.0875101</v>
      </c>
    </row>
    <row r="58" spans="9:16" x14ac:dyDescent="0.2">
      <c r="I58" s="2" t="s">
        <v>74</v>
      </c>
      <c r="J58" s="29"/>
      <c r="K58" s="9">
        <f>K23</f>
        <v>0</v>
      </c>
      <c r="L58" s="9">
        <f t="shared" ref="L58:O58" si="30">L23</f>
        <v>159192882.12744054</v>
      </c>
      <c r="M58" s="9">
        <f t="shared" si="30"/>
        <v>424212409.58732176</v>
      </c>
      <c r="N58" s="9">
        <f t="shared" si="30"/>
        <v>702432997.18349683</v>
      </c>
      <c r="O58" s="9">
        <f t="shared" si="30"/>
        <v>1009436843.7232809</v>
      </c>
      <c r="P58" s="18"/>
    </row>
    <row r="59" spans="9:16" x14ac:dyDescent="0.2">
      <c r="I59" s="2" t="s">
        <v>75</v>
      </c>
      <c r="J59" s="30"/>
      <c r="K59" s="9">
        <f>K57-K58</f>
        <v>534734666.66666919</v>
      </c>
      <c r="L59" s="9">
        <f t="shared" ref="L59:O59" si="31">L57-L58</f>
        <v>633164275.36422956</v>
      </c>
      <c r="M59" s="9">
        <f t="shared" si="31"/>
        <v>633164275.36422968</v>
      </c>
      <c r="N59" s="9">
        <f t="shared" si="31"/>
        <v>633164275.36422956</v>
      </c>
      <c r="O59" s="9">
        <f t="shared" si="31"/>
        <v>633164275.3642292</v>
      </c>
    </row>
    <row r="60" spans="9:16" x14ac:dyDescent="0.2">
      <c r="J60" s="9"/>
      <c r="K60" s="74"/>
      <c r="L60" s="74"/>
      <c r="M60" s="74"/>
      <c r="N60" s="74"/>
      <c r="O60" s="74"/>
      <c r="P60" s="10"/>
    </row>
    <row r="61" spans="9:16" x14ac:dyDescent="0.2">
      <c r="K61" s="10"/>
      <c r="L61" s="10"/>
      <c r="M61" s="10"/>
      <c r="N61" s="10"/>
      <c r="O61" s="10"/>
      <c r="P61" s="18"/>
    </row>
    <row r="62" spans="9:16" x14ac:dyDescent="0.2">
      <c r="J62" s="18"/>
      <c r="K62" s="36"/>
      <c r="L62" s="36"/>
      <c r="M62" s="36"/>
      <c r="N62" s="36"/>
      <c r="O62" s="36"/>
    </row>
    <row r="63" spans="9:16" x14ac:dyDescent="0.2">
      <c r="I63" s="44" t="s">
        <v>85</v>
      </c>
      <c r="J63" s="1"/>
      <c r="K63" s="37"/>
      <c r="L63" s="37"/>
      <c r="M63" s="37"/>
      <c r="N63" s="37"/>
      <c r="O63" s="37"/>
    </row>
    <row r="64" spans="9:16" x14ac:dyDescent="0.2">
      <c r="I64" s="2" t="s">
        <v>86</v>
      </c>
      <c r="K64" s="38">
        <f>K20+K39</f>
        <v>3194480000.0000076</v>
      </c>
      <c r="L64" s="38">
        <f t="shared" ref="L64:O64" si="32">L20+L39</f>
        <v>3930544259.5000105</v>
      </c>
      <c r="M64" s="38">
        <f t="shared" si="32"/>
        <v>4687742909.3853855</v>
      </c>
      <c r="N64" s="38">
        <f t="shared" si="32"/>
        <v>5482658873.9458857</v>
      </c>
      <c r="O64" s="38">
        <f t="shared" si="32"/>
        <v>6359812721.2024107</v>
      </c>
    </row>
    <row r="65" spans="9:17" x14ac:dyDescent="0.2">
      <c r="I65" s="2" t="s">
        <v>87</v>
      </c>
      <c r="K65" s="55">
        <f>K64/K15</f>
        <v>9.4498381877022863E-2</v>
      </c>
      <c r="L65" s="55">
        <f t="shared" ref="L65:O65" si="33">L64/L15</f>
        <v>0.10550083262638667</v>
      </c>
      <c r="M65" s="55">
        <f t="shared" si="33"/>
        <v>0.11634305351046839</v>
      </c>
      <c r="N65" s="55">
        <f t="shared" si="33"/>
        <v>0.12702737797390831</v>
      </c>
      <c r="O65" s="55">
        <f t="shared" si="33"/>
        <v>0.13755610547914271</v>
      </c>
    </row>
    <row r="66" spans="9:17" x14ac:dyDescent="0.2">
      <c r="I66" s="2" t="s">
        <v>88</v>
      </c>
      <c r="K66" s="55">
        <f>K34/K15</f>
        <v>0.15556229773462782</v>
      </c>
      <c r="L66" s="55">
        <f t="shared" ref="L66:O66" si="34">L34/L15</f>
        <v>0.15266466361412565</v>
      </c>
      <c r="M66" s="55">
        <f t="shared" si="34"/>
        <v>0.14776453830000835</v>
      </c>
      <c r="N66" s="55">
        <f t="shared" si="34"/>
        <v>0.14335379639711759</v>
      </c>
      <c r="O66" s="55">
        <f t="shared" si="34"/>
        <v>0.13911144874781925</v>
      </c>
      <c r="P66" s="10"/>
      <c r="Q66" s="22"/>
    </row>
    <row r="67" spans="9:17" x14ac:dyDescent="0.2">
      <c r="I67" s="2" t="s">
        <v>89</v>
      </c>
      <c r="K67" s="56">
        <f>K65/K66</f>
        <v>0.6074632687556899</v>
      </c>
      <c r="L67" s="56">
        <f t="shared" ref="L67:O67" si="35">L65/L66</f>
        <v>0.6910625558580471</v>
      </c>
      <c r="M67" s="56">
        <f t="shared" si="35"/>
        <v>0.78735436017981197</v>
      </c>
      <c r="N67" s="56">
        <f t="shared" si="35"/>
        <v>0.88611101461183517</v>
      </c>
      <c r="O67" s="56">
        <f t="shared" si="35"/>
        <v>0.98881944453402926</v>
      </c>
      <c r="P67" s="10"/>
      <c r="Q67" s="22"/>
    </row>
    <row r="68" spans="9:17" x14ac:dyDescent="0.2">
      <c r="I68" s="2" t="s">
        <v>90</v>
      </c>
      <c r="J68" s="9"/>
      <c r="K68" s="9">
        <f>K29+K34</f>
        <v>28592054583.333332</v>
      </c>
      <c r="L68" s="9">
        <f t="shared" ref="L68:O68" si="36">L29+L34</f>
        <v>27354348955.60173</v>
      </c>
      <c r="M68" s="9">
        <f t="shared" si="36"/>
        <v>25953790499.508789</v>
      </c>
      <c r="N68" s="9">
        <f t="shared" si="36"/>
        <v>24520660636.050125</v>
      </c>
      <c r="O68" s="9">
        <f t="shared" si="36"/>
        <v>23098389623.125523</v>
      </c>
      <c r="P68" s="9"/>
      <c r="Q68" s="22"/>
    </row>
    <row r="69" spans="9:17" x14ac:dyDescent="0.2">
      <c r="I69" s="2" t="s">
        <v>91</v>
      </c>
      <c r="K69" s="57">
        <f>K38/K68</f>
        <v>3.4732679450239626E-2</v>
      </c>
      <c r="L69" s="57">
        <f t="shared" ref="L69:O69" si="37">L38/L68</f>
        <v>5.3794752627089291E-2</v>
      </c>
      <c r="M69" s="57">
        <f t="shared" si="37"/>
        <v>7.5661378163792023E-2</v>
      </c>
      <c r="N69" s="57">
        <f t="shared" si="37"/>
        <v>0.10115530619451707</v>
      </c>
      <c r="O69" s="57">
        <f t="shared" si="37"/>
        <v>0.13206742916805359</v>
      </c>
    </row>
    <row r="70" spans="9:17" x14ac:dyDescent="0.2">
      <c r="I70" s="2" t="s">
        <v>92</v>
      </c>
      <c r="K70" s="9">
        <f>K38-($C$28*K68)</f>
        <v>-6343157078.2923622</v>
      </c>
      <c r="L70" s="9">
        <f t="shared" ref="L70:O70" si="38">L38-($C$28*L68)</f>
        <v>-5547141060.3993816</v>
      </c>
      <c r="M70" s="9">
        <f t="shared" si="38"/>
        <v>-4695602418.0573664</v>
      </c>
      <c r="N70" s="9">
        <f t="shared" si="38"/>
        <v>-3811190251.0725603</v>
      </c>
      <c r="O70" s="9">
        <f t="shared" si="38"/>
        <v>-2876109657.0112352</v>
      </c>
      <c r="P70" s="9"/>
    </row>
    <row r="71" spans="9:17" x14ac:dyDescent="0.2">
      <c r="I71" s="1"/>
      <c r="J71" s="1"/>
      <c r="K71" s="29"/>
      <c r="L71" s="29"/>
      <c r="M71" s="29"/>
      <c r="N71" s="29"/>
      <c r="O71" s="29"/>
      <c r="P71" s="18"/>
    </row>
    <row r="72" spans="9:17" x14ac:dyDescent="0.2">
      <c r="J72" s="9"/>
      <c r="K72" s="9"/>
      <c r="L72" s="9"/>
      <c r="M72" s="9"/>
      <c r="N72" s="9"/>
      <c r="O72" s="9"/>
    </row>
    <row r="73" spans="9:17" x14ac:dyDescent="0.2">
      <c r="J73" s="9"/>
    </row>
    <row r="74" spans="9:17" x14ac:dyDescent="0.2">
      <c r="K74" s="37"/>
      <c r="L74" s="37"/>
      <c r="M74" s="37"/>
      <c r="N74" s="37"/>
      <c r="O74" s="37"/>
    </row>
    <row r="75" spans="9:17" x14ac:dyDescent="0.2">
      <c r="K75" s="37"/>
      <c r="L75" s="37"/>
      <c r="M75" s="37"/>
      <c r="N75" s="37"/>
      <c r="O75" s="37"/>
    </row>
    <row r="76" spans="9:17" x14ac:dyDescent="0.2">
      <c r="K76" s="39"/>
      <c r="L76" s="39"/>
      <c r="M76" s="39"/>
      <c r="N76" s="39"/>
      <c r="O76" s="39"/>
    </row>
    <row r="77" spans="9:17" x14ac:dyDescent="0.2">
      <c r="J77" s="40"/>
    </row>
    <row r="78" spans="9:17" x14ac:dyDescent="0.2">
      <c r="J78" s="9"/>
    </row>
    <row r="79" spans="9:17" x14ac:dyDescent="0.2">
      <c r="K79" s="10"/>
      <c r="L79" s="10"/>
      <c r="M79" s="10"/>
      <c r="N79" s="10"/>
      <c r="O79" s="10"/>
    </row>
    <row r="80" spans="9:17" x14ac:dyDescent="0.2">
      <c r="J80" s="9"/>
    </row>
    <row r="81" spans="9:15" x14ac:dyDescent="0.2">
      <c r="K81" s="10"/>
      <c r="L81" s="10"/>
      <c r="M81" s="10"/>
      <c r="N81" s="10"/>
      <c r="O81" s="10"/>
    </row>
    <row r="82" spans="9:15" x14ac:dyDescent="0.2">
      <c r="J82" s="9"/>
    </row>
    <row r="83" spans="9:15" x14ac:dyDescent="0.2">
      <c r="I83" s="1"/>
      <c r="J83" s="29"/>
      <c r="K83" s="29"/>
      <c r="L83" s="29"/>
      <c r="M83" s="29"/>
      <c r="N83" s="29"/>
      <c r="O83" s="29"/>
    </row>
    <row r="85" spans="9:15" x14ac:dyDescent="0.2">
      <c r="I85" s="1"/>
      <c r="J85" s="1"/>
      <c r="K85" s="41"/>
      <c r="L85" s="41"/>
      <c r="M85" s="41"/>
      <c r="N85" s="41"/>
      <c r="O85" s="41"/>
    </row>
    <row r="87" spans="9:15" x14ac:dyDescent="0.2">
      <c r="J87" s="1"/>
      <c r="K87" s="42"/>
    </row>
    <row r="90" spans="9:15" x14ac:dyDescent="0.2">
      <c r="K90" s="39"/>
      <c r="L90" s="39"/>
      <c r="M90" s="39"/>
      <c r="N90" s="39"/>
      <c r="O90" s="39"/>
    </row>
    <row r="91" spans="9:15" x14ac:dyDescent="0.2">
      <c r="K91" s="43"/>
      <c r="L91" s="43"/>
      <c r="M91" s="43"/>
      <c r="N91" s="43"/>
      <c r="O91" s="43"/>
    </row>
    <row r="94" spans="9:15" x14ac:dyDescent="0.2">
      <c r="J94" s="39"/>
      <c r="K94" s="10"/>
      <c r="L94" s="10"/>
      <c r="M94" s="10"/>
      <c r="N94" s="10"/>
      <c r="O94" s="10"/>
    </row>
    <row r="96" spans="9:15" x14ac:dyDescent="0.2">
      <c r="I96" s="16"/>
      <c r="J96" s="21"/>
    </row>
  </sheetData>
  <pageMargins left="0.7" right="0.7" top="0.75" bottom="0.75" header="0.3" footer="0.3"/>
  <pageSetup paperSize="9" orientation="portrait" r:id="rId1"/>
  <ignoredErrors>
    <ignoredError sqref="L23:O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9408-BA17-4B98-905C-4C60B28812A2}">
  <dimension ref="B2:G23"/>
  <sheetViews>
    <sheetView showGridLines="0" workbookViewId="0">
      <selection activeCell="E21" sqref="E21"/>
    </sheetView>
  </sheetViews>
  <sheetFormatPr baseColWidth="10" defaultRowHeight="14.4" x14ac:dyDescent="0.3"/>
  <cols>
    <col min="2" max="2" width="7" bestFit="1" customWidth="1"/>
    <col min="3" max="3" width="16.5546875" bestFit="1" customWidth="1"/>
    <col min="4" max="5" width="16.6640625" bestFit="1" customWidth="1"/>
    <col min="6" max="6" width="16.5546875" bestFit="1" customWidth="1"/>
    <col min="7" max="7" width="18" bestFit="1" customWidth="1"/>
  </cols>
  <sheetData>
    <row r="2" spans="2:7" x14ac:dyDescent="0.3">
      <c r="B2" s="44" t="s">
        <v>52</v>
      </c>
      <c r="C2" s="44">
        <f>PyG!C15*1000000*PyG!$C$23</f>
        <v>7537669944.8122587</v>
      </c>
    </row>
    <row r="3" spans="2:7" x14ac:dyDescent="0.3">
      <c r="B3" s="44" t="s">
        <v>53</v>
      </c>
      <c r="C3" s="44">
        <v>15</v>
      </c>
    </row>
    <row r="4" spans="2:7" x14ac:dyDescent="0.3">
      <c r="B4" s="44" t="s">
        <v>54</v>
      </c>
      <c r="C4" s="44">
        <f>PyG!C25</f>
        <v>0.24</v>
      </c>
    </row>
    <row r="6" spans="2:7" x14ac:dyDescent="0.3">
      <c r="B6" s="44" t="s">
        <v>55</v>
      </c>
      <c r="C6" s="44" t="s">
        <v>56</v>
      </c>
      <c r="D6" s="44" t="s">
        <v>57</v>
      </c>
      <c r="E6" s="44" t="s">
        <v>58</v>
      </c>
      <c r="F6" s="44" t="s">
        <v>59</v>
      </c>
      <c r="G6" s="44" t="s">
        <v>60</v>
      </c>
    </row>
    <row r="7" spans="2:7" x14ac:dyDescent="0.3">
      <c r="B7" s="58" cm="1">
        <f t="array" ref="B7:B22">_xlfn.SEQUENCE(16,,0,1)</f>
        <v>0</v>
      </c>
      <c r="C7" s="47"/>
      <c r="D7" s="47"/>
      <c r="E7" s="47"/>
      <c r="F7" s="47"/>
      <c r="G7" s="47">
        <f>C2</f>
        <v>7537669944.8122587</v>
      </c>
    </row>
    <row r="8" spans="2:7" x14ac:dyDescent="0.3">
      <c r="B8" s="58">
        <v>1</v>
      </c>
      <c r="C8" s="47">
        <f>G7</f>
        <v>7537669944.8122587</v>
      </c>
      <c r="D8" s="47">
        <f>PMT($C$4,$C$3,-$C$2)</f>
        <v>1883808029.7083356</v>
      </c>
      <c r="E8" s="47">
        <f>D8-F8</f>
        <v>74767242.953393698</v>
      </c>
      <c r="F8" s="47">
        <f>G7*$C$4</f>
        <v>1809040786.7549419</v>
      </c>
      <c r="G8" s="47">
        <f>C8-E8</f>
        <v>7462902701.8588648</v>
      </c>
    </row>
    <row r="9" spans="2:7" x14ac:dyDescent="0.3">
      <c r="B9" s="58">
        <v>2</v>
      </c>
      <c r="C9" s="47">
        <f>G8</f>
        <v>7462902701.8588648</v>
      </c>
      <c r="D9" s="47">
        <f>PMT($C$4,$C$3,-$C$2)</f>
        <v>1883808029.7083356</v>
      </c>
      <c r="E9" s="47">
        <f>D9-F9</f>
        <v>92711381.262208223</v>
      </c>
      <c r="F9" s="47">
        <f>G8*$C$4</f>
        <v>1791096648.4461274</v>
      </c>
      <c r="G9" s="47">
        <f>C9-E9</f>
        <v>7370191320.5966568</v>
      </c>
    </row>
    <row r="10" spans="2:7" x14ac:dyDescent="0.3">
      <c r="B10" s="58">
        <v>3</v>
      </c>
      <c r="C10" s="47">
        <f t="shared" ref="C10:C22" si="0">G9</f>
        <v>7370191320.5966568</v>
      </c>
      <c r="D10" s="47">
        <f t="shared" ref="D10:D22" si="1">PMT($C$4,$C$3,-$C$2)</f>
        <v>1883808029.7083356</v>
      </c>
      <c r="E10" s="47">
        <f t="shared" ref="E10:E22" si="2">D10-F10</f>
        <v>114962112.76513815</v>
      </c>
      <c r="F10" s="47">
        <f t="shared" ref="F10:F22" si="3">G9*$C$4</f>
        <v>1768845916.9431975</v>
      </c>
      <c r="G10" s="47">
        <f t="shared" ref="G10:G22" si="4">C10-E10</f>
        <v>7255229207.8315182</v>
      </c>
    </row>
    <row r="11" spans="2:7" x14ac:dyDescent="0.3">
      <c r="B11" s="58">
        <v>4</v>
      </c>
      <c r="C11" s="47">
        <f t="shared" si="0"/>
        <v>7255229207.8315182</v>
      </c>
      <c r="D11" s="47">
        <f t="shared" si="1"/>
        <v>1883808029.7083356</v>
      </c>
      <c r="E11" s="47">
        <f t="shared" si="2"/>
        <v>142553019.82877135</v>
      </c>
      <c r="F11" s="47">
        <f t="shared" si="3"/>
        <v>1741255009.8795643</v>
      </c>
      <c r="G11" s="47">
        <f t="shared" si="4"/>
        <v>7112676188.0027466</v>
      </c>
    </row>
    <row r="12" spans="2:7" x14ac:dyDescent="0.3">
      <c r="B12" s="58">
        <v>5</v>
      </c>
      <c r="C12" s="47">
        <f t="shared" si="0"/>
        <v>7112676188.0027466</v>
      </c>
      <c r="D12" s="47">
        <f t="shared" si="1"/>
        <v>1883808029.7083356</v>
      </c>
      <c r="E12" s="47">
        <f t="shared" si="2"/>
        <v>176765744.58767653</v>
      </c>
      <c r="F12" s="47">
        <f t="shared" si="3"/>
        <v>1707042285.1206591</v>
      </c>
      <c r="G12" s="47">
        <f t="shared" si="4"/>
        <v>6935910443.4150696</v>
      </c>
    </row>
    <row r="13" spans="2:7" x14ac:dyDescent="0.3">
      <c r="B13" s="58">
        <v>6</v>
      </c>
      <c r="C13" s="47">
        <f t="shared" si="0"/>
        <v>6935910443.4150696</v>
      </c>
      <c r="D13" s="47">
        <f t="shared" si="1"/>
        <v>1883808029.7083356</v>
      </c>
      <c r="E13" s="47">
        <f t="shared" si="2"/>
        <v>219189523.28871894</v>
      </c>
      <c r="F13" s="47">
        <f t="shared" si="3"/>
        <v>1664618506.4196167</v>
      </c>
      <c r="G13" s="47">
        <f t="shared" si="4"/>
        <v>6716720920.1263504</v>
      </c>
    </row>
    <row r="14" spans="2:7" x14ac:dyDescent="0.3">
      <c r="B14" s="58">
        <v>7</v>
      </c>
      <c r="C14" s="47">
        <f t="shared" si="0"/>
        <v>6716720920.1263504</v>
      </c>
      <c r="D14" s="47">
        <f t="shared" si="1"/>
        <v>1883808029.7083356</v>
      </c>
      <c r="E14" s="47">
        <f t="shared" si="2"/>
        <v>271795008.8780117</v>
      </c>
      <c r="F14" s="47">
        <f t="shared" si="3"/>
        <v>1612013020.8303239</v>
      </c>
      <c r="G14" s="47">
        <f t="shared" si="4"/>
        <v>6444925911.2483387</v>
      </c>
    </row>
    <row r="15" spans="2:7" x14ac:dyDescent="0.3">
      <c r="B15" s="58">
        <v>8</v>
      </c>
      <c r="C15" s="47">
        <f t="shared" si="0"/>
        <v>6444925911.2483387</v>
      </c>
      <c r="D15" s="47">
        <f t="shared" si="1"/>
        <v>1883808029.7083356</v>
      </c>
      <c r="E15" s="47">
        <f t="shared" si="2"/>
        <v>337025811.00873446</v>
      </c>
      <c r="F15" s="47">
        <f t="shared" si="3"/>
        <v>1546782218.6996012</v>
      </c>
      <c r="G15" s="47">
        <f t="shared" si="4"/>
        <v>6107900100.239604</v>
      </c>
    </row>
    <row r="16" spans="2:7" x14ac:dyDescent="0.3">
      <c r="B16" s="58">
        <v>9</v>
      </c>
      <c r="C16" s="47">
        <f t="shared" si="0"/>
        <v>6107900100.239604</v>
      </c>
      <c r="D16" s="47">
        <f t="shared" si="1"/>
        <v>1883808029.7083356</v>
      </c>
      <c r="E16" s="47">
        <f t="shared" si="2"/>
        <v>417912005.65083075</v>
      </c>
      <c r="F16" s="47">
        <f t="shared" si="3"/>
        <v>1465896024.0575049</v>
      </c>
      <c r="G16" s="47">
        <f t="shared" si="4"/>
        <v>5689988094.5887737</v>
      </c>
    </row>
    <row r="17" spans="2:7" x14ac:dyDescent="0.3">
      <c r="B17" s="58">
        <v>10</v>
      </c>
      <c r="C17" s="47">
        <f t="shared" si="0"/>
        <v>5689988094.5887737</v>
      </c>
      <c r="D17" s="47">
        <f t="shared" si="1"/>
        <v>1883808029.7083356</v>
      </c>
      <c r="E17" s="47">
        <f t="shared" si="2"/>
        <v>518210887.00703001</v>
      </c>
      <c r="F17" s="47">
        <f t="shared" si="3"/>
        <v>1365597142.7013056</v>
      </c>
      <c r="G17" s="47">
        <f t="shared" si="4"/>
        <v>5171777207.5817432</v>
      </c>
    </row>
    <row r="18" spans="2:7" x14ac:dyDescent="0.3">
      <c r="B18" s="58">
        <v>11</v>
      </c>
      <c r="C18" s="47">
        <f t="shared" si="0"/>
        <v>5171777207.5817432</v>
      </c>
      <c r="D18" s="47">
        <f t="shared" si="1"/>
        <v>1883808029.7083356</v>
      </c>
      <c r="E18" s="47">
        <f t="shared" si="2"/>
        <v>642581499.88871741</v>
      </c>
      <c r="F18" s="47">
        <f t="shared" si="3"/>
        <v>1241226529.8196182</v>
      </c>
      <c r="G18" s="47">
        <f t="shared" si="4"/>
        <v>4529195707.6930256</v>
      </c>
    </row>
    <row r="19" spans="2:7" x14ac:dyDescent="0.3">
      <c r="B19" s="58">
        <v>12</v>
      </c>
      <c r="C19" s="47">
        <f t="shared" si="0"/>
        <v>4529195707.6930256</v>
      </c>
      <c r="D19" s="47">
        <f t="shared" si="1"/>
        <v>1883808029.7083356</v>
      </c>
      <c r="E19" s="47">
        <f t="shared" si="2"/>
        <v>796801059.86200953</v>
      </c>
      <c r="F19" s="47">
        <f t="shared" si="3"/>
        <v>1087006969.8463261</v>
      </c>
      <c r="G19" s="47">
        <f t="shared" si="4"/>
        <v>3732394647.8310161</v>
      </c>
    </row>
    <row r="20" spans="2:7" x14ac:dyDescent="0.3">
      <c r="B20" s="58">
        <v>13</v>
      </c>
      <c r="C20" s="47">
        <f t="shared" si="0"/>
        <v>3732394647.8310161</v>
      </c>
      <c r="D20" s="47">
        <f t="shared" si="1"/>
        <v>1883808029.7083356</v>
      </c>
      <c r="E20" s="47">
        <f t="shared" si="2"/>
        <v>988033314.22889185</v>
      </c>
      <c r="F20" s="47">
        <f t="shared" si="3"/>
        <v>895774715.47944379</v>
      </c>
      <c r="G20" s="47">
        <f t="shared" si="4"/>
        <v>2744361333.6021242</v>
      </c>
    </row>
    <row r="21" spans="2:7" x14ac:dyDescent="0.3">
      <c r="B21" s="58">
        <v>14</v>
      </c>
      <c r="C21" s="47">
        <f t="shared" si="0"/>
        <v>2744361333.6021242</v>
      </c>
      <c r="D21" s="47">
        <f t="shared" si="1"/>
        <v>1883808029.7083356</v>
      </c>
      <c r="E21" s="47">
        <f t="shared" si="2"/>
        <v>1225161309.643826</v>
      </c>
      <c r="F21" s="47">
        <f t="shared" si="3"/>
        <v>658646720.06450975</v>
      </c>
      <c r="G21" s="47">
        <f t="shared" si="4"/>
        <v>1519200023.9582982</v>
      </c>
    </row>
    <row r="22" spans="2:7" x14ac:dyDescent="0.3">
      <c r="B22" s="58">
        <v>15</v>
      </c>
      <c r="C22" s="47">
        <f t="shared" si="0"/>
        <v>1519200023.9582982</v>
      </c>
      <c r="D22" s="47">
        <f t="shared" si="1"/>
        <v>1883808029.7083356</v>
      </c>
      <c r="E22" s="47">
        <f t="shared" si="2"/>
        <v>1519200023.958344</v>
      </c>
      <c r="F22" s="47">
        <f t="shared" si="3"/>
        <v>364608005.74999154</v>
      </c>
      <c r="G22" s="47">
        <f t="shared" si="4"/>
        <v>-4.57763671875E-5</v>
      </c>
    </row>
    <row r="23" spans="2:7" x14ac:dyDescent="0.3">
      <c r="F23" s="4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65D5-D48E-4EF0-B163-96326BFD539F}">
  <dimension ref="A1:E21"/>
  <sheetViews>
    <sheetView workbookViewId="0">
      <selection activeCell="F8" sqref="F8"/>
    </sheetView>
  </sheetViews>
  <sheetFormatPr baseColWidth="10" defaultRowHeight="14.4" x14ac:dyDescent="0.3"/>
  <sheetData>
    <row r="1" spans="1:5" x14ac:dyDescent="0.3">
      <c r="A1" t="s">
        <v>168</v>
      </c>
    </row>
    <row r="3" spans="1:5" x14ac:dyDescent="0.3">
      <c r="A3" s="80" t="s">
        <v>167</v>
      </c>
      <c r="D3" s="80" t="s">
        <v>166</v>
      </c>
    </row>
    <row r="4" spans="1:5" x14ac:dyDescent="0.3">
      <c r="A4" t="s">
        <v>47</v>
      </c>
      <c r="B4" s="82">
        <v>1500</v>
      </c>
      <c r="D4" t="s">
        <v>157</v>
      </c>
    </row>
    <row r="5" spans="1:5" x14ac:dyDescent="0.3">
      <c r="A5" t="s">
        <v>165</v>
      </c>
      <c r="B5">
        <v>200</v>
      </c>
    </row>
    <row r="6" spans="1:5" x14ac:dyDescent="0.3">
      <c r="A6" t="s">
        <v>164</v>
      </c>
      <c r="B6" s="84">
        <v>0.37</v>
      </c>
      <c r="D6" t="s">
        <v>163</v>
      </c>
    </row>
    <row r="7" spans="1:5" x14ac:dyDescent="0.3">
      <c r="A7" t="s">
        <v>162</v>
      </c>
      <c r="B7" s="84">
        <v>0.1</v>
      </c>
      <c r="D7" t="s">
        <v>161</v>
      </c>
      <c r="E7" s="81">
        <f>B11</f>
        <v>300000</v>
      </c>
    </row>
    <row r="8" spans="1:5" x14ac:dyDescent="0.3">
      <c r="A8" t="s">
        <v>160</v>
      </c>
      <c r="B8" s="82">
        <v>260</v>
      </c>
      <c r="D8" t="s">
        <v>159</v>
      </c>
      <c r="E8" s="83">
        <f>B21*(1-E6)/E7</f>
        <v>1.5903333333333334E-3</v>
      </c>
    </row>
    <row r="9" spans="1:5" x14ac:dyDescent="0.3">
      <c r="A9" t="s">
        <v>158</v>
      </c>
      <c r="B9" s="82">
        <v>500</v>
      </c>
    </row>
    <row r="10" spans="1:5" x14ac:dyDescent="0.3">
      <c r="A10" t="s">
        <v>157</v>
      </c>
      <c r="D10" t="s">
        <v>156</v>
      </c>
      <c r="E10" s="79">
        <f>B21*E6</f>
        <v>0</v>
      </c>
    </row>
    <row r="11" spans="1:5" x14ac:dyDescent="0.3">
      <c r="A11" t="s">
        <v>155</v>
      </c>
      <c r="B11" s="81">
        <v>300000</v>
      </c>
      <c r="D11" t="s">
        <v>154</v>
      </c>
      <c r="E11" s="79">
        <f>B21</f>
        <v>477.1</v>
      </c>
    </row>
    <row r="12" spans="1:5" x14ac:dyDescent="0.3">
      <c r="D12" t="s">
        <v>153</v>
      </c>
    </row>
    <row r="13" spans="1:5" x14ac:dyDescent="0.3">
      <c r="A13" s="80" t="s">
        <v>152</v>
      </c>
    </row>
    <row r="14" spans="1:5" x14ac:dyDescent="0.3">
      <c r="A14" t="s">
        <v>151</v>
      </c>
      <c r="B14" s="79">
        <f>B4</f>
        <v>1500</v>
      </c>
    </row>
    <row r="15" spans="1:5" x14ac:dyDescent="0.3">
      <c r="A15" t="s">
        <v>150</v>
      </c>
      <c r="B15" s="79">
        <f>B5</f>
        <v>200</v>
      </c>
    </row>
    <row r="16" spans="1:5" x14ac:dyDescent="0.3">
      <c r="A16" t="s">
        <v>149</v>
      </c>
      <c r="B16" s="79">
        <f>B14-B15</f>
        <v>1300</v>
      </c>
    </row>
    <row r="17" spans="1:2" x14ac:dyDescent="0.3">
      <c r="A17" t="s">
        <v>148</v>
      </c>
      <c r="B17" s="79">
        <f>B16*B6</f>
        <v>481</v>
      </c>
    </row>
    <row r="18" spans="1:2" x14ac:dyDescent="0.3">
      <c r="A18" t="s">
        <v>147</v>
      </c>
      <c r="B18" s="79">
        <f>B16-B17</f>
        <v>819</v>
      </c>
    </row>
    <row r="19" spans="1:2" x14ac:dyDescent="0.3">
      <c r="A19" t="s">
        <v>146</v>
      </c>
      <c r="B19" s="79">
        <f>B18*B7</f>
        <v>81.900000000000006</v>
      </c>
    </row>
    <row r="20" spans="1:2" x14ac:dyDescent="0.3">
      <c r="A20" t="s">
        <v>145</v>
      </c>
      <c r="B20" s="79">
        <f>B8</f>
        <v>260</v>
      </c>
    </row>
    <row r="21" spans="1:2" x14ac:dyDescent="0.3">
      <c r="A21" t="s">
        <v>144</v>
      </c>
      <c r="B21" s="79">
        <f>B18-B19-B20</f>
        <v>477.1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7894-5A7F-4D12-B15B-2EAA471376A9}">
  <dimension ref="B1:R18"/>
  <sheetViews>
    <sheetView showGridLines="0" workbookViewId="0">
      <selection activeCell="H14" sqref="H14"/>
    </sheetView>
  </sheetViews>
  <sheetFormatPr baseColWidth="10" defaultRowHeight="14.4" x14ac:dyDescent="0.3"/>
  <cols>
    <col min="2" max="2" width="20.88671875" bestFit="1" customWidth="1"/>
  </cols>
  <sheetData>
    <row r="1" spans="2:18" ht="15" thickBot="1" x14ac:dyDescent="0.35"/>
    <row r="2" spans="2:18" x14ac:dyDescent="0.3">
      <c r="B2" s="60" t="s">
        <v>100</v>
      </c>
      <c r="C2" s="61">
        <v>45176</v>
      </c>
      <c r="G2" t="s">
        <v>100</v>
      </c>
      <c r="H2" s="59">
        <f>C2</f>
        <v>45176</v>
      </c>
      <c r="I2" s="59">
        <f>EDATE(H2,3)</f>
        <v>45267</v>
      </c>
      <c r="J2" s="59">
        <f t="shared" ref="J2:R2" si="0">EDATE(I2,3)</f>
        <v>45358</v>
      </c>
      <c r="K2" s="59">
        <f t="shared" si="0"/>
        <v>45450</v>
      </c>
      <c r="L2" s="59">
        <f t="shared" si="0"/>
        <v>45542</v>
      </c>
      <c r="M2" s="59">
        <f t="shared" si="0"/>
        <v>45633</v>
      </c>
      <c r="N2" s="59">
        <f t="shared" si="0"/>
        <v>45723</v>
      </c>
      <c r="O2" s="59">
        <f t="shared" si="0"/>
        <v>45815</v>
      </c>
      <c r="P2" s="59">
        <f t="shared" si="0"/>
        <v>45907</v>
      </c>
      <c r="Q2" s="59">
        <f t="shared" si="0"/>
        <v>45998</v>
      </c>
      <c r="R2" s="59">
        <f t="shared" si="0"/>
        <v>46088</v>
      </c>
    </row>
    <row r="3" spans="2:18" x14ac:dyDescent="0.3">
      <c r="B3" s="62" t="s">
        <v>103</v>
      </c>
      <c r="C3" s="63">
        <v>3</v>
      </c>
      <c r="D3" t="s">
        <v>102</v>
      </c>
      <c r="G3" t="s">
        <v>109</v>
      </c>
      <c r="H3" s="59"/>
      <c r="I3" s="68">
        <f>I2-H2</f>
        <v>91</v>
      </c>
      <c r="J3" s="68">
        <f t="shared" ref="J3:P3" si="1">J2-I2</f>
        <v>91</v>
      </c>
      <c r="K3" s="68">
        <f t="shared" si="1"/>
        <v>92</v>
      </c>
      <c r="L3" s="68">
        <f t="shared" si="1"/>
        <v>92</v>
      </c>
      <c r="M3" s="68">
        <f t="shared" si="1"/>
        <v>91</v>
      </c>
      <c r="N3" s="68">
        <f t="shared" si="1"/>
        <v>90</v>
      </c>
      <c r="O3" s="68">
        <f t="shared" si="1"/>
        <v>92</v>
      </c>
      <c r="P3" s="68">
        <f t="shared" si="1"/>
        <v>92</v>
      </c>
      <c r="Q3" s="68">
        <f>Q2-P2</f>
        <v>91</v>
      </c>
      <c r="R3" s="68">
        <f>R2-Q2</f>
        <v>90</v>
      </c>
    </row>
    <row r="4" spans="2:18" x14ac:dyDescent="0.3">
      <c r="B4" s="62" t="s">
        <v>101</v>
      </c>
      <c r="C4" s="64">
        <v>46272</v>
      </c>
      <c r="G4" t="s">
        <v>107</v>
      </c>
      <c r="H4">
        <f t="shared" ref="H4:R4" si="2">YEAR(H2)</f>
        <v>2023</v>
      </c>
      <c r="I4">
        <f t="shared" si="2"/>
        <v>2023</v>
      </c>
      <c r="J4">
        <f t="shared" si="2"/>
        <v>2024</v>
      </c>
      <c r="K4">
        <f t="shared" si="2"/>
        <v>2024</v>
      </c>
      <c r="L4">
        <f t="shared" si="2"/>
        <v>2024</v>
      </c>
      <c r="M4">
        <f t="shared" si="2"/>
        <v>2024</v>
      </c>
      <c r="N4">
        <f t="shared" si="2"/>
        <v>2025</v>
      </c>
      <c r="O4">
        <f t="shared" si="2"/>
        <v>2025</v>
      </c>
      <c r="P4">
        <f t="shared" si="2"/>
        <v>2025</v>
      </c>
      <c r="Q4">
        <f t="shared" si="2"/>
        <v>2025</v>
      </c>
      <c r="R4">
        <f t="shared" si="2"/>
        <v>2026</v>
      </c>
    </row>
    <row r="5" spans="2:18" x14ac:dyDescent="0.3">
      <c r="B5" s="62" t="s">
        <v>93</v>
      </c>
      <c r="C5" s="63">
        <v>5000</v>
      </c>
      <c r="D5" t="s">
        <v>104</v>
      </c>
      <c r="G5" t="s">
        <v>110</v>
      </c>
      <c r="H5">
        <f>MONTH(H2)</f>
        <v>9</v>
      </c>
      <c r="I5">
        <f t="shared" ref="I5:R5" si="3">MONTH(I2)</f>
        <v>12</v>
      </c>
      <c r="J5">
        <f t="shared" si="3"/>
        <v>3</v>
      </c>
      <c r="K5">
        <f t="shared" si="3"/>
        <v>6</v>
      </c>
      <c r="L5">
        <f t="shared" si="3"/>
        <v>9</v>
      </c>
      <c r="M5">
        <f t="shared" si="3"/>
        <v>12</v>
      </c>
      <c r="N5">
        <f t="shared" si="3"/>
        <v>3</v>
      </c>
      <c r="O5">
        <f t="shared" si="3"/>
        <v>6</v>
      </c>
      <c r="P5">
        <f t="shared" si="3"/>
        <v>9</v>
      </c>
      <c r="Q5">
        <f t="shared" si="3"/>
        <v>12</v>
      </c>
      <c r="R5">
        <f t="shared" si="3"/>
        <v>3</v>
      </c>
    </row>
    <row r="6" spans="2:18" x14ac:dyDescent="0.3">
      <c r="B6" s="62" t="s">
        <v>105</v>
      </c>
      <c r="C6" s="67">
        <v>0.12330000000000001</v>
      </c>
      <c r="G6" t="s">
        <v>55</v>
      </c>
      <c r="H6">
        <v>0</v>
      </c>
      <c r="I6">
        <f>H6+1</f>
        <v>1</v>
      </c>
      <c r="J6">
        <f t="shared" ref="J6:R6" si="4">I6+1</f>
        <v>2</v>
      </c>
      <c r="K6">
        <f t="shared" si="4"/>
        <v>3</v>
      </c>
      <c r="L6">
        <f t="shared" si="4"/>
        <v>4</v>
      </c>
      <c r="M6">
        <f t="shared" si="4"/>
        <v>5</v>
      </c>
      <c r="N6">
        <f t="shared" si="4"/>
        <v>6</v>
      </c>
      <c r="O6">
        <f t="shared" si="4"/>
        <v>7</v>
      </c>
      <c r="P6">
        <f t="shared" si="4"/>
        <v>8</v>
      </c>
      <c r="Q6">
        <f t="shared" si="4"/>
        <v>9</v>
      </c>
      <c r="R6">
        <f t="shared" si="4"/>
        <v>10</v>
      </c>
    </row>
    <row r="7" spans="2:18" x14ac:dyDescent="0.3">
      <c r="B7" s="62" t="s">
        <v>94</v>
      </c>
      <c r="C7" s="65">
        <v>0.09</v>
      </c>
      <c r="G7" t="s">
        <v>111</v>
      </c>
      <c r="I7" s="70">
        <f>$C$8*(I3/360)</f>
        <v>5.3917499999999993E-2</v>
      </c>
      <c r="J7" s="70">
        <f t="shared" ref="J7:O7" si="5">$C$8*(J3/360)</f>
        <v>5.3917499999999993E-2</v>
      </c>
      <c r="K7" s="70">
        <f t="shared" si="5"/>
        <v>5.4509999999999996E-2</v>
      </c>
      <c r="L7" s="70">
        <f t="shared" si="5"/>
        <v>5.4509999999999996E-2</v>
      </c>
      <c r="M7" s="70">
        <f t="shared" si="5"/>
        <v>5.3917499999999993E-2</v>
      </c>
      <c r="N7" s="70">
        <f t="shared" si="5"/>
        <v>5.3324999999999997E-2</v>
      </c>
      <c r="O7" s="70">
        <f t="shared" si="5"/>
        <v>5.4509999999999996E-2</v>
      </c>
      <c r="P7" s="70">
        <f>$C$8*(P3/360)</f>
        <v>5.4509999999999996E-2</v>
      </c>
      <c r="Q7" s="70">
        <f>$C$8*(Q3/360)</f>
        <v>5.3917499999999993E-2</v>
      </c>
      <c r="R7" s="70">
        <f>$C$8*(R3/360)</f>
        <v>5.3324999999999997E-2</v>
      </c>
    </row>
    <row r="8" spans="2:18" x14ac:dyDescent="0.3">
      <c r="B8" s="62" t="s">
        <v>112</v>
      </c>
      <c r="C8" s="65">
        <f>C6+C7</f>
        <v>0.21329999999999999</v>
      </c>
      <c r="G8" t="s">
        <v>60</v>
      </c>
      <c r="H8">
        <f>H9</f>
        <v>5000</v>
      </c>
      <c r="I8" s="68">
        <f>H8-I11</f>
        <v>5000</v>
      </c>
      <c r="J8">
        <f t="shared" ref="J8:R8" si="6">I8-J11</f>
        <v>5000</v>
      </c>
      <c r="K8">
        <f t="shared" si="6"/>
        <v>5000</v>
      </c>
      <c r="L8">
        <f t="shared" si="6"/>
        <v>5000</v>
      </c>
      <c r="M8">
        <f t="shared" si="6"/>
        <v>5000</v>
      </c>
      <c r="N8">
        <f t="shared" si="6"/>
        <v>5000</v>
      </c>
      <c r="O8">
        <f t="shared" si="6"/>
        <v>5000</v>
      </c>
      <c r="P8">
        <f t="shared" si="6"/>
        <v>5000</v>
      </c>
      <c r="Q8">
        <f t="shared" si="6"/>
        <v>5000</v>
      </c>
      <c r="R8">
        <f t="shared" si="6"/>
        <v>0</v>
      </c>
    </row>
    <row r="9" spans="2:18" x14ac:dyDescent="0.3">
      <c r="B9" s="62" t="s">
        <v>95</v>
      </c>
      <c r="C9" s="63" t="s">
        <v>96</v>
      </c>
      <c r="G9" t="s">
        <v>106</v>
      </c>
      <c r="H9">
        <f>C5</f>
        <v>5000</v>
      </c>
    </row>
    <row r="10" spans="2:18" x14ac:dyDescent="0.3">
      <c r="B10" s="62" t="s">
        <v>97</v>
      </c>
      <c r="C10" s="63" t="s">
        <v>98</v>
      </c>
      <c r="G10" t="s">
        <v>108</v>
      </c>
      <c r="I10" s="68">
        <f>H8*I7</f>
        <v>269.58749999999998</v>
      </c>
      <c r="J10" s="68">
        <f t="shared" ref="J10:O10" si="7">I8*J7</f>
        <v>269.58749999999998</v>
      </c>
      <c r="K10" s="68">
        <f t="shared" si="7"/>
        <v>272.54999999999995</v>
      </c>
      <c r="L10" s="68">
        <f t="shared" si="7"/>
        <v>272.54999999999995</v>
      </c>
      <c r="M10" s="68">
        <f t="shared" si="7"/>
        <v>269.58749999999998</v>
      </c>
      <c r="N10" s="68">
        <f t="shared" si="7"/>
        <v>266.625</v>
      </c>
      <c r="O10" s="68">
        <f t="shared" si="7"/>
        <v>272.54999999999995</v>
      </c>
      <c r="P10" s="68">
        <f>O8*P7</f>
        <v>272.54999999999995</v>
      </c>
      <c r="Q10" s="68">
        <f>P8*Q7</f>
        <v>269.58749999999998</v>
      </c>
      <c r="R10" s="68">
        <f>Q8*R7</f>
        <v>266.625</v>
      </c>
    </row>
    <row r="11" spans="2:18" ht="15" thickBot="1" x14ac:dyDescent="0.35">
      <c r="B11" s="66" t="s">
        <v>99</v>
      </c>
      <c r="C11" s="69">
        <v>0.03</v>
      </c>
      <c r="D11" t="s">
        <v>106</v>
      </c>
      <c r="G11" t="s">
        <v>97</v>
      </c>
      <c r="I11" s="68"/>
      <c r="J11" s="68"/>
      <c r="K11" s="68"/>
      <c r="L11" s="68"/>
      <c r="M11" s="68"/>
      <c r="N11" s="68"/>
      <c r="O11" s="68"/>
      <c r="P11" s="68"/>
      <c r="Q11" s="68"/>
      <c r="R11" s="68">
        <f>$C$5</f>
        <v>5000</v>
      </c>
    </row>
    <row r="12" spans="2:18" x14ac:dyDescent="0.3">
      <c r="G12" t="s">
        <v>113</v>
      </c>
      <c r="I12" s="68">
        <f>I10+I11</f>
        <v>269.58749999999998</v>
      </c>
      <c r="J12" s="68">
        <f t="shared" ref="J12:Q12" si="8">J10+J11</f>
        <v>269.58749999999998</v>
      </c>
      <c r="K12" s="68">
        <f t="shared" si="8"/>
        <v>272.54999999999995</v>
      </c>
      <c r="L12" s="68">
        <f t="shared" si="8"/>
        <v>272.54999999999995</v>
      </c>
      <c r="M12" s="68">
        <f t="shared" si="8"/>
        <v>269.58749999999998</v>
      </c>
      <c r="N12" s="68">
        <f t="shared" si="8"/>
        <v>266.625</v>
      </c>
      <c r="O12" s="68">
        <f t="shared" si="8"/>
        <v>272.54999999999995</v>
      </c>
      <c r="P12" s="68">
        <f t="shared" si="8"/>
        <v>272.54999999999995</v>
      </c>
      <c r="Q12" s="68">
        <f t="shared" si="8"/>
        <v>269.58749999999998</v>
      </c>
      <c r="R12" s="68">
        <f>R10+R11</f>
        <v>5266.625</v>
      </c>
    </row>
    <row r="13" spans="2:18" x14ac:dyDescent="0.3">
      <c r="G13" t="s">
        <v>114</v>
      </c>
      <c r="H13">
        <f>$C$11*H9</f>
        <v>150</v>
      </c>
    </row>
    <row r="15" spans="2:18" x14ac:dyDescent="0.3">
      <c r="G15" t="s">
        <v>115</v>
      </c>
      <c r="H15">
        <f>H8-H13</f>
        <v>4850</v>
      </c>
      <c r="I15" s="68">
        <f>-I12</f>
        <v>-269.58749999999998</v>
      </c>
      <c r="J15" s="68">
        <f t="shared" ref="J15:R15" si="9">-J12</f>
        <v>-269.58749999999998</v>
      </c>
      <c r="K15" s="68">
        <f t="shared" si="9"/>
        <v>-272.54999999999995</v>
      </c>
      <c r="L15" s="68">
        <f t="shared" si="9"/>
        <v>-272.54999999999995</v>
      </c>
      <c r="M15" s="68">
        <f t="shared" si="9"/>
        <v>-269.58749999999998</v>
      </c>
      <c r="N15" s="68">
        <f t="shared" si="9"/>
        <v>-266.625</v>
      </c>
      <c r="O15" s="68">
        <f t="shared" si="9"/>
        <v>-272.54999999999995</v>
      </c>
      <c r="P15" s="68">
        <f t="shared" si="9"/>
        <v>-272.54999999999995</v>
      </c>
      <c r="Q15" s="68">
        <f t="shared" si="9"/>
        <v>-269.58749999999998</v>
      </c>
      <c r="R15" s="68">
        <f t="shared" si="9"/>
        <v>-5266.625</v>
      </c>
    </row>
    <row r="16" spans="2:18" x14ac:dyDescent="0.3">
      <c r="G16" t="s">
        <v>116</v>
      </c>
      <c r="H16" s="71">
        <f>IRR(H15:R15)</f>
        <v>5.8090027004754852E-2</v>
      </c>
    </row>
    <row r="17" spans="7:8" x14ac:dyDescent="0.3">
      <c r="G17" t="s">
        <v>117</v>
      </c>
      <c r="H17" s="72">
        <f>H16*(360/I3)</f>
        <v>0.22980670023859062</v>
      </c>
    </row>
    <row r="18" spans="7:8" x14ac:dyDescent="0.3">
      <c r="G18" t="s">
        <v>118</v>
      </c>
      <c r="H18" s="72">
        <f>EFFECT(H17,360/I3)</f>
        <v>0.24785990114130541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5715-833D-4960-8761-D767211FFB83}">
  <dimension ref="B2:C13"/>
  <sheetViews>
    <sheetView showGridLines="0" workbookViewId="0">
      <selection activeCell="C6" sqref="C6"/>
    </sheetView>
  </sheetViews>
  <sheetFormatPr baseColWidth="10" defaultRowHeight="14.4" x14ac:dyDescent="0.3"/>
  <sheetData>
    <row r="2" spans="2:3" x14ac:dyDescent="0.3">
      <c r="B2" t="s">
        <v>122</v>
      </c>
      <c r="C2" s="59">
        <v>45177</v>
      </c>
    </row>
    <row r="3" spans="2:3" x14ac:dyDescent="0.3">
      <c r="B3" t="s">
        <v>101</v>
      </c>
      <c r="C3" s="59">
        <v>47004</v>
      </c>
    </row>
    <row r="4" spans="2:3" x14ac:dyDescent="0.3">
      <c r="B4" t="s">
        <v>123</v>
      </c>
      <c r="C4" s="59">
        <f>COUPNCD(C2,C3,2,3)</f>
        <v>45359</v>
      </c>
    </row>
    <row r="5" spans="2:3" x14ac:dyDescent="0.3">
      <c r="B5" t="s">
        <v>124</v>
      </c>
      <c r="C5" s="68">
        <f>C4-C2</f>
        <v>182</v>
      </c>
    </row>
    <row r="6" spans="2:3" x14ac:dyDescent="0.3">
      <c r="B6" t="s">
        <v>119</v>
      </c>
      <c r="C6" s="73">
        <v>0.1143</v>
      </c>
    </row>
    <row r="7" spans="2:3" x14ac:dyDescent="0.3">
      <c r="B7" t="s">
        <v>94</v>
      </c>
      <c r="C7" s="73">
        <v>6.5000000000000002E-2</v>
      </c>
    </row>
    <row r="8" spans="2:3" x14ac:dyDescent="0.3">
      <c r="B8" t="s">
        <v>120</v>
      </c>
      <c r="C8" s="73">
        <f>(1+C6)*(1+C7)-1</f>
        <v>0.18672949999999999</v>
      </c>
    </row>
    <row r="9" spans="2:3" x14ac:dyDescent="0.3">
      <c r="B9" t="s">
        <v>121</v>
      </c>
      <c r="C9" s="72">
        <f>NOMINAL(C8,365/C5)*(C5/365)</f>
        <v>8.9126296411762312E-2</v>
      </c>
    </row>
    <row r="11" spans="2:3" x14ac:dyDescent="0.3">
      <c r="C11" s="72"/>
    </row>
    <row r="12" spans="2:3" x14ac:dyDescent="0.3">
      <c r="C12" s="72"/>
    </row>
    <row r="13" spans="2:3" x14ac:dyDescent="0.3">
      <c r="C13" s="7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6A58-C26E-4226-8BD3-8A383552C090}">
  <dimension ref="A1:E7"/>
  <sheetViews>
    <sheetView workbookViewId="0">
      <selection activeCell="C9" sqref="C9"/>
    </sheetView>
  </sheetViews>
  <sheetFormatPr baseColWidth="10" defaultRowHeight="14.4" x14ac:dyDescent="0.3"/>
  <cols>
    <col min="1" max="1" width="17.33203125" bestFit="1" customWidth="1"/>
  </cols>
  <sheetData>
    <row r="1" spans="1:5" x14ac:dyDescent="0.3">
      <c r="A1" t="s">
        <v>136</v>
      </c>
      <c r="B1" t="s">
        <v>137</v>
      </c>
      <c r="C1" t="s">
        <v>138</v>
      </c>
      <c r="D1" s="78" t="s">
        <v>134</v>
      </c>
    </row>
    <row r="2" spans="1:5" x14ac:dyDescent="0.3">
      <c r="A2" t="s">
        <v>135</v>
      </c>
      <c r="B2" t="s">
        <v>129</v>
      </c>
      <c r="C2" s="76">
        <f>888391.38/14426060</f>
        <v>6.1582398797731329E-2</v>
      </c>
      <c r="D2" s="78">
        <v>1.2</v>
      </c>
      <c r="E2" s="76">
        <f>C2*D2</f>
        <v>7.3898878557277586E-2</v>
      </c>
    </row>
    <row r="3" spans="1:5" x14ac:dyDescent="0.3">
      <c r="A3" t="s">
        <v>140</v>
      </c>
      <c r="B3" t="s">
        <v>130</v>
      </c>
      <c r="C3" s="76">
        <f>356177.84/14426060</f>
        <v>2.4689890378939226E-2</v>
      </c>
      <c r="D3" s="78">
        <v>1.4</v>
      </c>
      <c r="E3" s="76">
        <f t="shared" ref="E3:E6" si="0">C3*D3</f>
        <v>3.4565846530514914E-2</v>
      </c>
    </row>
    <row r="4" spans="1:5" x14ac:dyDescent="0.3">
      <c r="A4" t="s">
        <v>141</v>
      </c>
      <c r="B4" t="s">
        <v>131</v>
      </c>
      <c r="C4" s="76">
        <f>1396391.63/14426060</f>
        <v>9.6796466256205776E-2</v>
      </c>
      <c r="D4" s="78">
        <v>3.3</v>
      </c>
      <c r="E4" s="76">
        <f t="shared" si="0"/>
        <v>0.31942833864547904</v>
      </c>
    </row>
    <row r="5" spans="1:5" x14ac:dyDescent="0.3">
      <c r="A5" t="s">
        <v>142</v>
      </c>
      <c r="B5" t="s">
        <v>132</v>
      </c>
      <c r="C5" s="76">
        <f>3102920.5/8513275</f>
        <v>0.36448023821619763</v>
      </c>
      <c r="D5" s="78">
        <v>0.6</v>
      </c>
      <c r="E5" s="76">
        <f t="shared" si="0"/>
        <v>0.21868814292971858</v>
      </c>
    </row>
    <row r="6" spans="1:5" x14ac:dyDescent="0.3">
      <c r="A6" t="s">
        <v>143</v>
      </c>
      <c r="B6" t="s">
        <v>133</v>
      </c>
      <c r="C6" s="76">
        <v>0.4</v>
      </c>
      <c r="D6" s="78">
        <v>0.99</v>
      </c>
      <c r="E6" s="76">
        <f t="shared" si="0"/>
        <v>0.39600000000000002</v>
      </c>
    </row>
    <row r="7" spans="1:5" x14ac:dyDescent="0.3">
      <c r="D7" t="s">
        <v>139</v>
      </c>
      <c r="E7" s="77">
        <f>SUM(E2:E6)</f>
        <v>1.04258120666299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A887D207E7776419D3596A8D2B7CD6A" ma:contentTypeVersion="4" ma:contentTypeDescription="Crear nuevo documento." ma:contentTypeScope="" ma:versionID="cc1ee249f0ae317f385a0683aa3f786d">
  <xsd:schema xmlns:xsd="http://www.w3.org/2001/XMLSchema" xmlns:xs="http://www.w3.org/2001/XMLSchema" xmlns:p="http://schemas.microsoft.com/office/2006/metadata/properties" xmlns:ns2="51785744-cd27-44e9-8e88-704971e4b245" targetNamespace="http://schemas.microsoft.com/office/2006/metadata/properties" ma:root="true" ma:fieldsID="5243f6113f813d79d0e006ccf46d2f97" ns2:_="">
    <xsd:import namespace="51785744-cd27-44e9-8e88-704971e4b2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85744-cd27-44e9-8e88-704971e4b2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E794E-3766-440D-A68A-CFD46FF178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85744-cd27-44e9-8e88-704971e4b2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DEE34D-8CAB-43A1-BB5B-2E16A40105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90E1EDE-D1DB-463B-B2F2-71BFA57BA9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PyG</vt:lpstr>
      <vt:lpstr>Deuda</vt:lpstr>
      <vt:lpstr>Hoja1</vt:lpstr>
      <vt:lpstr>Credito</vt:lpstr>
      <vt:lpstr>Bono</vt:lpstr>
      <vt:lpstr>Z 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Nicolás González Jaramillo</cp:lastModifiedBy>
  <cp:revision/>
  <dcterms:created xsi:type="dcterms:W3CDTF">2022-02-04T22:59:01Z</dcterms:created>
  <dcterms:modified xsi:type="dcterms:W3CDTF">2023-09-16T13:32:11Z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0x0101006A887D207E7776419D3596A8D2B7CD6A</vt:lpwstr>
  </property>
</Properties>
</file>