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Finanzas Corporativas\"/>
    </mc:Choice>
  </mc:AlternateContent>
  <xr:revisionPtr revIDLastSave="0" documentId="8_{A34AFF69-F97D-428A-A553-712784037D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nto 1" sheetId="1" r:id="rId1"/>
    <sheet name="Punto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2" l="1"/>
  <c r="J23" i="2"/>
  <c r="D44" i="1"/>
  <c r="I14" i="2"/>
  <c r="J24" i="2"/>
  <c r="J21" i="2"/>
  <c r="J22" i="2" s="1"/>
  <c r="J20" i="2"/>
  <c r="J19" i="2"/>
  <c r="J18" i="2"/>
  <c r="J17" i="2"/>
  <c r="C42" i="2"/>
  <c r="C26" i="2"/>
  <c r="J31" i="1"/>
  <c r="E31" i="1"/>
  <c r="F41" i="2"/>
  <c r="C41" i="2"/>
  <c r="C35" i="2"/>
  <c r="C27" i="2"/>
  <c r="C32" i="2" s="1"/>
  <c r="C23" i="2"/>
  <c r="C24" i="2" s="1"/>
  <c r="C36" i="2" s="1"/>
  <c r="C50" i="1"/>
  <c r="C44" i="1"/>
  <c r="B50" i="1"/>
  <c r="D50" i="1" s="1"/>
  <c r="B44" i="1"/>
  <c r="H36" i="1"/>
  <c r="C34" i="1"/>
  <c r="E29" i="1" s="1"/>
  <c r="H29" i="1"/>
  <c r="J29" i="1" s="1"/>
  <c r="D13" i="1"/>
  <c r="E13" i="1" s="1"/>
  <c r="F13" i="1" s="1"/>
  <c r="G13" i="1" s="1"/>
  <c r="H13" i="1" s="1"/>
  <c r="I13" i="1" s="1"/>
  <c r="I15" i="1" s="1"/>
  <c r="F32" i="2" l="1"/>
  <c r="C25" i="2"/>
  <c r="D15" i="1"/>
  <c r="E15" i="1"/>
  <c r="F15" i="1"/>
  <c r="G15" i="1"/>
  <c r="H15" i="1"/>
  <c r="C28" i="2" l="1"/>
  <c r="D25" i="2"/>
  <c r="D28" i="2" l="1"/>
  <c r="F31" i="2"/>
  <c r="F33" i="2" s="1"/>
  <c r="C30" i="2"/>
  <c r="C31" i="2" l="1"/>
  <c r="C33" i="2" s="1"/>
  <c r="C37" i="2"/>
  <c r="C38" i="2" s="1"/>
  <c r="C40" i="2" s="1"/>
  <c r="F38" i="2" s="1"/>
  <c r="F39" i="2" s="1"/>
  <c r="F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ALBERTO SÁNCHEZ RIBERO</author>
  </authors>
  <commentList>
    <comment ref="C13" authorId="0" shapeId="0" xr:uid="{B895E07A-1F55-4F49-B6BC-66F359176BD4}">
      <text>
        <r>
          <rPr>
            <b/>
            <sz val="9"/>
            <color indexed="81"/>
            <rFont val="Tahoma"/>
            <family val="2"/>
          </rPr>
          <t>GUSTAVO ALBERTO SÁNCHEZ RIBERO:</t>
        </r>
        <r>
          <rPr>
            <sz val="9"/>
            <color indexed="81"/>
            <rFont val="Tahoma"/>
            <family val="2"/>
          </rPr>
          <t xml:space="preserve">
Sobre los ingresos</t>
        </r>
      </text>
    </comment>
    <comment ref="C17" authorId="0" shapeId="0" xr:uid="{584BFFFE-0F93-41AF-B5EB-C29A9D946862}">
      <text>
        <r>
          <rPr>
            <b/>
            <sz val="9"/>
            <color indexed="81"/>
            <rFont val="Tahoma"/>
            <family val="2"/>
          </rPr>
          <t>GUSTAVO ALBERTO SÁNCHEZ RIBERO:</t>
        </r>
        <r>
          <rPr>
            <sz val="9"/>
            <color indexed="81"/>
            <rFont val="Tahoma"/>
            <family val="2"/>
          </rPr>
          <t xml:space="preserve">
Sobre los ingresos</t>
        </r>
      </text>
    </comment>
  </commentList>
</comments>
</file>

<file path=xl/sharedStrings.xml><?xml version="1.0" encoding="utf-8"?>
<sst xmlns="http://schemas.openxmlformats.org/spreadsheetml/2006/main" count="99" uniqueCount="75">
  <si>
    <t>Parcial Decisiones de Inversión (septiembre 09 de 2023)</t>
  </si>
  <si>
    <t>Grupo 5732 - EAFIT Bogotá</t>
  </si>
  <si>
    <t xml:space="preserve">Profesor: Gustavo A Sánchez R. </t>
  </si>
  <si>
    <t>Primera Parte: Criterios de Decisión de Inversión</t>
  </si>
  <si>
    <t xml:space="preserve">Supuestos: </t>
  </si>
  <si>
    <t>WACC</t>
  </si>
  <si>
    <t xml:space="preserve">1. Calcule el Payback y el Payback Ajustado </t>
  </si>
  <si>
    <t>FCL</t>
  </si>
  <si>
    <t xml:space="preserve">Payback </t>
  </si>
  <si>
    <t xml:space="preserve">Paybacj Ajustado </t>
  </si>
  <si>
    <t>2. En su empresa el área técnica la presenta las siguientes alternativas, las cuales requiere sean analizadas financieramente</t>
  </si>
  <si>
    <t xml:space="preserve">y se determine a cual de las alternativas le asignarán los recursos. </t>
  </si>
  <si>
    <t>Proyecto A</t>
  </si>
  <si>
    <t>Proyecto B</t>
  </si>
  <si>
    <t>Gasto O&amp;M</t>
  </si>
  <si>
    <t xml:space="preserve">Anual </t>
  </si>
  <si>
    <t xml:space="preserve">Disposición Final </t>
  </si>
  <si>
    <t>Sobre valor de la inversión</t>
  </si>
  <si>
    <t>Inversión</t>
  </si>
  <si>
    <t>Vida útil</t>
  </si>
  <si>
    <t>3. Determine bajo el criterio financiero la mejor alternativa</t>
  </si>
  <si>
    <t xml:space="preserve">Segunda Parte: Presupuesto de Capital </t>
  </si>
  <si>
    <t>(millones de pesos)</t>
  </si>
  <si>
    <t xml:space="preserve">Rotación (días) CXC </t>
  </si>
  <si>
    <t xml:space="preserve">Supuestos </t>
  </si>
  <si>
    <t xml:space="preserve">Rotación (días) CXP </t>
  </si>
  <si>
    <t>1. No incluye deuda</t>
  </si>
  <si>
    <t>Ingresos</t>
  </si>
  <si>
    <t>Gastos Operacionales</t>
  </si>
  <si>
    <t>Preguntas (para el año 2023)</t>
  </si>
  <si>
    <t>Arrendamiento activos LP</t>
  </si>
  <si>
    <t xml:space="preserve">1. Calcule el FCL </t>
  </si>
  <si>
    <t>Margen Bruto</t>
  </si>
  <si>
    <t>2. Calcule el KTO, KTNO, PKT, PDC, ROIC, EBITDAR</t>
  </si>
  <si>
    <t>Depreciación Período</t>
  </si>
  <si>
    <t xml:space="preserve">Capex </t>
  </si>
  <si>
    <t>PPE Neta 2022</t>
  </si>
  <si>
    <t>Imporenta</t>
  </si>
  <si>
    <t>KTNO 2022</t>
  </si>
  <si>
    <t>VNA</t>
  </si>
  <si>
    <t>TIR</t>
  </si>
  <si>
    <t>CAE</t>
  </si>
  <si>
    <t>Nicolás González</t>
  </si>
  <si>
    <t>Costos de Venta</t>
  </si>
  <si>
    <t>Gross Profit</t>
  </si>
  <si>
    <t>Depreciacion</t>
  </si>
  <si>
    <t>Utilidad Operacional</t>
  </si>
  <si>
    <t>Impusto Op</t>
  </si>
  <si>
    <t>NOPAT</t>
  </si>
  <si>
    <t>FCB</t>
  </si>
  <si>
    <t>KTNO</t>
  </si>
  <si>
    <t>Cxc</t>
  </si>
  <si>
    <t>Cxp</t>
  </si>
  <si>
    <t>KTNO 2023</t>
  </si>
  <si>
    <t>Var KNTO</t>
  </si>
  <si>
    <t>Capex</t>
  </si>
  <si>
    <t>Impuesto</t>
  </si>
  <si>
    <t>Depreciaciones</t>
  </si>
  <si>
    <t>FCLOP</t>
  </si>
  <si>
    <t>KTO</t>
  </si>
  <si>
    <t>PKT</t>
  </si>
  <si>
    <t>PDC</t>
  </si>
  <si>
    <t>EBITDAR</t>
  </si>
  <si>
    <t>Margen EBITDAR</t>
  </si>
  <si>
    <t>ROIC</t>
  </si>
  <si>
    <t>Capital Inv</t>
  </si>
  <si>
    <t xml:space="preserve">Se elige el proyecto B dado que el costo anual equivalente de esta alternativa es menor </t>
  </si>
  <si>
    <t>Se elige el proyecto A dado su mayor VPN y CAE, a pesar de tener una inversión superior</t>
  </si>
  <si>
    <t>El proyecto B tiene una mayor TIR dada la concentración de flujos y la recuperación temprana de la inversión inicial, pero esta opción deja rentabilidad sobre la mesa al tener un VPN menor que se da en el mismo horizonte que el del proyecto A</t>
  </si>
  <si>
    <t>No se recupera nunca la inversion</t>
  </si>
  <si>
    <t>Periodos</t>
  </si>
  <si>
    <t>Daniel Gómez</t>
  </si>
  <si>
    <t>Indicadores</t>
  </si>
  <si>
    <t>Check</t>
  </si>
  <si>
    <t>Gastos Op y Arriendos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</si>
</sst>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&quot;$&quot;#,##0;[Red]\-&quot;$&quot;#,##0"/>
    <numFmt numFmtId="166" formatCode="_-&quot;$&quot;* #,##0_-;\-&quot;$&quot;* #,##0_-;_-&quot;$&quot;* &quot;-&quot;_-;_-@_-"/>
    <numFmt numFmtId="167" formatCode="0.0%"/>
    <numFmt numFmtId="168" formatCode="&quot;$&quot;\ #,##0"/>
    <numFmt numFmtId="169" formatCode="_-* #,##0_-;\-* #,##0_-;_-* &quot;-&quot;??_-;_-@_-"/>
    <numFmt numFmtId="170" formatCode="_-&quot;$&quot;\ * #,##0_-;\-&quot;$&quot;\ * #,##0_-;_-&quot;$&quot;\ * &quot;-&quot;??_-;_-@_-"/>
    <numFmt numFmtId="171" formatCode="#,##0_ ;[Red]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B0F0"/>
      <name val="Arial Narrow"/>
      <family val="2"/>
    </font>
    <font>
      <sz val="10"/>
      <name val="Arial Narrow"/>
      <family val="2"/>
    </font>
    <font>
      <sz val="14"/>
      <color theme="1"/>
      <name val="Arial Narrow"/>
      <family val="2"/>
    </font>
    <font>
      <b/>
      <sz val="14"/>
      <color rgb="FF00B0F0"/>
      <name val="Arial Narrow"/>
      <family val="2"/>
    </font>
    <font>
      <sz val="14"/>
      <color rgb="FF00B0F0"/>
      <name val="Arial Narrow"/>
      <family val="2"/>
    </font>
    <font>
      <i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Arial Narrow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2" fillId="0" borderId="0" xfId="0" applyNumberFormat="1" applyFont="1"/>
    <xf numFmtId="9" fontId="2" fillId="0" borderId="0" xfId="0" applyNumberFormat="1" applyFont="1"/>
    <xf numFmtId="166" fontId="2" fillId="0" borderId="0" xfId="2" applyFont="1"/>
    <xf numFmtId="0" fontId="5" fillId="0" borderId="1" xfId="0" applyFont="1" applyBorder="1"/>
    <xf numFmtId="165" fontId="2" fillId="0" borderId="0" xfId="2" applyNumberFormat="1" applyFont="1"/>
    <xf numFmtId="165" fontId="7" fillId="0" borderId="0" xfId="2" applyNumberFormat="1" applyFont="1" applyFill="1"/>
    <xf numFmtId="9" fontId="4" fillId="0" borderId="0" xfId="0" applyNumberFormat="1" applyFont="1"/>
    <xf numFmtId="164" fontId="2" fillId="0" borderId="0" xfId="0" applyNumberFormat="1" applyFont="1"/>
    <xf numFmtId="0" fontId="8" fillId="0" borderId="0" xfId="0" applyFont="1"/>
    <xf numFmtId="167" fontId="2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0" fillId="0" borderId="1" xfId="0" applyFont="1" applyBorder="1"/>
    <xf numFmtId="167" fontId="4" fillId="0" borderId="0" xfId="0" applyNumberFormat="1" applyFont="1"/>
    <xf numFmtId="0" fontId="1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3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9" fontId="3" fillId="0" borderId="0" xfId="0" applyNumberFormat="1" applyFont="1"/>
    <xf numFmtId="168" fontId="4" fillId="0" borderId="0" xfId="0" applyNumberFormat="1" applyFont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3" fillId="2" borderId="0" xfId="0" applyFont="1" applyFill="1"/>
    <xf numFmtId="0" fontId="15" fillId="0" borderId="0" xfId="0" applyFont="1"/>
    <xf numFmtId="0" fontId="11" fillId="0" borderId="1" xfId="0" applyFont="1" applyBorder="1"/>
    <xf numFmtId="0" fontId="0" fillId="0" borderId="1" xfId="0" applyBorder="1"/>
    <xf numFmtId="0" fontId="8" fillId="0" borderId="1" xfId="0" applyFont="1" applyBorder="1"/>
    <xf numFmtId="164" fontId="3" fillId="0" borderId="0" xfId="0" applyNumberFormat="1" applyFont="1"/>
    <xf numFmtId="44" fontId="3" fillId="0" borderId="0" xfId="0" applyNumberFormat="1" applyFont="1"/>
    <xf numFmtId="169" fontId="2" fillId="0" borderId="0" xfId="3" applyNumberFormat="1" applyFont="1"/>
    <xf numFmtId="43" fontId="0" fillId="0" borderId="0" xfId="0" applyNumberFormat="1"/>
    <xf numFmtId="8" fontId="0" fillId="0" borderId="0" xfId="0" applyNumberFormat="1"/>
    <xf numFmtId="44" fontId="2" fillId="0" borderId="0" xfId="0" applyNumberFormat="1" applyFont="1"/>
    <xf numFmtId="9" fontId="2" fillId="0" borderId="0" xfId="4" applyFont="1"/>
    <xf numFmtId="8" fontId="3" fillId="0" borderId="0" xfId="0" applyNumberFormat="1" applyFont="1"/>
    <xf numFmtId="0" fontId="5" fillId="4" borderId="1" xfId="0" applyFont="1" applyFill="1" applyBorder="1"/>
    <xf numFmtId="166" fontId="5" fillId="0" borderId="0" xfId="2" applyFont="1" applyAlignment="1">
      <alignment horizontal="center"/>
    </xf>
    <xf numFmtId="165" fontId="5" fillId="0" borderId="0" xfId="2" applyNumberFormat="1" applyFont="1" applyAlignment="1">
      <alignment horizontal="center"/>
    </xf>
    <xf numFmtId="9" fontId="0" fillId="0" borderId="0" xfId="4" applyFont="1"/>
    <xf numFmtId="166" fontId="16" fillId="0" borderId="0" xfId="0" applyNumberFormat="1" applyFont="1"/>
    <xf numFmtId="0" fontId="16" fillId="0" borderId="0" xfId="0" applyFont="1"/>
    <xf numFmtId="169" fontId="16" fillId="0" borderId="0" xfId="3" applyNumberFormat="1" applyFont="1"/>
    <xf numFmtId="0" fontId="2" fillId="4" borderId="0" xfId="0" applyFont="1" applyFill="1"/>
    <xf numFmtId="166" fontId="2" fillId="4" borderId="0" xfId="2" applyFont="1" applyFill="1"/>
    <xf numFmtId="166" fontId="4" fillId="0" borderId="0" xfId="0" applyNumberFormat="1" applyFont="1"/>
    <xf numFmtId="0" fontId="16" fillId="0" borderId="3" xfId="0" applyFont="1" applyBorder="1"/>
    <xf numFmtId="170" fontId="0" fillId="0" borderId="4" xfId="0" applyNumberFormat="1" applyBorder="1"/>
    <xf numFmtId="0" fontId="16" fillId="0" borderId="5" xfId="0" applyFont="1" applyBorder="1"/>
    <xf numFmtId="170" fontId="0" fillId="0" borderId="6" xfId="0" applyNumberFormat="1" applyBorder="1"/>
    <xf numFmtId="43" fontId="0" fillId="0" borderId="6" xfId="3" applyFont="1" applyBorder="1"/>
    <xf numFmtId="166" fontId="0" fillId="0" borderId="6" xfId="0" applyNumberFormat="1" applyBorder="1"/>
    <xf numFmtId="10" fontId="0" fillId="0" borderId="6" xfId="4" applyNumberFormat="1" applyFont="1" applyBorder="1"/>
    <xf numFmtId="43" fontId="0" fillId="0" borderId="6" xfId="0" applyNumberFormat="1" applyBorder="1"/>
    <xf numFmtId="0" fontId="16" fillId="0" borderId="7" xfId="0" applyFont="1" applyBorder="1"/>
    <xf numFmtId="10" fontId="0" fillId="0" borderId="8" xfId="4" applyNumberFormat="1" applyFont="1" applyBorder="1"/>
    <xf numFmtId="0" fontId="17" fillId="0" borderId="0" xfId="0" applyFont="1"/>
    <xf numFmtId="0" fontId="17" fillId="0" borderId="1" xfId="0" applyFont="1" applyBorder="1"/>
    <xf numFmtId="0" fontId="5" fillId="0" borderId="2" xfId="0" applyFont="1" applyBorder="1" applyAlignment="1">
      <alignment horizontal="center"/>
    </xf>
    <xf numFmtId="171" fontId="0" fillId="0" borderId="0" xfId="0" applyNumberFormat="1"/>
    <xf numFmtId="171" fontId="0" fillId="0" borderId="0" xfId="1" applyNumberFormat="1" applyFont="1"/>
    <xf numFmtId="171" fontId="16" fillId="0" borderId="0" xfId="1" applyNumberFormat="1" applyFont="1"/>
    <xf numFmtId="171" fontId="16" fillId="0" borderId="0" xfId="0" applyNumberFormat="1" applyFont="1"/>
    <xf numFmtId="171" fontId="16" fillId="0" borderId="0" xfId="3" applyNumberFormat="1" applyFont="1"/>
    <xf numFmtId="171" fontId="0" fillId="0" borderId="0" xfId="3" applyNumberFormat="1" applyFont="1"/>
    <xf numFmtId="43" fontId="0" fillId="3" borderId="0" xfId="3" applyFont="1" applyFill="1"/>
    <xf numFmtId="44" fontId="5" fillId="3" borderId="0" xfId="0" applyNumberFormat="1" applyFont="1" applyFill="1"/>
    <xf numFmtId="164" fontId="4" fillId="0" borderId="0" xfId="0" applyNumberFormat="1" applyFont="1"/>
    <xf numFmtId="8" fontId="16" fillId="3" borderId="0" xfId="0" applyNumberFormat="1" applyFont="1" applyFill="1"/>
    <xf numFmtId="8" fontId="4" fillId="3" borderId="0" xfId="0" applyNumberFormat="1" applyFont="1" applyFill="1"/>
    <xf numFmtId="44" fontId="5" fillId="0" borderId="0" xfId="0" applyNumberFormat="1" applyFont="1"/>
    <xf numFmtId="9" fontId="5" fillId="0" borderId="0" xfId="4" applyFont="1"/>
    <xf numFmtId="0" fontId="4" fillId="0" borderId="0" xfId="0" applyFont="1" applyAlignment="1">
      <alignment horizontal="left" vertical="center" wrapText="1"/>
    </xf>
  </cellXfs>
  <cellStyles count="5">
    <cellStyle name="Millares" xfId="3" builtinId="3"/>
    <cellStyle name="Moneda" xfId="1" builtinId="4"/>
    <cellStyle name="Moneda [0] 2" xfId="2" xr:uid="{00000000-0005-0000-0000-000003000000}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3"/>
  <sheetViews>
    <sheetView showGridLines="0" tabSelected="1" topLeftCell="A15" workbookViewId="0">
      <selection activeCell="J53" sqref="J53"/>
    </sheetView>
  </sheetViews>
  <sheetFormatPr baseColWidth="10" defaultColWidth="11.5546875" defaultRowHeight="13.8" x14ac:dyDescent="0.25"/>
  <cols>
    <col min="1" max="1" width="11.5546875" style="3"/>
    <col min="2" max="2" width="24.77734375" style="3" customWidth="1"/>
    <col min="3" max="5" width="11.5546875" style="3"/>
    <col min="6" max="6" width="14.109375" style="3" customWidth="1"/>
    <col min="7" max="10" width="11.5546875" style="3"/>
    <col min="11" max="11" width="14.33203125" style="3" customWidth="1"/>
    <col min="12" max="16384" width="11.5546875" style="3"/>
  </cols>
  <sheetData>
    <row r="2" spans="2:10" ht="23.4" x14ac:dyDescent="0.45">
      <c r="B2" s="16" t="s">
        <v>0</v>
      </c>
      <c r="C2" s="17"/>
      <c r="D2" s="17"/>
      <c r="E2" s="17"/>
      <c r="F2" s="17"/>
      <c r="G2" s="14"/>
      <c r="H2" s="70"/>
    </row>
    <row r="3" spans="2:10" ht="23.4" x14ac:dyDescent="0.45">
      <c r="B3" s="16" t="s">
        <v>1</v>
      </c>
      <c r="C3" s="17"/>
      <c r="D3" s="17"/>
      <c r="E3" s="17"/>
      <c r="F3" s="17"/>
      <c r="G3" s="14"/>
      <c r="H3" s="70" t="s">
        <v>71</v>
      </c>
    </row>
    <row r="4" spans="2:10" ht="23.4" x14ac:dyDescent="0.45">
      <c r="B4" s="18" t="s">
        <v>2</v>
      </c>
      <c r="C4" s="19"/>
      <c r="D4" s="19"/>
      <c r="E4" s="19"/>
      <c r="F4" s="19"/>
      <c r="G4" s="41"/>
      <c r="H4" s="71" t="s">
        <v>42</v>
      </c>
      <c r="I4" s="27"/>
      <c r="J4" s="27"/>
    </row>
    <row r="6" spans="2:10" ht="20.399999999999999" x14ac:dyDescent="0.35">
      <c r="B6" s="38" t="s">
        <v>3</v>
      </c>
    </row>
    <row r="8" spans="2:10" x14ac:dyDescent="0.25">
      <c r="B8" s="4" t="s">
        <v>4</v>
      </c>
      <c r="C8" s="4"/>
    </row>
    <row r="9" spans="2:10" x14ac:dyDescent="0.25">
      <c r="B9" s="4" t="s">
        <v>5</v>
      </c>
      <c r="C9" s="20">
        <v>0.17499999999999999</v>
      </c>
    </row>
    <row r="10" spans="2:10" x14ac:dyDescent="0.25">
      <c r="B10" s="4"/>
      <c r="C10" s="12"/>
    </row>
    <row r="11" spans="2:10" x14ac:dyDescent="0.25">
      <c r="B11" s="4" t="s">
        <v>6</v>
      </c>
    </row>
    <row r="12" spans="2:10" x14ac:dyDescent="0.25">
      <c r="D12" s="29"/>
      <c r="E12" s="29"/>
      <c r="F12" s="29"/>
      <c r="G12" s="29"/>
    </row>
    <row r="13" spans="2:10" ht="14.4" x14ac:dyDescent="0.3">
      <c r="B13" s="22"/>
      <c r="C13" s="23">
        <v>0</v>
      </c>
      <c r="D13" s="23">
        <f>C13+1</f>
        <v>1</v>
      </c>
      <c r="E13" s="23">
        <f t="shared" ref="E13:I13" si="0">D13+1</f>
        <v>2</v>
      </c>
      <c r="F13" s="23">
        <f t="shared" si="0"/>
        <v>3</v>
      </c>
      <c r="G13" s="23">
        <f t="shared" si="0"/>
        <v>4</v>
      </c>
      <c r="H13" s="23">
        <f t="shared" si="0"/>
        <v>5</v>
      </c>
      <c r="I13" s="23">
        <f t="shared" si="0"/>
        <v>6</v>
      </c>
    </row>
    <row r="14" spans="2:10" ht="14.4" x14ac:dyDescent="0.3">
      <c r="B14" s="1" t="s">
        <v>7</v>
      </c>
      <c r="C14" s="2">
        <v>-5000</v>
      </c>
      <c r="D14" s="2">
        <v>800</v>
      </c>
      <c r="E14" s="2">
        <v>-200</v>
      </c>
      <c r="F14" s="2">
        <v>4000</v>
      </c>
      <c r="G14" s="2">
        <v>1000</v>
      </c>
      <c r="H14" s="2">
        <v>2000</v>
      </c>
      <c r="I14" s="2">
        <v>-500</v>
      </c>
    </row>
    <row r="15" spans="2:10" x14ac:dyDescent="0.25">
      <c r="C15" s="24"/>
      <c r="D15" s="24">
        <f>+PV($C$9,D13,,-D14)</f>
        <v>680.85106382978722</v>
      </c>
      <c r="E15" s="24">
        <f t="shared" ref="E15:I15" si="1">+PV($C$9,E13,,-E14)</f>
        <v>-144.8619284744228</v>
      </c>
      <c r="F15" s="24">
        <f t="shared" si="1"/>
        <v>2465.7349527561323</v>
      </c>
      <c r="G15" s="24">
        <f t="shared" si="1"/>
        <v>524.62445803321964</v>
      </c>
      <c r="H15" s="24">
        <f t="shared" si="1"/>
        <v>892.97780090760784</v>
      </c>
      <c r="I15" s="24">
        <f t="shared" si="1"/>
        <v>-189.99527678885269</v>
      </c>
    </row>
    <row r="16" spans="2:10" x14ac:dyDescent="0.25">
      <c r="B16" s="4" t="s">
        <v>8</v>
      </c>
      <c r="C16" s="4">
        <v>3.4</v>
      </c>
      <c r="D16" s="81" t="s">
        <v>70</v>
      </c>
      <c r="E16" s="42"/>
      <c r="F16" s="42"/>
      <c r="G16" s="42"/>
    </row>
    <row r="17" spans="2:10" x14ac:dyDescent="0.25">
      <c r="B17" s="4" t="s">
        <v>9</v>
      </c>
      <c r="C17" s="4" t="s">
        <v>69</v>
      </c>
      <c r="D17" s="4"/>
      <c r="G17" s="43"/>
      <c r="I17" s="43"/>
    </row>
    <row r="20" spans="2:10" ht="14.4" x14ac:dyDescent="0.3">
      <c r="B20" s="5" t="s">
        <v>10</v>
      </c>
    </row>
    <row r="21" spans="2:10" ht="14.4" x14ac:dyDescent="0.3">
      <c r="B21" s="5" t="s">
        <v>11</v>
      </c>
    </row>
    <row r="23" spans="2:10" ht="14.4" x14ac:dyDescent="0.3">
      <c r="B23" s="34" t="s">
        <v>12</v>
      </c>
      <c r="C23" s="35"/>
      <c r="D23" s="35"/>
      <c r="E23" s="35"/>
      <c r="F23"/>
      <c r="G23" s="34" t="s">
        <v>13</v>
      </c>
      <c r="H23" s="36"/>
      <c r="I23" s="37"/>
      <c r="J23" s="37"/>
    </row>
    <row r="24" spans="2:10" ht="14.4" x14ac:dyDescent="0.3">
      <c r="B24" s="1" t="s">
        <v>14</v>
      </c>
      <c r="C24" s="6">
        <v>320</v>
      </c>
      <c r="D24" s="21" t="s">
        <v>15</v>
      </c>
      <c r="E24"/>
      <c r="F24"/>
      <c r="G24" s="1" t="s">
        <v>14</v>
      </c>
      <c r="H24" s="6">
        <v>400</v>
      </c>
      <c r="I24" s="21" t="s">
        <v>15</v>
      </c>
    </row>
    <row r="25" spans="2:10" ht="14.4" x14ac:dyDescent="0.3">
      <c r="B25" s="1" t="s">
        <v>16</v>
      </c>
      <c r="C25" s="7">
        <v>0.2</v>
      </c>
      <c r="D25" s="21" t="s">
        <v>17</v>
      </c>
      <c r="E25"/>
      <c r="F25"/>
      <c r="G25" s="1" t="s">
        <v>16</v>
      </c>
      <c r="H25" s="7">
        <v>0.15</v>
      </c>
      <c r="I25" s="21" t="s">
        <v>17</v>
      </c>
    </row>
    <row r="26" spans="2:10" ht="14.4" x14ac:dyDescent="0.3">
      <c r="B26" s="1" t="s">
        <v>18</v>
      </c>
      <c r="C26" s="8">
        <v>2000</v>
      </c>
      <c r="D26"/>
      <c r="E26"/>
      <c r="F26"/>
      <c r="G26" s="1" t="s">
        <v>18</v>
      </c>
      <c r="H26" s="8">
        <v>2000</v>
      </c>
    </row>
    <row r="27" spans="2:10" ht="14.4" x14ac:dyDescent="0.3">
      <c r="B27" s="1" t="s">
        <v>19</v>
      </c>
      <c r="C27" s="1">
        <v>5</v>
      </c>
      <c r="D27"/>
      <c r="E27"/>
      <c r="F27"/>
      <c r="G27" s="1" t="s">
        <v>19</v>
      </c>
      <c r="H27" s="1">
        <v>7</v>
      </c>
    </row>
    <row r="28" spans="2:10" ht="14.4" x14ac:dyDescent="0.3">
      <c r="B28" s="1"/>
      <c r="C28" s="1"/>
      <c r="D28"/>
      <c r="E28"/>
      <c r="F28"/>
      <c r="G28" s="1"/>
      <c r="H28" s="1"/>
    </row>
    <row r="29" spans="2:10" ht="14.4" x14ac:dyDescent="0.3">
      <c r="B29" s="1">
        <v>0</v>
      </c>
      <c r="C29" s="44">
        <v>-2000</v>
      </c>
      <c r="D29"/>
      <c r="E29" s="45">
        <f>+NPV($C$9,C30:C34)+C29</f>
        <v>-3190.7301422088512</v>
      </c>
      <c r="F29"/>
      <c r="G29" s="1">
        <v>0</v>
      </c>
      <c r="H29" s="31">
        <f>-H26</f>
        <v>-2000</v>
      </c>
      <c r="J29" s="45">
        <f>+NPV($C$9,H30:H36)+H29</f>
        <v>-3643.5418000328136</v>
      </c>
    </row>
    <row r="30" spans="2:10" ht="14.4" x14ac:dyDescent="0.3">
      <c r="B30" s="1">
        <v>1</v>
      </c>
      <c r="C30" s="44">
        <v>-320</v>
      </c>
      <c r="D30"/>
      <c r="E30"/>
      <c r="F30"/>
      <c r="G30" s="1">
        <v>1</v>
      </c>
      <c r="H30" s="1">
        <v>-400</v>
      </c>
    </row>
    <row r="31" spans="2:10" ht="14.4" x14ac:dyDescent="0.3">
      <c r="B31" s="1">
        <v>2</v>
      </c>
      <c r="C31" s="44">
        <v>-320</v>
      </c>
      <c r="D31"/>
      <c r="E31" s="46">
        <f>+PMT($C$9,C27,-E29)</f>
        <v>-1008.7923717236077</v>
      </c>
      <c r="F31"/>
      <c r="G31" s="1">
        <v>2</v>
      </c>
      <c r="H31" s="1">
        <v>-400</v>
      </c>
      <c r="J31" s="82">
        <f>+PMT($C$9,H27,-J29)</f>
        <v>-942.38286853485283</v>
      </c>
    </row>
    <row r="32" spans="2:10" ht="14.4" x14ac:dyDescent="0.3">
      <c r="B32" s="1">
        <v>3</v>
      </c>
      <c r="C32" s="44">
        <v>-320</v>
      </c>
      <c r="D32"/>
      <c r="E32"/>
      <c r="F32"/>
      <c r="G32" s="1">
        <v>3</v>
      </c>
      <c r="H32" s="1">
        <v>-400</v>
      </c>
      <c r="J32" s="4"/>
    </row>
    <row r="33" spans="2:10" ht="14.4" x14ac:dyDescent="0.3">
      <c r="B33" s="1">
        <v>4</v>
      </c>
      <c r="C33" s="44">
        <v>-320</v>
      </c>
      <c r="D33"/>
      <c r="E33"/>
      <c r="F33"/>
      <c r="G33" s="1">
        <v>4</v>
      </c>
      <c r="H33" s="1">
        <v>-400</v>
      </c>
      <c r="J33" s="4" t="s">
        <v>66</v>
      </c>
    </row>
    <row r="34" spans="2:10" ht="14.4" x14ac:dyDescent="0.3">
      <c r="B34" s="1">
        <v>5</v>
      </c>
      <c r="C34" s="44">
        <f>-320-C25*C26</f>
        <v>-720</v>
      </c>
      <c r="D34"/>
      <c r="E34"/>
      <c r="F34"/>
      <c r="G34" s="1">
        <v>5</v>
      </c>
      <c r="H34" s="1">
        <v>-400</v>
      </c>
    </row>
    <row r="35" spans="2:10" ht="14.4" x14ac:dyDescent="0.3">
      <c r="B35" s="1"/>
      <c r="C35" s="1"/>
      <c r="D35"/>
      <c r="E35"/>
      <c r="F35"/>
      <c r="G35" s="1">
        <v>6</v>
      </c>
      <c r="H35" s="1">
        <v>-400</v>
      </c>
    </row>
    <row r="36" spans="2:10" ht="14.4" x14ac:dyDescent="0.3">
      <c r="B36" s="1"/>
      <c r="C36" s="1"/>
      <c r="D36"/>
      <c r="E36"/>
      <c r="F36"/>
      <c r="G36" s="1">
        <v>7</v>
      </c>
      <c r="H36" s="31">
        <f>-400-H25*H26</f>
        <v>-700</v>
      </c>
    </row>
    <row r="38" spans="2:10" ht="14.4" x14ac:dyDescent="0.3">
      <c r="B38" s="5" t="s">
        <v>20</v>
      </c>
    </row>
    <row r="40" spans="2:10" ht="14.4" x14ac:dyDescent="0.3">
      <c r="B40" s="50" t="s">
        <v>12</v>
      </c>
      <c r="C40" s="25">
        <v>0</v>
      </c>
      <c r="D40" s="25">
        <v>1</v>
      </c>
      <c r="E40" s="25">
        <v>2</v>
      </c>
      <c r="F40" s="25">
        <v>3</v>
      </c>
      <c r="G40" s="25">
        <v>4</v>
      </c>
      <c r="H40" s="25">
        <v>5</v>
      </c>
      <c r="I40" s="26"/>
      <c r="J40" s="26"/>
    </row>
    <row r="41" spans="2:10" ht="14.4" x14ac:dyDescent="0.3">
      <c r="B41" s="1" t="s">
        <v>7</v>
      </c>
      <c r="C41" s="8">
        <v>-7000</v>
      </c>
      <c r="D41" s="10">
        <v>2000</v>
      </c>
      <c r="E41" s="10">
        <v>3000</v>
      </c>
      <c r="F41" s="11">
        <v>4200</v>
      </c>
      <c r="G41" s="10">
        <v>500</v>
      </c>
      <c r="H41" s="10">
        <v>8000</v>
      </c>
      <c r="I41" s="13"/>
      <c r="J41" s="15"/>
    </row>
    <row r="42" spans="2:10" ht="14.4" x14ac:dyDescent="0.3">
      <c r="B42" s="1"/>
      <c r="C42" s="8"/>
      <c r="D42" s="10"/>
      <c r="E42" s="10"/>
      <c r="F42" s="11"/>
      <c r="G42" s="10"/>
      <c r="H42" s="10"/>
      <c r="I42" s="13"/>
      <c r="J42" s="15"/>
    </row>
    <row r="43" spans="2:10" ht="14.4" x14ac:dyDescent="0.3">
      <c r="B43" s="26" t="s">
        <v>39</v>
      </c>
      <c r="C43" s="51" t="s">
        <v>40</v>
      </c>
      <c r="D43" s="52" t="s">
        <v>41</v>
      </c>
      <c r="E43" s="10"/>
      <c r="F43" s="11"/>
      <c r="G43" s="10"/>
      <c r="H43" s="10"/>
      <c r="I43" s="13"/>
      <c r="J43" s="15"/>
    </row>
    <row r="44" spans="2:10" ht="14.4" x14ac:dyDescent="0.3">
      <c r="B44" s="84">
        <f>+NPV($C$9,D41:H41)+C41</f>
        <v>3298.3017197317913</v>
      </c>
      <c r="C44" s="85">
        <f>+IRR(C41:H41)</f>
        <v>0.33438638502122675</v>
      </c>
      <c r="D44" s="83">
        <f>+PMT($C$9,$H$40,-B44)</f>
        <v>1042.8025769063918</v>
      </c>
      <c r="E44" s="10"/>
      <c r="F44" s="11"/>
      <c r="G44" s="10"/>
      <c r="H44" s="10"/>
      <c r="I44" s="13"/>
      <c r="J44" s="15"/>
    </row>
    <row r="45" spans="2:10" ht="14.4" x14ac:dyDescent="0.3">
      <c r="B45"/>
      <c r="C45"/>
      <c r="D45"/>
      <c r="E45"/>
      <c r="F45"/>
      <c r="G45"/>
      <c r="H45"/>
    </row>
    <row r="46" spans="2:10" ht="14.4" x14ac:dyDescent="0.3">
      <c r="B46" s="9" t="s">
        <v>13</v>
      </c>
      <c r="C46" s="25">
        <v>0</v>
      </c>
      <c r="D46" s="25">
        <v>1</v>
      </c>
      <c r="E46" s="25">
        <v>2</v>
      </c>
      <c r="F46" s="25">
        <v>3</v>
      </c>
      <c r="G46" s="25">
        <v>4</v>
      </c>
      <c r="H46" s="25">
        <v>5</v>
      </c>
      <c r="I46" s="26"/>
      <c r="J46" s="26"/>
    </row>
    <row r="47" spans="2:10" ht="14.4" x14ac:dyDescent="0.3">
      <c r="B47" s="1" t="s">
        <v>7</v>
      </c>
      <c r="C47" s="8">
        <v>-1500</v>
      </c>
      <c r="D47" s="10">
        <v>700</v>
      </c>
      <c r="E47" s="10">
        <v>800</v>
      </c>
      <c r="F47" s="8">
        <v>1000</v>
      </c>
      <c r="G47" s="11">
        <v>1600</v>
      </c>
      <c r="H47" s="10">
        <v>2900</v>
      </c>
      <c r="I47" s="13"/>
      <c r="J47" s="15"/>
    </row>
    <row r="48" spans="2:10" ht="14.4" x14ac:dyDescent="0.3">
      <c r="B48" s="1"/>
      <c r="C48" s="8"/>
      <c r="D48" s="10"/>
      <c r="E48" s="10"/>
      <c r="F48" s="8"/>
      <c r="G48" s="11"/>
      <c r="H48" s="10"/>
      <c r="I48" s="13"/>
      <c r="J48" s="15"/>
    </row>
    <row r="49" spans="2:8" ht="14.4" x14ac:dyDescent="0.3">
      <c r="B49" s="26" t="s">
        <v>39</v>
      </c>
      <c r="C49" s="51" t="s">
        <v>40</v>
      </c>
      <c r="D49" s="52" t="s">
        <v>41</v>
      </c>
    </row>
    <row r="50" spans="2:8" ht="14.4" x14ac:dyDescent="0.3">
      <c r="B50" s="47">
        <f>+NPV($C$9,D47:H47)+C47</f>
        <v>2425.8430771069707</v>
      </c>
      <c r="C50" s="48">
        <f>+IRR(C47:H47)</f>
        <v>0.60576494078113563</v>
      </c>
      <c r="D50" s="49">
        <f>+PMT($C$9,$H$46,-B50)</f>
        <v>766.96300912803872</v>
      </c>
    </row>
    <row r="51" spans="2:8" ht="14.4" x14ac:dyDescent="0.3">
      <c r="B51" s="5"/>
    </row>
    <row r="52" spans="2:8" x14ac:dyDescent="0.25">
      <c r="B52" s="4" t="s">
        <v>67</v>
      </c>
      <c r="C52" s="4"/>
      <c r="D52" s="4"/>
      <c r="E52" s="4"/>
      <c r="F52" s="4"/>
      <c r="G52" s="4"/>
      <c r="H52" s="4"/>
    </row>
    <row r="53" spans="2:8" ht="34.200000000000003" customHeight="1" x14ac:dyDescent="0.25">
      <c r="B53" s="86" t="s">
        <v>68</v>
      </c>
      <c r="C53" s="86"/>
      <c r="D53" s="86"/>
      <c r="E53" s="86"/>
      <c r="F53" s="86"/>
      <c r="G53" s="86"/>
      <c r="H53" s="86"/>
    </row>
  </sheetData>
  <mergeCells count="1">
    <mergeCell ref="B53:H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2EDB-F841-4068-9FE7-A7A8B3478F26}">
  <dimension ref="B2:K44"/>
  <sheetViews>
    <sheetView showGridLines="0" topLeftCell="A20" workbookViewId="0">
      <selection activeCell="C41" sqref="C41"/>
    </sheetView>
  </sheetViews>
  <sheetFormatPr baseColWidth="10" defaultColWidth="11.44140625" defaultRowHeight="14.4" x14ac:dyDescent="0.3"/>
  <cols>
    <col min="2" max="2" width="28.6640625" customWidth="1"/>
    <col min="3" max="3" width="11.77734375" bestFit="1" customWidth="1"/>
    <col min="5" max="5" width="13.44140625" bestFit="1" customWidth="1"/>
    <col min="6" max="6" width="16.21875" customWidth="1"/>
    <col min="9" max="9" width="15.21875" bestFit="1" customWidth="1"/>
  </cols>
  <sheetData>
    <row r="2" spans="2:11" ht="18" x14ac:dyDescent="0.35">
      <c r="B2" s="16" t="s">
        <v>0</v>
      </c>
    </row>
    <row r="3" spans="2:11" ht="18" x14ac:dyDescent="0.35">
      <c r="B3" s="16" t="s">
        <v>1</v>
      </c>
    </row>
    <row r="4" spans="2:11" ht="18" x14ac:dyDescent="0.35">
      <c r="B4" s="18" t="s">
        <v>2</v>
      </c>
      <c r="C4" s="40"/>
      <c r="D4" s="40"/>
      <c r="E4" s="40"/>
      <c r="F4" s="40"/>
      <c r="G4" s="40"/>
      <c r="H4" s="40"/>
      <c r="I4" s="40"/>
    </row>
    <row r="7" spans="2:11" ht="20.399999999999999" x14ac:dyDescent="0.35">
      <c r="B7" s="38" t="s">
        <v>21</v>
      </c>
      <c r="C7" s="3"/>
      <c r="D7" s="3"/>
      <c r="E7" s="3"/>
      <c r="F7" s="3"/>
      <c r="G7" s="3"/>
      <c r="H7" s="3"/>
      <c r="I7" s="3"/>
      <c r="J7" s="3"/>
      <c r="K7" s="3"/>
    </row>
    <row r="8" spans="2:11" x14ac:dyDescent="0.3">
      <c r="B8" s="3"/>
      <c r="C8" s="3"/>
      <c r="D8" s="3"/>
      <c r="E8" s="3"/>
      <c r="F8" s="3"/>
      <c r="G8" s="3"/>
      <c r="H8" s="3"/>
      <c r="I8" s="3"/>
      <c r="J8" s="3"/>
      <c r="K8" s="3"/>
    </row>
    <row r="9" spans="2:11" x14ac:dyDescent="0.3">
      <c r="B9" s="39" t="s">
        <v>22</v>
      </c>
      <c r="C9" s="28">
        <v>2023</v>
      </c>
      <c r="D9" s="29"/>
      <c r="E9" s="3"/>
      <c r="F9" s="3"/>
      <c r="G9" s="3"/>
      <c r="H9" s="3"/>
      <c r="I9" s="3"/>
      <c r="J9" s="3"/>
      <c r="K9" s="3"/>
    </row>
    <row r="10" spans="2:11" x14ac:dyDescent="0.3">
      <c r="B10" s="1" t="s">
        <v>23</v>
      </c>
      <c r="C10" s="30">
        <v>45</v>
      </c>
      <c r="D10" s="1"/>
      <c r="E10" s="1"/>
      <c r="F10" s="5" t="s">
        <v>24</v>
      </c>
      <c r="G10" s="1"/>
      <c r="H10" s="1"/>
      <c r="I10" s="1"/>
      <c r="J10" s="1"/>
      <c r="K10" s="1"/>
    </row>
    <row r="11" spans="2:11" x14ac:dyDescent="0.3">
      <c r="B11" s="1" t="s">
        <v>25</v>
      </c>
      <c r="C11" s="30">
        <v>30</v>
      </c>
      <c r="D11" s="1"/>
      <c r="E11" s="1"/>
      <c r="F11" s="1" t="s">
        <v>26</v>
      </c>
      <c r="G11" s="1"/>
      <c r="H11" s="1"/>
      <c r="I11" s="1"/>
      <c r="J11" s="1"/>
      <c r="K11" s="1"/>
    </row>
    <row r="12" spans="2:11" x14ac:dyDescent="0.3">
      <c r="B12" s="1" t="s">
        <v>27</v>
      </c>
      <c r="C12" s="8">
        <v>24500</v>
      </c>
      <c r="D12" s="31"/>
      <c r="E12" s="1"/>
      <c r="F12" s="1"/>
      <c r="G12" s="1"/>
      <c r="H12" s="1"/>
      <c r="I12" s="1"/>
      <c r="J12" s="1"/>
      <c r="K12" s="1"/>
    </row>
    <row r="13" spans="2:11" x14ac:dyDescent="0.3">
      <c r="B13" s="1" t="s">
        <v>28</v>
      </c>
      <c r="C13" s="32">
        <v>0.3</v>
      </c>
      <c r="D13" s="1"/>
      <c r="E13" s="1"/>
      <c r="F13" s="5" t="s">
        <v>29</v>
      </c>
      <c r="G13" s="1"/>
      <c r="H13" s="1"/>
      <c r="I13" s="1"/>
      <c r="J13" s="1"/>
      <c r="K13" s="1"/>
    </row>
    <row r="14" spans="2:11" x14ac:dyDescent="0.3">
      <c r="B14" s="57" t="s">
        <v>30</v>
      </c>
      <c r="C14" s="58">
        <v>640</v>
      </c>
      <c r="D14" s="3"/>
      <c r="E14" s="1"/>
      <c r="F14" s="1" t="s">
        <v>31</v>
      </c>
      <c r="H14" s="1"/>
      <c r="I14" s="80">
        <f>+C42</f>
        <v>-579.58333333333485</v>
      </c>
      <c r="J14" s="1"/>
      <c r="K14" s="1"/>
    </row>
    <row r="15" spans="2:11" x14ac:dyDescent="0.3">
      <c r="B15" s="1" t="s">
        <v>32</v>
      </c>
      <c r="C15" s="32">
        <v>0.45</v>
      </c>
      <c r="D15" s="3"/>
      <c r="E15" s="1"/>
      <c r="F15" s="1" t="s">
        <v>33</v>
      </c>
      <c r="G15" s="1"/>
      <c r="H15" s="1"/>
      <c r="I15" s="1"/>
      <c r="J15" s="1"/>
      <c r="K15" s="1"/>
    </row>
    <row r="16" spans="2:11" x14ac:dyDescent="0.3">
      <c r="B16" s="1" t="s">
        <v>34</v>
      </c>
      <c r="C16" s="8">
        <v>1800</v>
      </c>
      <c r="D16" s="3"/>
      <c r="E16" s="1"/>
      <c r="F16" s="1"/>
      <c r="G16" s="1"/>
      <c r="H16" s="1"/>
      <c r="I16" s="72" t="s">
        <v>72</v>
      </c>
      <c r="J16" s="72">
        <v>2023</v>
      </c>
      <c r="K16" s="1"/>
    </row>
    <row r="17" spans="2:11" x14ac:dyDescent="0.3">
      <c r="B17" s="1" t="s">
        <v>35</v>
      </c>
      <c r="C17" s="32">
        <v>0.15</v>
      </c>
      <c r="D17" s="3"/>
      <c r="E17" s="1"/>
      <c r="F17" s="1"/>
      <c r="G17" s="3"/>
      <c r="H17" s="3"/>
      <c r="I17" s="60" t="s">
        <v>59</v>
      </c>
      <c r="J17" s="61">
        <f>+C35</f>
        <v>3062.5</v>
      </c>
      <c r="K17" s="3"/>
    </row>
    <row r="18" spans="2:11" x14ac:dyDescent="0.3">
      <c r="B18" s="1" t="s">
        <v>36</v>
      </c>
      <c r="C18" s="8">
        <v>15000</v>
      </c>
      <c r="D18" s="59"/>
      <c r="E18" s="1"/>
      <c r="F18" s="3"/>
      <c r="G18" s="3"/>
      <c r="H18" s="3"/>
      <c r="I18" s="62" t="s">
        <v>50</v>
      </c>
      <c r="J18" s="63">
        <f>+C38</f>
        <v>1507.3333333333339</v>
      </c>
      <c r="K18" s="3"/>
    </row>
    <row r="19" spans="2:11" x14ac:dyDescent="0.3">
      <c r="B19" s="1" t="s">
        <v>37</v>
      </c>
      <c r="C19" s="7">
        <v>0.35</v>
      </c>
      <c r="D19" s="3"/>
      <c r="E19" s="1"/>
      <c r="F19" s="3"/>
      <c r="G19" s="4"/>
      <c r="H19" s="33"/>
      <c r="I19" s="62" t="s">
        <v>60</v>
      </c>
      <c r="J19" s="64">
        <f>+J18/C12</f>
        <v>6.152380952380955E-2</v>
      </c>
      <c r="K19" s="3"/>
    </row>
    <row r="20" spans="2:11" x14ac:dyDescent="0.3">
      <c r="B20" s="1" t="s">
        <v>38</v>
      </c>
      <c r="C20" s="8">
        <v>2000</v>
      </c>
      <c r="I20" s="62" t="s">
        <v>62</v>
      </c>
      <c r="J20" s="65">
        <f>+C28+C27+C14</f>
        <v>3674.9999999999982</v>
      </c>
    </row>
    <row r="21" spans="2:11" x14ac:dyDescent="0.3">
      <c r="I21" s="62" t="s">
        <v>63</v>
      </c>
      <c r="J21" s="66">
        <f>+J20/C12</f>
        <v>0.14999999999999994</v>
      </c>
    </row>
    <row r="22" spans="2:11" x14ac:dyDescent="0.3">
      <c r="I22" s="62" t="s">
        <v>61</v>
      </c>
      <c r="J22" s="67">
        <f>+J21/J19</f>
        <v>2.4380804953560351</v>
      </c>
    </row>
    <row r="23" spans="2:11" x14ac:dyDescent="0.3">
      <c r="B23" s="1" t="s">
        <v>27</v>
      </c>
      <c r="C23" s="73">
        <f>+C12</f>
        <v>24500</v>
      </c>
      <c r="I23" s="62" t="s">
        <v>65</v>
      </c>
      <c r="J23" s="65">
        <f>+C18+C20</f>
        <v>17000</v>
      </c>
    </row>
    <row r="24" spans="2:11" x14ac:dyDescent="0.3">
      <c r="B24" s="1" t="s">
        <v>43</v>
      </c>
      <c r="C24" s="74">
        <f>+C23*(1-C15)</f>
        <v>13475.000000000002</v>
      </c>
      <c r="I24" s="68" t="s">
        <v>64</v>
      </c>
      <c r="J24" s="69">
        <f>+C31/J23</f>
        <v>4.7220588235294049E-2</v>
      </c>
    </row>
    <row r="25" spans="2:11" x14ac:dyDescent="0.3">
      <c r="B25" s="5" t="s">
        <v>44</v>
      </c>
      <c r="C25" s="75">
        <f>+C23-C24</f>
        <v>11024.999999999998</v>
      </c>
      <c r="D25" s="53">
        <f>+C25/C23</f>
        <v>0.4499999999999999</v>
      </c>
    </row>
    <row r="26" spans="2:11" x14ac:dyDescent="0.3">
      <c r="B26" s="1" t="s">
        <v>74</v>
      </c>
      <c r="C26" s="73">
        <f>+C13*C12+C14</f>
        <v>7990</v>
      </c>
    </row>
    <row r="27" spans="2:11" x14ac:dyDescent="0.3">
      <c r="B27" s="1" t="s">
        <v>45</v>
      </c>
      <c r="C27" s="73">
        <f>+C16</f>
        <v>1800</v>
      </c>
    </row>
    <row r="28" spans="2:11" x14ac:dyDescent="0.3">
      <c r="B28" s="5" t="s">
        <v>46</v>
      </c>
      <c r="C28" s="76">
        <f>+C25-C26-C27</f>
        <v>1234.9999999999982</v>
      </c>
      <c r="D28" s="54">
        <f>+C28</f>
        <v>1234.9999999999982</v>
      </c>
    </row>
    <row r="29" spans="2:11" x14ac:dyDescent="0.3">
      <c r="C29" s="73"/>
    </row>
    <row r="30" spans="2:11" x14ac:dyDescent="0.3">
      <c r="B30" t="s">
        <v>47</v>
      </c>
      <c r="C30" s="73">
        <f>+C28*C19</f>
        <v>432.24999999999932</v>
      </c>
    </row>
    <row r="31" spans="2:11" x14ac:dyDescent="0.3">
      <c r="B31" s="55" t="s">
        <v>48</v>
      </c>
      <c r="C31" s="76">
        <f>+C28-C30</f>
        <v>802.74999999999886</v>
      </c>
      <c r="D31" s="56"/>
      <c r="E31" s="55" t="s">
        <v>48</v>
      </c>
      <c r="F31" s="77">
        <f>+C28*(1-C19)</f>
        <v>802.74999999999886</v>
      </c>
    </row>
    <row r="32" spans="2:11" x14ac:dyDescent="0.3">
      <c r="B32" t="s">
        <v>45</v>
      </c>
      <c r="C32" s="73">
        <f>+C27</f>
        <v>1800</v>
      </c>
      <c r="E32" t="s">
        <v>57</v>
      </c>
      <c r="F32" s="78">
        <f>+C27</f>
        <v>1800</v>
      </c>
    </row>
    <row r="33" spans="2:6" x14ac:dyDescent="0.3">
      <c r="B33" s="55" t="s">
        <v>49</v>
      </c>
      <c r="C33" s="76">
        <f>+C31+C32</f>
        <v>2602.7499999999991</v>
      </c>
      <c r="E33" s="55" t="s">
        <v>49</v>
      </c>
      <c r="F33" s="77">
        <f>+F31+F32</f>
        <v>2602.7499999999991</v>
      </c>
    </row>
    <row r="34" spans="2:6" x14ac:dyDescent="0.3">
      <c r="C34" s="73"/>
      <c r="F34" s="73"/>
    </row>
    <row r="35" spans="2:6" x14ac:dyDescent="0.3">
      <c r="B35" t="s">
        <v>51</v>
      </c>
      <c r="C35" s="73">
        <f>+C10*C12/360</f>
        <v>3062.5</v>
      </c>
      <c r="F35" s="73"/>
    </row>
    <row r="36" spans="2:6" x14ac:dyDescent="0.3">
      <c r="B36" t="s">
        <v>52</v>
      </c>
      <c r="C36" s="74">
        <f>+C24*C11/360</f>
        <v>1122.9166666666667</v>
      </c>
      <c r="F36" s="73"/>
    </row>
    <row r="37" spans="2:6" x14ac:dyDescent="0.3">
      <c r="B37" t="s">
        <v>56</v>
      </c>
      <c r="C37" s="74">
        <f>+C30</f>
        <v>432.24999999999932</v>
      </c>
      <c r="F37" s="73"/>
    </row>
    <row r="38" spans="2:6" x14ac:dyDescent="0.3">
      <c r="B38" s="55" t="s">
        <v>53</v>
      </c>
      <c r="C38" s="76">
        <f>+C35-C36-C37</f>
        <v>1507.3333333333339</v>
      </c>
      <c r="E38" t="s">
        <v>54</v>
      </c>
      <c r="F38" s="73">
        <f>+C40</f>
        <v>492.66666666666606</v>
      </c>
    </row>
    <row r="39" spans="2:6" x14ac:dyDescent="0.3">
      <c r="C39" s="73"/>
      <c r="E39" s="55" t="s">
        <v>58</v>
      </c>
      <c r="F39" s="76">
        <f>+F33+F38</f>
        <v>3095.4166666666652</v>
      </c>
    </row>
    <row r="40" spans="2:6" x14ac:dyDescent="0.3">
      <c r="B40" t="s">
        <v>54</v>
      </c>
      <c r="C40" s="73">
        <f>+C20-C38</f>
        <v>492.66666666666606</v>
      </c>
      <c r="F40" s="73"/>
    </row>
    <row r="41" spans="2:6" x14ac:dyDescent="0.3">
      <c r="B41" t="s">
        <v>55</v>
      </c>
      <c r="C41" s="73">
        <f>+C17*C12</f>
        <v>3675</v>
      </c>
      <c r="E41" t="s">
        <v>55</v>
      </c>
      <c r="F41" s="73">
        <f>+C17*C12</f>
        <v>3675</v>
      </c>
    </row>
    <row r="42" spans="2:6" x14ac:dyDescent="0.3">
      <c r="B42" s="55" t="s">
        <v>7</v>
      </c>
      <c r="C42" s="76">
        <f>+C33+C40-C41</f>
        <v>-579.58333333333485</v>
      </c>
      <c r="E42" s="55" t="s">
        <v>7</v>
      </c>
      <c r="F42" s="76">
        <f>+F39-F41</f>
        <v>-579.58333333333485</v>
      </c>
    </row>
    <row r="44" spans="2:6" x14ac:dyDescent="0.3">
      <c r="E44" s="55" t="s">
        <v>73</v>
      </c>
      <c r="F44" s="79">
        <f>+C42-F42</f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887D207E7776419D3596A8D2B7CD6A" ma:contentTypeVersion="4" ma:contentTypeDescription="Crear nuevo documento." ma:contentTypeScope="" ma:versionID="cc1ee249f0ae317f385a0683aa3f786d">
  <xsd:schema xmlns:xsd="http://www.w3.org/2001/XMLSchema" xmlns:xs="http://www.w3.org/2001/XMLSchema" xmlns:p="http://schemas.microsoft.com/office/2006/metadata/properties" xmlns:ns2="51785744-cd27-44e9-8e88-704971e4b245" targetNamespace="http://schemas.microsoft.com/office/2006/metadata/properties" ma:root="true" ma:fieldsID="5243f6113f813d79d0e006ccf46d2f97" ns2:_="">
    <xsd:import namespace="51785744-cd27-44e9-8e88-704971e4b2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85744-cd27-44e9-8e88-704971e4b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16F87B-9F60-4E45-900D-31C9D72F59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D1B26C-4E3A-4857-8BF8-7C00541F0C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FBD5AF-48D6-4860-8F26-CFA682E4E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85744-cd27-44e9-8e88-704971e4b2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ALBERTO SÁNCHEZ RIBERO</dc:creator>
  <cp:keywords/>
  <dc:description/>
  <cp:lastModifiedBy>Nicolás González Jaramillo</cp:lastModifiedBy>
  <cp:revision/>
  <dcterms:created xsi:type="dcterms:W3CDTF">2019-05-31T19:03:43Z</dcterms:created>
  <dcterms:modified xsi:type="dcterms:W3CDTF">2023-09-09T14:11:10Z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0x0101006A887D207E7776419D3596A8D2B7CD6A</vt:lpwstr>
  </property>
</Properties>
</file>