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GOJ\OneDrive\Desktop\NICO\MAF\Semestre 3\Inversiones en Mercado de Capitales\Archivos Excel\"/>
    </mc:Choice>
  </mc:AlternateContent>
  <xr:revisionPtr revIDLastSave="0" documentId="13_ncr:1_{04B59827-FBF7-4C90-AE10-FAEB098D83CD}" xr6:coauthVersionLast="47" xr6:coauthVersionMax="47" xr10:uidLastSave="{00000000-0000-0000-0000-000000000000}"/>
  <bookViews>
    <workbookView xWindow="-108" yWindow="-108" windowWidth="23256" windowHeight="12456" activeTab="8" xr2:uid="{D70E85A0-6752-40E3-93D4-1FF4B8EE024E}"/>
  </bookViews>
  <sheets>
    <sheet name="Hoja1" sheetId="1" r:id="rId1"/>
    <sheet name="Hoja2" sheetId="2" r:id="rId2"/>
    <sheet name="Hoja1 (2)" sheetId="4" r:id="rId3"/>
    <sheet name="Hoja3" sheetId="3" r:id="rId4"/>
    <sheet name="Hoja4" sheetId="5" r:id="rId5"/>
    <sheet name="Hoja5" sheetId="6" r:id="rId6"/>
    <sheet name="Hoja6" sheetId="7" r:id="rId7"/>
    <sheet name="Hoja7" sheetId="8" r:id="rId8"/>
    <sheet name="Hoja8" sheetId="9" r:id="rId9"/>
  </sheets>
  <definedNames>
    <definedName name="solver_adj" localSheetId="0" hidden="1">Hoja1!$J$14</definedName>
    <definedName name="solver_adj" localSheetId="2" hidden="1">'Hoja1 (2)'!$J$14</definedName>
    <definedName name="solver_adj" localSheetId="1" hidden="1">Hoja2!$C$8</definedName>
    <definedName name="solver_adj" localSheetId="4" hidden="1">Hoja4!$E$2:$E$4</definedName>
    <definedName name="solver_cvg" localSheetId="0" hidden="1">0.0001</definedName>
    <definedName name="solver_cvg" localSheetId="2" hidden="1">0.0001</definedName>
    <definedName name="solver_cvg" localSheetId="1" hidden="1">0.0001</definedName>
    <definedName name="solver_cvg" localSheetId="4" hidden="1">0.0001</definedName>
    <definedName name="solver_drv" localSheetId="0" hidden="1">2</definedName>
    <definedName name="solver_drv" localSheetId="2" hidden="1">2</definedName>
    <definedName name="solver_drv" localSheetId="1" hidden="1">1</definedName>
    <definedName name="solver_drv" localSheetId="4" hidden="1">1</definedName>
    <definedName name="solver_eng" localSheetId="0" hidden="1">1</definedName>
    <definedName name="solver_eng" localSheetId="2" hidden="1">1</definedName>
    <definedName name="solver_eng" localSheetId="1" hidden="1">1</definedName>
    <definedName name="solver_eng" localSheetId="4" hidden="1">1</definedName>
    <definedName name="solver_est" localSheetId="0" hidden="1">1</definedName>
    <definedName name="solver_est" localSheetId="2" hidden="1">1</definedName>
    <definedName name="solver_est" localSheetId="1" hidden="1">1</definedName>
    <definedName name="solver_est" localSheetId="4" hidden="1">1</definedName>
    <definedName name="solver_itr" localSheetId="0" hidden="1">2147483647</definedName>
    <definedName name="solver_itr" localSheetId="2" hidden="1">2147483647</definedName>
    <definedName name="solver_itr" localSheetId="1" hidden="1">2147483647</definedName>
    <definedName name="solver_itr" localSheetId="4" hidden="1">2147483647</definedName>
    <definedName name="solver_lhs1" localSheetId="0" hidden="1">Hoja1!$J$16</definedName>
    <definedName name="solver_lhs1" localSheetId="2" hidden="1">'Hoja1 (2)'!$J$16</definedName>
    <definedName name="solver_lhs1" localSheetId="4" hidden="1">Hoja4!$E$5</definedName>
    <definedName name="solver_lhs2" localSheetId="4" hidden="1">Hoja4!$H$6</definedName>
    <definedName name="solver_mip" localSheetId="0" hidden="1">2147483647</definedName>
    <definedName name="solver_mip" localSheetId="2" hidden="1">2147483647</definedName>
    <definedName name="solver_mip" localSheetId="1" hidden="1">2147483647</definedName>
    <definedName name="solver_mip" localSheetId="4" hidden="1">2147483647</definedName>
    <definedName name="solver_mni" localSheetId="0" hidden="1">30</definedName>
    <definedName name="solver_mni" localSheetId="2" hidden="1">30</definedName>
    <definedName name="solver_mni" localSheetId="1" hidden="1">30</definedName>
    <definedName name="solver_mni" localSheetId="4" hidden="1">30</definedName>
    <definedName name="solver_mrt" localSheetId="0" hidden="1">0.075</definedName>
    <definedName name="solver_mrt" localSheetId="2" hidden="1">0.075</definedName>
    <definedName name="solver_mrt" localSheetId="1" hidden="1">0.075</definedName>
    <definedName name="solver_mrt" localSheetId="4" hidden="1">0.075</definedName>
    <definedName name="solver_msl" localSheetId="0" hidden="1">2</definedName>
    <definedName name="solver_msl" localSheetId="2" hidden="1">2</definedName>
    <definedName name="solver_msl" localSheetId="1" hidden="1">2</definedName>
    <definedName name="solver_msl" localSheetId="4" hidden="1">2</definedName>
    <definedName name="solver_neg" localSheetId="0" hidden="1">1</definedName>
    <definedName name="solver_neg" localSheetId="2" hidden="1">1</definedName>
    <definedName name="solver_neg" localSheetId="1" hidden="1">1</definedName>
    <definedName name="solver_neg" localSheetId="4" hidden="1">2</definedName>
    <definedName name="solver_nod" localSheetId="0" hidden="1">2147483647</definedName>
    <definedName name="solver_nod" localSheetId="2" hidden="1">2147483647</definedName>
    <definedName name="solver_nod" localSheetId="1" hidden="1">2147483647</definedName>
    <definedName name="solver_nod" localSheetId="4" hidden="1">2147483647</definedName>
    <definedName name="solver_num" localSheetId="0" hidden="1">1</definedName>
    <definedName name="solver_num" localSheetId="2" hidden="1">1</definedName>
    <definedName name="solver_num" localSheetId="1" hidden="1">0</definedName>
    <definedName name="solver_num" localSheetId="4" hidden="1">2</definedName>
    <definedName name="solver_nwt" localSheetId="0" hidden="1">1</definedName>
    <definedName name="solver_nwt" localSheetId="2" hidden="1">1</definedName>
    <definedName name="solver_nwt" localSheetId="1" hidden="1">1</definedName>
    <definedName name="solver_nwt" localSheetId="4" hidden="1">1</definedName>
    <definedName name="solver_opt" localSheetId="0" hidden="1">Hoja1!$J$24</definedName>
    <definedName name="solver_opt" localSheetId="2" hidden="1">'Hoja1 (2)'!$J$24</definedName>
    <definedName name="solver_opt" localSheetId="1" hidden="1">Hoja2!$C$13</definedName>
    <definedName name="solver_opt" localSheetId="4" hidden="1">Hoja4!$C$7</definedName>
    <definedName name="solver_pre" localSheetId="0" hidden="1">0.000001</definedName>
    <definedName name="solver_pre" localSheetId="2" hidden="1">0.000001</definedName>
    <definedName name="solver_pre" localSheetId="1" hidden="1">0.000001</definedName>
    <definedName name="solver_pre" localSheetId="4" hidden="1">0.000001</definedName>
    <definedName name="solver_rbv" localSheetId="0" hidden="1">2</definedName>
    <definedName name="solver_rbv" localSheetId="2" hidden="1">2</definedName>
    <definedName name="solver_rbv" localSheetId="1" hidden="1">1</definedName>
    <definedName name="solver_rbv" localSheetId="4" hidden="1">1</definedName>
    <definedName name="solver_rel1" localSheetId="0" hidden="1">2</definedName>
    <definedName name="solver_rel1" localSheetId="2" hidden="1">2</definedName>
    <definedName name="solver_rel1" localSheetId="4" hidden="1">2</definedName>
    <definedName name="solver_rel2" localSheetId="4" hidden="1">2</definedName>
    <definedName name="solver_rhs1" localSheetId="0" hidden="1">1</definedName>
    <definedName name="solver_rhs1" localSheetId="2" hidden="1">1</definedName>
    <definedName name="solver_rhs1" localSheetId="4" hidden="1">1</definedName>
    <definedName name="solver_rhs2" localSheetId="4" hidden="1">Hoja4!$H$5</definedName>
    <definedName name="solver_rlx" localSheetId="0" hidden="1">2</definedName>
    <definedName name="solver_rlx" localSheetId="2" hidden="1">2</definedName>
    <definedName name="solver_rlx" localSheetId="1" hidden="1">2</definedName>
    <definedName name="solver_rlx" localSheetId="4" hidden="1">2</definedName>
    <definedName name="solver_rsd" localSheetId="0" hidden="1">0</definedName>
    <definedName name="solver_rsd" localSheetId="2" hidden="1">0</definedName>
    <definedName name="solver_rsd" localSheetId="1" hidden="1">0</definedName>
    <definedName name="solver_rsd" localSheetId="4" hidden="1">0</definedName>
    <definedName name="solver_scl" localSheetId="0" hidden="1">2</definedName>
    <definedName name="solver_scl" localSheetId="2" hidden="1">2</definedName>
    <definedName name="solver_scl" localSheetId="1" hidden="1">1</definedName>
    <definedName name="solver_scl" localSheetId="4" hidden="1">1</definedName>
    <definedName name="solver_sho" localSheetId="0" hidden="1">2</definedName>
    <definedName name="solver_sho" localSheetId="2" hidden="1">2</definedName>
    <definedName name="solver_sho" localSheetId="1" hidden="1">2</definedName>
    <definedName name="solver_sho" localSheetId="4" hidden="1">2</definedName>
    <definedName name="solver_ssz" localSheetId="0" hidden="1">100</definedName>
    <definedName name="solver_ssz" localSheetId="2" hidden="1">100</definedName>
    <definedName name="solver_ssz" localSheetId="1" hidden="1">100</definedName>
    <definedName name="solver_ssz" localSheetId="4" hidden="1">100</definedName>
    <definedName name="solver_tim" localSheetId="0" hidden="1">2147483647</definedName>
    <definedName name="solver_tim" localSheetId="2" hidden="1">2147483647</definedName>
    <definedName name="solver_tim" localSheetId="1" hidden="1">2147483647</definedName>
    <definedName name="solver_tim" localSheetId="4" hidden="1">2147483647</definedName>
    <definedName name="solver_tol" localSheetId="0" hidden="1">0.01</definedName>
    <definedName name="solver_tol" localSheetId="2" hidden="1">0.01</definedName>
    <definedName name="solver_tol" localSheetId="1" hidden="1">0.01</definedName>
    <definedName name="solver_tol" localSheetId="4" hidden="1">0.01</definedName>
    <definedName name="solver_typ" localSheetId="0" hidden="1">1</definedName>
    <definedName name="solver_typ" localSheetId="2" hidden="1">1</definedName>
    <definedName name="solver_typ" localSheetId="1" hidden="1">1</definedName>
    <definedName name="solver_typ" localSheetId="4" hidden="1">3</definedName>
    <definedName name="solver_val" localSheetId="0" hidden="1">0</definedName>
    <definedName name="solver_val" localSheetId="2" hidden="1">0</definedName>
    <definedName name="solver_val" localSheetId="1" hidden="1">0</definedName>
    <definedName name="solver_val" localSheetId="4" hidden="1">1</definedName>
    <definedName name="solver_ver" localSheetId="0" hidden="1">3</definedName>
    <definedName name="solver_ver" localSheetId="2" hidden="1">3</definedName>
    <definedName name="solver_ver" localSheetId="1" hidden="1">3</definedName>
    <definedName name="solver_ver" localSheetId="4" hidden="1">3</definedName>
    <definedName name="w">Hoja4!$E$2:$E$4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9" l="1"/>
  <c r="D7" i="9"/>
  <c r="B17" i="9" l="1"/>
  <c r="B14" i="9"/>
  <c r="F9" i="9" l="1"/>
  <c r="G9" i="9" s="1"/>
  <c r="F8" i="9"/>
  <c r="G8" i="9" s="1"/>
  <c r="F7" i="9"/>
  <c r="G7" i="9" s="1"/>
  <c r="G10" i="9" s="1"/>
  <c r="E10" i="9"/>
  <c r="E9" i="9"/>
  <c r="E8" i="9"/>
  <c r="D9" i="9"/>
  <c r="D8" i="9"/>
  <c r="C9" i="9"/>
  <c r="C8" i="9"/>
  <c r="C7" i="9"/>
  <c r="N32" i="8"/>
  <c r="C31" i="8"/>
  <c r="E31" i="8" s="1"/>
  <c r="D32" i="8"/>
  <c r="B32" i="8"/>
  <c r="C29" i="8"/>
  <c r="D30" i="8"/>
  <c r="D29" i="8"/>
  <c r="B30" i="8"/>
  <c r="B29" i="8"/>
  <c r="E32" i="8"/>
  <c r="E30" i="8"/>
  <c r="E29" i="8"/>
  <c r="C32" i="8" l="1"/>
  <c r="N20" i="8"/>
  <c r="N19" i="8"/>
  <c r="M12" i="8"/>
  <c r="M15" i="8" s="1"/>
  <c r="M11" i="8"/>
  <c r="J6" i="7"/>
  <c r="K6" i="7" s="1"/>
  <c r="I6" i="7"/>
  <c r="M6" i="7"/>
  <c r="H6" i="7"/>
  <c r="N5" i="7"/>
  <c r="N4" i="7"/>
  <c r="N3" i="7"/>
  <c r="N2" i="7"/>
  <c r="J2" i="7"/>
  <c r="I3" i="7"/>
  <c r="J3" i="7" s="1"/>
  <c r="K3" i="7" s="1"/>
  <c r="I4" i="7"/>
  <c r="J4" i="7" s="1"/>
  <c r="K4" i="7" s="1"/>
  <c r="I5" i="7"/>
  <c r="J5" i="7" s="1"/>
  <c r="K5" i="7" s="1"/>
  <c r="I2" i="7"/>
  <c r="K2" i="7" s="1"/>
  <c r="P5" i="7"/>
  <c r="P4" i="7"/>
  <c r="P3" i="7"/>
  <c r="P2" i="7"/>
  <c r="D7" i="7"/>
  <c r="B10" i="7" s="1"/>
  <c r="D6" i="7"/>
  <c r="B9" i="7" s="1"/>
  <c r="C6" i="6"/>
  <c r="B7" i="6"/>
  <c r="B3" i="6"/>
  <c r="H6" i="5"/>
  <c r="M13" i="8" l="1"/>
  <c r="C7" i="5"/>
  <c r="E5" i="5"/>
  <c r="J30" i="4"/>
  <c r="J18" i="4"/>
  <c r="J28" i="4"/>
  <c r="A39" i="4"/>
  <c r="A40" i="4" s="1"/>
  <c r="A41" i="4" s="1"/>
  <c r="A42" i="4" s="1"/>
  <c r="A43" i="4" s="1"/>
  <c r="A44" i="4" s="1"/>
  <c r="A45" i="4" s="1"/>
  <c r="A46" i="4" s="1"/>
  <c r="A47" i="4" s="1"/>
  <c r="A38" i="4"/>
  <c r="A18" i="4"/>
  <c r="A19" i="4" s="1"/>
  <c r="B17" i="4"/>
  <c r="C17" i="4" s="1"/>
  <c r="A17" i="4"/>
  <c r="B16" i="4"/>
  <c r="C16" i="4" s="1"/>
  <c r="A16" i="4"/>
  <c r="J15" i="4"/>
  <c r="J16" i="4" s="1"/>
  <c r="C15" i="4"/>
  <c r="B15" i="4"/>
  <c r="A15" i="4"/>
  <c r="C14" i="4"/>
  <c r="B14" i="4"/>
  <c r="B9" i="4"/>
  <c r="D14" i="4" s="1"/>
  <c r="E14" i="4" s="1"/>
  <c r="C9" i="3"/>
  <c r="C11" i="3" s="1"/>
  <c r="C12" i="3" s="1"/>
  <c r="J18" i="1"/>
  <c r="C9" i="2"/>
  <c r="C11" i="2" s="1"/>
  <c r="C12" i="2" s="1"/>
  <c r="C4" i="2"/>
  <c r="A38" i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J15" i="1"/>
  <c r="J16" i="1" s="1"/>
  <c r="C14" i="1"/>
  <c r="B15" i="1"/>
  <c r="C15" i="1" s="1"/>
  <c r="B14" i="1"/>
  <c r="A15" i="1"/>
  <c r="A16" i="1" s="1"/>
  <c r="B9" i="1"/>
  <c r="D14" i="1" s="1"/>
  <c r="E14" i="1" s="1"/>
  <c r="D15" i="4" l="1"/>
  <c r="E15" i="4" s="1"/>
  <c r="F15" i="4" s="1"/>
  <c r="M15" i="4"/>
  <c r="F14" i="4"/>
  <c r="J20" i="4"/>
  <c r="J22" i="4" s="1"/>
  <c r="M14" i="4"/>
  <c r="M16" i="4" s="1"/>
  <c r="M15" i="1"/>
  <c r="M14" i="1"/>
  <c r="J20" i="1"/>
  <c r="B19" i="4"/>
  <c r="D19" i="4" s="1"/>
  <c r="E19" i="4" s="1"/>
  <c r="A20" i="4"/>
  <c r="C19" i="4"/>
  <c r="A48" i="4"/>
  <c r="A49" i="4" s="1"/>
  <c r="A50" i="4" s="1"/>
  <c r="A51" i="4" s="1"/>
  <c r="A52" i="4" s="1"/>
  <c r="D17" i="4"/>
  <c r="E17" i="4" s="1"/>
  <c r="F17" i="4" s="1"/>
  <c r="B18" i="4"/>
  <c r="D18" i="4" s="1"/>
  <c r="E18" i="4" s="1"/>
  <c r="D16" i="4"/>
  <c r="E16" i="4" s="1"/>
  <c r="F16" i="4" s="1"/>
  <c r="C10" i="3"/>
  <c r="C13" i="3" s="1"/>
  <c r="C10" i="2"/>
  <c r="C13" i="2" s="1"/>
  <c r="A17" i="1"/>
  <c r="B16" i="1"/>
  <c r="C16" i="1" s="1"/>
  <c r="F14" i="1"/>
  <c r="D15" i="1"/>
  <c r="E15" i="1" s="1"/>
  <c r="F15" i="1" s="1"/>
  <c r="J22" i="1"/>
  <c r="J24" i="1" s="1"/>
  <c r="J24" i="4" l="1"/>
  <c r="B38" i="4"/>
  <c r="B37" i="4"/>
  <c r="B41" i="4"/>
  <c r="B39" i="4"/>
  <c r="B44" i="4"/>
  <c r="B46" i="4"/>
  <c r="B40" i="4"/>
  <c r="B45" i="4"/>
  <c r="B42" i="4"/>
  <c r="B43" i="4"/>
  <c r="B47" i="4"/>
  <c r="M16" i="1"/>
  <c r="F19" i="4"/>
  <c r="A21" i="4"/>
  <c r="B20" i="4"/>
  <c r="C20" i="4" s="1"/>
  <c r="B48" i="4"/>
  <c r="B51" i="4"/>
  <c r="C18" i="4"/>
  <c r="F18" i="4" s="1"/>
  <c r="B52" i="4"/>
  <c r="A53" i="4"/>
  <c r="B50" i="4"/>
  <c r="B49" i="4"/>
  <c r="J28" i="1"/>
  <c r="B50" i="1"/>
  <c r="B52" i="1"/>
  <c r="B54" i="1"/>
  <c r="B58" i="1"/>
  <c r="B60" i="1"/>
  <c r="B51" i="1"/>
  <c r="B53" i="1"/>
  <c r="B38" i="1"/>
  <c r="B62" i="1"/>
  <c r="B61" i="1"/>
  <c r="B37" i="1"/>
  <c r="B39" i="1"/>
  <c r="B55" i="1"/>
  <c r="B56" i="1"/>
  <c r="B57" i="1"/>
  <c r="B59" i="1"/>
  <c r="B40" i="1"/>
  <c r="B46" i="1"/>
  <c r="B41" i="1"/>
  <c r="B42" i="1"/>
  <c r="B48" i="1"/>
  <c r="B43" i="1"/>
  <c r="B44" i="1"/>
  <c r="B49" i="1"/>
  <c r="B45" i="1"/>
  <c r="B47" i="1"/>
  <c r="D16" i="1"/>
  <c r="E16" i="1" s="1"/>
  <c r="F16" i="1" s="1"/>
  <c r="A18" i="1"/>
  <c r="B17" i="1"/>
  <c r="C17" i="1" s="1"/>
  <c r="D17" i="1"/>
  <c r="E17" i="1" s="1"/>
  <c r="J31" i="4" l="1"/>
  <c r="F17" i="1"/>
  <c r="D20" i="4"/>
  <c r="E20" i="4" s="1"/>
  <c r="F20" i="4" s="1"/>
  <c r="A22" i="4"/>
  <c r="B21" i="4"/>
  <c r="D21" i="4" s="1"/>
  <c r="E21" i="4" s="1"/>
  <c r="A54" i="4"/>
  <c r="B53" i="4"/>
  <c r="J31" i="1"/>
  <c r="J30" i="1"/>
  <c r="J32" i="1" s="1"/>
  <c r="A19" i="1"/>
  <c r="B18" i="1"/>
  <c r="C18" i="1"/>
  <c r="D18" i="1"/>
  <c r="E18" i="1" s="1"/>
  <c r="J32" i="4" l="1"/>
  <c r="C37" i="4"/>
  <c r="C41" i="4"/>
  <c r="C40" i="4"/>
  <c r="C50" i="4"/>
  <c r="C48" i="4"/>
  <c r="C47" i="4"/>
  <c r="C38" i="4"/>
  <c r="C42" i="4"/>
  <c r="C45" i="4"/>
  <c r="C44" i="4"/>
  <c r="C46" i="4"/>
  <c r="C52" i="4"/>
  <c r="C39" i="4"/>
  <c r="C51" i="4"/>
  <c r="C43" i="4"/>
  <c r="C49" i="4"/>
  <c r="C53" i="4"/>
  <c r="A55" i="4"/>
  <c r="B54" i="4"/>
  <c r="C54" i="4"/>
  <c r="C21" i="4"/>
  <c r="F21" i="4" s="1"/>
  <c r="B22" i="4"/>
  <c r="C22" i="4"/>
  <c r="A23" i="4"/>
  <c r="D22" i="4"/>
  <c r="E22" i="4" s="1"/>
  <c r="C37" i="1"/>
  <c r="C49" i="1"/>
  <c r="C62" i="1"/>
  <c r="C61" i="1"/>
  <c r="C60" i="1"/>
  <c r="C44" i="1"/>
  <c r="C43" i="1"/>
  <c r="C42" i="1"/>
  <c r="C57" i="1"/>
  <c r="C41" i="1"/>
  <c r="C40" i="1"/>
  <c r="C55" i="1"/>
  <c r="C54" i="1"/>
  <c r="C52" i="1"/>
  <c r="C50" i="1"/>
  <c r="C48" i="1"/>
  <c r="C47" i="1"/>
  <c r="C46" i="1"/>
  <c r="C45" i="1"/>
  <c r="C58" i="1"/>
  <c r="C56" i="1"/>
  <c r="C39" i="1"/>
  <c r="C38" i="1"/>
  <c r="C53" i="1"/>
  <c r="C51" i="1"/>
  <c r="C59" i="1"/>
  <c r="F18" i="1"/>
  <c r="A20" i="1"/>
  <c r="B19" i="1"/>
  <c r="D19" i="1"/>
  <c r="E19" i="1" s="1"/>
  <c r="C19" i="1"/>
  <c r="F22" i="4" l="1"/>
  <c r="A24" i="4"/>
  <c r="B23" i="4"/>
  <c r="C23" i="4" s="1"/>
  <c r="A56" i="4"/>
  <c r="B55" i="4"/>
  <c r="C55" i="4"/>
  <c r="F19" i="1"/>
  <c r="A21" i="1"/>
  <c r="B20" i="1"/>
  <c r="D20" i="1"/>
  <c r="E20" i="1" s="1"/>
  <c r="C20" i="1"/>
  <c r="F20" i="1" s="1"/>
  <c r="A57" i="4" l="1"/>
  <c r="B56" i="4"/>
  <c r="C56" i="4"/>
  <c r="D23" i="4"/>
  <c r="E23" i="4" s="1"/>
  <c r="F23" i="4" s="1"/>
  <c r="B24" i="4"/>
  <c r="D24" i="4" s="1"/>
  <c r="E24" i="4" s="1"/>
  <c r="C24" i="4"/>
  <c r="A25" i="4"/>
  <c r="A22" i="1"/>
  <c r="B21" i="1"/>
  <c r="C21" i="1"/>
  <c r="D21" i="1"/>
  <c r="E21" i="1" s="1"/>
  <c r="A26" i="4" l="1"/>
  <c r="B25" i="4"/>
  <c r="C25" i="4" s="1"/>
  <c r="F24" i="4"/>
  <c r="A58" i="4"/>
  <c r="B57" i="4"/>
  <c r="C57" i="4"/>
  <c r="F21" i="1"/>
  <c r="A23" i="1"/>
  <c r="B22" i="1"/>
  <c r="D22" i="1"/>
  <c r="E22" i="1" s="1"/>
  <c r="C22" i="1"/>
  <c r="F22" i="1" l="1"/>
  <c r="D25" i="4"/>
  <c r="E25" i="4" s="1"/>
  <c r="F25" i="4" s="1"/>
  <c r="A59" i="4"/>
  <c r="B58" i="4"/>
  <c r="C58" i="4"/>
  <c r="A27" i="4"/>
  <c r="B26" i="4"/>
  <c r="C26" i="4" s="1"/>
  <c r="D26" i="4"/>
  <c r="E26" i="4" s="1"/>
  <c r="A24" i="1"/>
  <c r="B23" i="1"/>
  <c r="C23" i="1" s="1"/>
  <c r="D23" i="1"/>
  <c r="E23" i="1" s="1"/>
  <c r="F26" i="4" l="1"/>
  <c r="F23" i="1"/>
  <c r="A28" i="4"/>
  <c r="B27" i="4"/>
  <c r="C27" i="4" s="1"/>
  <c r="A60" i="4"/>
  <c r="B59" i="4"/>
  <c r="C59" i="4"/>
  <c r="A25" i="1"/>
  <c r="B24" i="1"/>
  <c r="C24" i="1" s="1"/>
  <c r="A61" i="4" l="1"/>
  <c r="B60" i="4"/>
  <c r="C60" i="4"/>
  <c r="D27" i="4"/>
  <c r="E27" i="4" s="1"/>
  <c r="F27" i="4" s="1"/>
  <c r="A29" i="4"/>
  <c r="B28" i="4"/>
  <c r="D28" i="4" s="1"/>
  <c r="E28" i="4" s="1"/>
  <c r="D24" i="1"/>
  <c r="E24" i="1" s="1"/>
  <c r="F24" i="1" s="1"/>
  <c r="A26" i="1"/>
  <c r="B25" i="1"/>
  <c r="C25" i="1" s="1"/>
  <c r="A62" i="4" l="1"/>
  <c r="B61" i="4"/>
  <c r="C61" i="4"/>
  <c r="C28" i="4"/>
  <c r="F28" i="4" s="1"/>
  <c r="B29" i="4"/>
  <c r="D29" i="4" s="1"/>
  <c r="E29" i="4" s="1"/>
  <c r="A30" i="4"/>
  <c r="C29" i="4"/>
  <c r="D25" i="1"/>
  <c r="E25" i="1" s="1"/>
  <c r="F25" i="1" s="1"/>
  <c r="A27" i="1"/>
  <c r="B26" i="1"/>
  <c r="C26" i="1" s="1"/>
  <c r="F29" i="4" l="1"/>
  <c r="A31" i="4"/>
  <c r="B30" i="4"/>
  <c r="C30" i="4" s="1"/>
  <c r="B62" i="4"/>
  <c r="C62" i="4"/>
  <c r="D26" i="1"/>
  <c r="E26" i="1" s="1"/>
  <c r="F26" i="1" s="1"/>
  <c r="A28" i="1"/>
  <c r="B27" i="1"/>
  <c r="D27" i="1" s="1"/>
  <c r="E27" i="1" s="1"/>
  <c r="D30" i="4" l="1"/>
  <c r="E30" i="4" s="1"/>
  <c r="F30" i="4" s="1"/>
  <c r="B31" i="4"/>
  <c r="C31" i="4" s="1"/>
  <c r="D31" i="4"/>
  <c r="E31" i="4" s="1"/>
  <c r="A32" i="4"/>
  <c r="C27" i="1"/>
  <c r="F27" i="1" s="1"/>
  <c r="A29" i="1"/>
  <c r="B28" i="1"/>
  <c r="D28" i="1" s="1"/>
  <c r="E28" i="1" s="1"/>
  <c r="F31" i="4" l="1"/>
  <c r="A33" i="4"/>
  <c r="B32" i="4"/>
  <c r="C32" i="4" s="1"/>
  <c r="C28" i="1"/>
  <c r="F28" i="1" s="1"/>
  <c r="A30" i="1"/>
  <c r="B29" i="1"/>
  <c r="D29" i="1" s="1"/>
  <c r="E29" i="1" s="1"/>
  <c r="C29" i="1"/>
  <c r="D32" i="4" l="1"/>
  <c r="E32" i="4" s="1"/>
  <c r="F32" i="4" s="1"/>
  <c r="A34" i="4"/>
  <c r="B33" i="4"/>
  <c r="D33" i="4" s="1"/>
  <c r="E33" i="4" s="1"/>
  <c r="C33" i="4"/>
  <c r="F29" i="1"/>
  <c r="A31" i="1"/>
  <c r="B30" i="1"/>
  <c r="C30" i="1" s="1"/>
  <c r="B34" i="4" l="1"/>
  <c r="C34" i="4" s="1"/>
  <c r="F33" i="4"/>
  <c r="D30" i="1"/>
  <c r="E30" i="1" s="1"/>
  <c r="F30" i="1" s="1"/>
  <c r="A32" i="1"/>
  <c r="B31" i="1"/>
  <c r="D31" i="1" s="1"/>
  <c r="E31" i="1" s="1"/>
  <c r="D34" i="4" l="1"/>
  <c r="E34" i="4" s="1"/>
  <c r="F34" i="4" s="1"/>
  <c r="A33" i="1"/>
  <c r="B32" i="1"/>
  <c r="C32" i="1" s="1"/>
  <c r="D32" i="1"/>
  <c r="E32" i="1" s="1"/>
  <c r="C31" i="1"/>
  <c r="F31" i="1" s="1"/>
  <c r="F32" i="1" l="1"/>
  <c r="A34" i="1"/>
  <c r="B33" i="1"/>
  <c r="C33" i="1" s="1"/>
  <c r="D33" i="1" l="1"/>
  <c r="E33" i="1" s="1"/>
  <c r="F33" i="1" s="1"/>
  <c r="B34" i="1"/>
  <c r="D34" i="1" s="1"/>
  <c r="E34" i="1" s="1"/>
  <c r="C34" i="1" l="1"/>
  <c r="F34" i="1" s="1"/>
</calcChain>
</file>

<file path=xl/sharedStrings.xml><?xml version="1.0" encoding="utf-8"?>
<sst xmlns="http://schemas.openxmlformats.org/spreadsheetml/2006/main" count="195" uniqueCount="130">
  <si>
    <r>
      <t>E[r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] =</t>
    </r>
  </si>
  <si>
    <r>
      <t>s</t>
    </r>
    <r>
      <rPr>
        <vertAlign val="subscript"/>
        <sz val="11"/>
        <color theme="1"/>
        <rFont val="Symbol"/>
        <family val="1"/>
        <charset val="2"/>
      </rPr>
      <t>A</t>
    </r>
    <r>
      <rPr>
        <sz val="11"/>
        <color theme="1"/>
        <rFont val="Symbol"/>
        <family val="1"/>
        <charset val="2"/>
      </rPr>
      <t xml:space="preserve"> =</t>
    </r>
  </si>
  <si>
    <r>
      <t>E[r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] =</t>
    </r>
  </si>
  <si>
    <r>
      <t>s</t>
    </r>
    <r>
      <rPr>
        <vertAlign val="subscript"/>
        <sz val="11"/>
        <color theme="1"/>
        <rFont val="Symbol"/>
        <family val="1"/>
        <charset val="2"/>
      </rPr>
      <t>B</t>
    </r>
    <r>
      <rPr>
        <sz val="11"/>
        <color theme="1"/>
        <rFont val="Symbol"/>
        <family val="1"/>
        <charset val="2"/>
      </rPr>
      <t xml:space="preserve"> =</t>
    </r>
  </si>
  <si>
    <r>
      <t>r(</t>
    </r>
    <r>
      <rPr>
        <sz val="11"/>
        <color theme="1"/>
        <rFont val="Calibri"/>
        <family val="2"/>
        <scheme val="minor"/>
      </rPr>
      <t>r</t>
    </r>
    <r>
      <rPr>
        <vertAlign val="subscript"/>
        <sz val="11"/>
        <color theme="1"/>
        <rFont val="Symbol"/>
        <family val="1"/>
        <charset val="2"/>
      </rPr>
      <t>A</t>
    </r>
    <r>
      <rPr>
        <sz val="11"/>
        <color theme="1"/>
        <rFont val="Symbol"/>
        <family val="1"/>
        <charset val="2"/>
      </rPr>
      <t xml:space="preserve">, </t>
    </r>
    <r>
      <rPr>
        <sz val="11"/>
        <color theme="1"/>
        <rFont val="Calibri"/>
        <family val="2"/>
        <scheme val="minor"/>
      </rPr>
      <t>r</t>
    </r>
    <r>
      <rPr>
        <vertAlign val="subscript"/>
        <sz val="11"/>
        <color theme="1"/>
        <rFont val="Symbol"/>
        <family val="1"/>
        <charset val="2"/>
      </rPr>
      <t>B</t>
    </r>
    <r>
      <rPr>
        <sz val="11"/>
        <color theme="1"/>
        <rFont val="Symbol"/>
        <family val="1"/>
        <charset val="2"/>
      </rPr>
      <t>) =</t>
    </r>
  </si>
  <si>
    <r>
      <rPr>
        <sz val="11"/>
        <color theme="1"/>
        <rFont val="Calibri Light"/>
        <family val="2"/>
        <scheme val="major"/>
      </rPr>
      <t>COV</t>
    </r>
    <r>
      <rPr>
        <sz val="11"/>
        <color theme="1"/>
        <rFont val="Symbol"/>
        <family val="1"/>
        <charset val="2"/>
      </rPr>
      <t>(</t>
    </r>
    <r>
      <rPr>
        <sz val="11"/>
        <color theme="1"/>
        <rFont val="Calibri"/>
        <family val="2"/>
        <scheme val="minor"/>
      </rPr>
      <t>r</t>
    </r>
    <r>
      <rPr>
        <vertAlign val="subscript"/>
        <sz val="11"/>
        <color theme="1"/>
        <rFont val="Symbol"/>
        <family val="1"/>
        <charset val="2"/>
      </rPr>
      <t>A</t>
    </r>
    <r>
      <rPr>
        <sz val="11"/>
        <color theme="1"/>
        <rFont val="Symbol"/>
        <family val="1"/>
        <charset val="2"/>
      </rPr>
      <t xml:space="preserve">, </t>
    </r>
    <r>
      <rPr>
        <sz val="11"/>
        <color theme="1"/>
        <rFont val="Calibri"/>
        <family val="2"/>
        <scheme val="minor"/>
      </rPr>
      <t>r</t>
    </r>
    <r>
      <rPr>
        <vertAlign val="subscript"/>
        <sz val="11"/>
        <color theme="1"/>
        <rFont val="Symbol"/>
        <family val="1"/>
        <charset val="2"/>
      </rPr>
      <t>B</t>
    </r>
    <r>
      <rPr>
        <sz val="11"/>
        <color theme="1"/>
        <rFont val="Symbol"/>
        <family val="1"/>
        <charset val="2"/>
      </rPr>
      <t>) =</t>
    </r>
  </si>
  <si>
    <r>
      <t>r</t>
    </r>
    <r>
      <rPr>
        <vertAlign val="subscript"/>
        <sz val="11"/>
        <color theme="1"/>
        <rFont val="Calibri Light"/>
        <family val="2"/>
        <scheme val="major"/>
      </rPr>
      <t>f</t>
    </r>
    <r>
      <rPr>
        <sz val="11"/>
        <color theme="1"/>
        <rFont val="Calibri Light"/>
        <family val="2"/>
        <scheme val="major"/>
      </rPr>
      <t xml:space="preserve"> =</t>
    </r>
  </si>
  <si>
    <t>w</t>
  </si>
  <si>
    <t>1 - w</t>
  </si>
  <si>
    <r>
      <t>E[r</t>
    </r>
    <r>
      <rPr>
        <b/>
        <vertAlign val="subscript"/>
        <sz val="11"/>
        <color rgb="FF0070C0"/>
        <rFont val="Calibri"/>
        <family val="2"/>
        <scheme val="minor"/>
      </rPr>
      <t>p</t>
    </r>
    <r>
      <rPr>
        <b/>
        <sz val="11"/>
        <color rgb="FF0070C0"/>
        <rFont val="Calibri"/>
        <family val="2"/>
        <scheme val="minor"/>
      </rPr>
      <t>]</t>
    </r>
  </si>
  <si>
    <r>
      <t>s</t>
    </r>
    <r>
      <rPr>
        <b/>
        <vertAlign val="superscript"/>
        <sz val="11"/>
        <color rgb="FF0070C0"/>
        <rFont val="Symbol"/>
        <family val="1"/>
        <charset val="2"/>
      </rPr>
      <t>2</t>
    </r>
    <r>
      <rPr>
        <b/>
        <vertAlign val="subscript"/>
        <sz val="11"/>
        <color rgb="FF0070C0"/>
        <rFont val="Calibri Light"/>
        <family val="2"/>
        <scheme val="major"/>
      </rPr>
      <t>p</t>
    </r>
  </si>
  <si>
    <r>
      <t>s</t>
    </r>
    <r>
      <rPr>
        <b/>
        <vertAlign val="subscript"/>
        <sz val="11"/>
        <color rgb="FF0070C0"/>
        <rFont val="Calibri Light"/>
        <family val="2"/>
        <scheme val="major"/>
      </rPr>
      <t>p</t>
    </r>
  </si>
  <si>
    <t>RS</t>
  </si>
  <si>
    <t>w =</t>
  </si>
  <si>
    <t>numerador =</t>
  </si>
  <si>
    <t>1 - w =</t>
  </si>
  <si>
    <t>denominador =</t>
  </si>
  <si>
    <r>
      <t>S</t>
    </r>
    <r>
      <rPr>
        <b/>
        <sz val="11"/>
        <color theme="1"/>
        <rFont val="Calibri Light"/>
        <family val="2"/>
        <scheme val="major"/>
      </rPr>
      <t xml:space="preserve"> =</t>
    </r>
  </si>
  <si>
    <t>w* =</t>
  </si>
  <si>
    <r>
      <t>E[r</t>
    </r>
    <r>
      <rPr>
        <b/>
        <vertAlign val="subscript"/>
        <sz val="11"/>
        <color theme="1"/>
        <rFont val="Calibri"/>
        <family val="2"/>
        <scheme val="minor"/>
      </rPr>
      <t>p</t>
    </r>
    <r>
      <rPr>
        <b/>
        <sz val="11"/>
        <color theme="1"/>
        <rFont val="Calibri"/>
        <family val="2"/>
        <scheme val="minor"/>
      </rPr>
      <t>] =</t>
    </r>
  </si>
  <si>
    <r>
      <t>s</t>
    </r>
    <r>
      <rPr>
        <b/>
        <vertAlign val="superscript"/>
        <sz val="11"/>
        <color rgb="FF0070C0"/>
        <rFont val="Symbol"/>
        <family val="1"/>
        <charset val="2"/>
      </rPr>
      <t>2</t>
    </r>
    <r>
      <rPr>
        <b/>
        <vertAlign val="subscript"/>
        <sz val="11"/>
        <color rgb="FF0070C0"/>
        <rFont val="Calibri Light"/>
        <family val="2"/>
        <scheme val="major"/>
      </rPr>
      <t>p</t>
    </r>
    <r>
      <rPr>
        <b/>
        <sz val="11"/>
        <color rgb="FF0070C0"/>
        <rFont val="Symbol"/>
        <family val="1"/>
        <charset val="2"/>
      </rPr>
      <t xml:space="preserve"> =</t>
    </r>
  </si>
  <si>
    <r>
      <t>s</t>
    </r>
    <r>
      <rPr>
        <b/>
        <vertAlign val="subscript"/>
        <sz val="11"/>
        <color rgb="FF0070C0"/>
        <rFont val="Calibri Light"/>
        <family val="2"/>
        <scheme val="major"/>
      </rPr>
      <t>p</t>
    </r>
    <r>
      <rPr>
        <b/>
        <sz val="11"/>
        <color rgb="FF0070C0"/>
        <rFont val="Symbol"/>
        <family val="1"/>
        <charset val="2"/>
      </rPr>
      <t xml:space="preserve"> =</t>
    </r>
  </si>
  <si>
    <t>R.S. =</t>
  </si>
  <si>
    <t>A=</t>
  </si>
  <si>
    <t>y*=</t>
  </si>
  <si>
    <t>E(rt)=</t>
  </si>
  <si>
    <r>
      <t>s</t>
    </r>
    <r>
      <rPr>
        <b/>
        <vertAlign val="subscript"/>
        <sz val="11"/>
        <rFont val="Symbol"/>
        <family val="1"/>
        <charset val="2"/>
      </rPr>
      <t>T</t>
    </r>
    <r>
      <rPr>
        <b/>
        <sz val="11"/>
        <rFont val="Symbol"/>
        <family val="1"/>
        <charset val="2"/>
      </rPr>
      <t xml:space="preserve"> =</t>
    </r>
  </si>
  <si>
    <t>Umax=</t>
  </si>
  <si>
    <r>
      <t>E[r</t>
    </r>
    <r>
      <rPr>
        <b/>
        <vertAlign val="subscript"/>
        <sz val="11"/>
        <color rgb="FF0070C0"/>
        <rFont val="Calibri"/>
        <family val="2"/>
        <scheme val="minor"/>
      </rPr>
      <t>t</t>
    </r>
    <r>
      <rPr>
        <b/>
        <sz val="11"/>
        <color rgb="FF0070C0"/>
        <rFont val="Calibri"/>
        <family val="2"/>
        <scheme val="minor"/>
      </rPr>
      <t>]</t>
    </r>
  </si>
  <si>
    <t>Activo 1</t>
  </si>
  <si>
    <t>Activo 2</t>
  </si>
  <si>
    <t>Retorno</t>
  </si>
  <si>
    <t>s</t>
  </si>
  <si>
    <t>r=</t>
  </si>
  <si>
    <t>Rf=</t>
  </si>
  <si>
    <t>W</t>
  </si>
  <si>
    <t>(1-W)</t>
  </si>
  <si>
    <r>
      <t>s</t>
    </r>
    <r>
      <rPr>
        <b/>
        <vertAlign val="superscript"/>
        <sz val="11"/>
        <rFont val="Symbol"/>
        <family val="1"/>
        <charset val="2"/>
      </rPr>
      <t>2</t>
    </r>
    <r>
      <rPr>
        <b/>
        <vertAlign val="subscript"/>
        <sz val="11"/>
        <rFont val="Calibri Light"/>
        <family val="2"/>
        <scheme val="major"/>
      </rPr>
      <t>p</t>
    </r>
    <r>
      <rPr>
        <b/>
        <sz val="11"/>
        <rFont val="Symbol"/>
        <family val="1"/>
        <charset val="2"/>
      </rPr>
      <t xml:space="preserve"> =</t>
    </r>
  </si>
  <si>
    <r>
      <t>s</t>
    </r>
    <r>
      <rPr>
        <b/>
        <vertAlign val="subscript"/>
        <sz val="11"/>
        <rFont val="Calibri Light"/>
        <family val="2"/>
        <scheme val="major"/>
      </rPr>
      <t>p</t>
    </r>
    <r>
      <rPr>
        <b/>
        <sz val="11"/>
        <rFont val="Symbol"/>
        <family val="1"/>
        <charset val="2"/>
      </rPr>
      <t xml:space="preserve"> =</t>
    </r>
  </si>
  <si>
    <t>R.S=</t>
  </si>
  <si>
    <t>Bonos</t>
  </si>
  <si>
    <t>Acciones</t>
  </si>
  <si>
    <t>B1</t>
  </si>
  <si>
    <t>B2</t>
  </si>
  <si>
    <t>B3</t>
  </si>
  <si>
    <t>W1</t>
  </si>
  <si>
    <t>W2</t>
  </si>
  <si>
    <t>W3</t>
  </si>
  <si>
    <t>E</t>
  </si>
  <si>
    <t>Bp</t>
  </si>
  <si>
    <t>E1</t>
  </si>
  <si>
    <t>E2</t>
  </si>
  <si>
    <t>E3</t>
  </si>
  <si>
    <t>EM</t>
  </si>
  <si>
    <t>Ep</t>
  </si>
  <si>
    <t>TIR</t>
  </si>
  <si>
    <t xml:space="preserve">Beta </t>
  </si>
  <si>
    <t>Rf</t>
  </si>
  <si>
    <t>Rm</t>
  </si>
  <si>
    <t>E(r_i)</t>
  </si>
  <si>
    <t>Subvalorada</t>
  </si>
  <si>
    <t>Sobrevalorada</t>
  </si>
  <si>
    <t>B Fuju</t>
  </si>
  <si>
    <t>B Rosita</t>
  </si>
  <si>
    <t>E Fuju</t>
  </si>
  <si>
    <t>E Rosita</t>
  </si>
  <si>
    <t>E Fuju Justo</t>
  </si>
  <si>
    <t>E Rosita Justo</t>
  </si>
  <si>
    <t>Alpha Fuju</t>
  </si>
  <si>
    <t>Alpha Rosita</t>
  </si>
  <si>
    <t>Desviacion</t>
  </si>
  <si>
    <t>Beta</t>
  </si>
  <si>
    <t>VaR</t>
  </si>
  <si>
    <t>LS</t>
  </si>
  <si>
    <t>BMVF</t>
  </si>
  <si>
    <t>HFG</t>
  </si>
  <si>
    <t>S&amp;P</t>
  </si>
  <si>
    <t>R.S</t>
  </si>
  <si>
    <t>Retorno Justo</t>
  </si>
  <si>
    <t>Valoracion</t>
  </si>
  <si>
    <t>Alpha</t>
  </si>
  <si>
    <t>Portafolio</t>
  </si>
  <si>
    <t>A</t>
  </si>
  <si>
    <t>B</t>
  </si>
  <si>
    <t>Riesgo</t>
  </si>
  <si>
    <t>a.</t>
  </si>
  <si>
    <t>W1*E(Ra)+(1-W1)E(Rb) = E(Rp)</t>
  </si>
  <si>
    <t>W1*B1+(1-W1)*B2 =1</t>
  </si>
  <si>
    <t>W1B1+B2-W1B2=1</t>
  </si>
  <si>
    <t>W1*0,4+1,2-W1*1,2=1</t>
  </si>
  <si>
    <t>W1*(0,4-1,2)+1,2=1</t>
  </si>
  <si>
    <t>W1*(-0,8)+1,2=1</t>
  </si>
  <si>
    <t>W1*E(Ra)+E(Rb)-W1*E(Rb) = E(Rp)</t>
  </si>
  <si>
    <t>E(Rp)</t>
  </si>
  <si>
    <t>b.</t>
  </si>
  <si>
    <t>c.</t>
  </si>
  <si>
    <t>B1=Cov(Ri,Rm)/VarM</t>
  </si>
  <si>
    <t>VarM=Cov(Ri,Rm)/B1</t>
  </si>
  <si>
    <t>Cov(Ri,Rm)=</t>
  </si>
  <si>
    <t>VarM</t>
  </si>
  <si>
    <t xml:space="preserve">Riesgo (Desv) </t>
  </si>
  <si>
    <t>C</t>
  </si>
  <si>
    <t>Mercado</t>
  </si>
  <si>
    <t>d.</t>
  </si>
  <si>
    <t>Corr(Ra,Rc)=</t>
  </si>
  <si>
    <t>1=Cov(Ra,Rc)/Raiz(VarA*VarC)</t>
  </si>
  <si>
    <t>Raiz(VarA*VarC)=Cov(Ra,Rc)</t>
  </si>
  <si>
    <t>Cov(Ra,Rc)=</t>
  </si>
  <si>
    <t>Bc</t>
  </si>
  <si>
    <t>e.</t>
  </si>
  <si>
    <t>Corr(Rb,Rm)</t>
  </si>
  <si>
    <t>0,9=Cov(Rb,Rm)/Raiz(VarB*VarM)</t>
  </si>
  <si>
    <r>
      <t>y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=</t>
    </r>
  </si>
  <si>
    <r>
      <t>y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</t>
    </r>
  </si>
  <si>
    <r>
      <t>y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=</t>
    </r>
  </si>
  <si>
    <t>Tiempo</t>
  </si>
  <si>
    <t>Flujo</t>
  </si>
  <si>
    <t>Tasa Cero Cupón</t>
  </si>
  <si>
    <t>Factor de Descuento</t>
  </si>
  <si>
    <t>VP</t>
  </si>
  <si>
    <t>Precio =</t>
  </si>
  <si>
    <t>Valor Presente TIR</t>
  </si>
  <si>
    <t>Factor de descuento TIR</t>
  </si>
  <si>
    <t>Precio TIR=</t>
  </si>
  <si>
    <t>TIR=</t>
  </si>
  <si>
    <t>forward de 1 año dentro de 1 año</t>
  </si>
  <si>
    <t>f11=</t>
  </si>
  <si>
    <t>(1+y2)^2/(1+y1)-1</t>
  </si>
  <si>
    <t>f12=</t>
  </si>
  <si>
    <t>[(1+y3)^3/(1+y2)^2]-1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</si>
</sst>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8" formatCode="&quot;$&quot;\ #,##0.00;[Red]\-&quot;$&quot;\ #,##0.00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%"/>
    <numFmt numFmtId="165" formatCode="#,##0.000"/>
    <numFmt numFmtId="166" formatCode="#,##0.0000"/>
    <numFmt numFmtId="167" formatCode="_-* #,##0_-;\-* #,##0_-;_-* &quot;-&quot;??_-;_-@_-"/>
    <numFmt numFmtId="168" formatCode="_-&quot;$&quot;\ * #,##0.0000_-;\-&quot;$&quot;\ * #,##0.0000_-;_-&quot;$&quot;\ * &quot;-&quot;??_-;_-@_-"/>
    <numFmt numFmtId="169" formatCode="_-* #,##0.000_-;\-* #,##0.000_-;_-* &quot;-&quot;??_-;_-@_-"/>
    <numFmt numFmtId="170" formatCode="_-&quot;$&quot;\ * #,##0_-;\-&quot;$&quot;\ * #,##0_-;_-&quot;$&quot;\ * &quot;-&quot;??_-;_-@_-"/>
    <numFmt numFmtId="171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vertAlign val="subscript"/>
      <sz val="11"/>
      <color theme="1"/>
      <name val="Symbol"/>
      <family val="1"/>
      <charset val="2"/>
    </font>
    <font>
      <sz val="11"/>
      <color theme="1"/>
      <name val="Symbol"/>
      <family val="2"/>
      <charset val="2"/>
    </font>
    <font>
      <sz val="11"/>
      <color theme="1"/>
      <name val="Calibri Light"/>
      <family val="2"/>
      <scheme val="major"/>
    </font>
    <font>
      <vertAlign val="subscript"/>
      <sz val="11"/>
      <color theme="1"/>
      <name val="Calibri Light"/>
      <family val="2"/>
      <scheme val="major"/>
    </font>
    <font>
      <b/>
      <sz val="11"/>
      <color rgb="FF0070C0"/>
      <name val="Calibri"/>
      <family val="2"/>
      <scheme val="minor"/>
    </font>
    <font>
      <b/>
      <vertAlign val="subscript"/>
      <sz val="11"/>
      <color rgb="FF0070C0"/>
      <name val="Calibri"/>
      <family val="2"/>
      <scheme val="minor"/>
    </font>
    <font>
      <b/>
      <sz val="11"/>
      <color rgb="FF0070C0"/>
      <name val="Symbol"/>
      <family val="1"/>
      <charset val="2"/>
    </font>
    <font>
      <b/>
      <vertAlign val="superscript"/>
      <sz val="11"/>
      <color rgb="FF0070C0"/>
      <name val="Symbol"/>
      <family val="1"/>
      <charset val="2"/>
    </font>
    <font>
      <b/>
      <vertAlign val="subscript"/>
      <sz val="11"/>
      <color rgb="FF0070C0"/>
      <name val="Calibri Light"/>
      <family val="2"/>
      <scheme val="major"/>
    </font>
    <font>
      <b/>
      <vertAlign val="subscript"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sz val="11"/>
      <color theme="1"/>
      <name val="Calibri Light"/>
      <family val="2"/>
      <scheme val="major"/>
    </font>
    <font>
      <b/>
      <sz val="11"/>
      <name val="Symbol"/>
      <family val="1"/>
      <charset val="2"/>
    </font>
    <font>
      <b/>
      <vertAlign val="subscript"/>
      <sz val="11"/>
      <name val="Symbol"/>
      <family val="1"/>
      <charset val="2"/>
    </font>
    <font>
      <b/>
      <sz val="11"/>
      <name val="Calibri"/>
      <family val="2"/>
      <scheme val="minor"/>
    </font>
    <font>
      <b/>
      <vertAlign val="superscript"/>
      <sz val="11"/>
      <name val="Symbol"/>
      <family val="1"/>
      <charset val="2"/>
    </font>
    <font>
      <b/>
      <vertAlign val="subscript"/>
      <sz val="11"/>
      <name val="Calibri Light"/>
      <family val="2"/>
      <scheme val="major"/>
    </font>
    <font>
      <b/>
      <sz val="11"/>
      <color rgb="FF00B0F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58">
    <xf numFmtId="0" fontId="0" fillId="0" borderId="0" xfId="0"/>
    <xf numFmtId="9" fontId="0" fillId="0" borderId="0" xfId="0" applyNumberFormat="1"/>
    <xf numFmtId="0" fontId="4" fillId="0" borderId="0" xfId="0" applyFont="1"/>
    <xf numFmtId="0" fontId="7" fillId="0" borderId="0" xfId="0" applyFont="1"/>
    <xf numFmtId="0" fontId="6" fillId="0" borderId="0" xfId="0" applyFont="1"/>
    <xf numFmtId="0" fontId="9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1" fillId="0" borderId="0" xfId="0" applyFon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166" fontId="0" fillId="2" borderId="0" xfId="0" applyNumberFormat="1" applyFill="1" applyAlignment="1">
      <alignment horizontal="center" vertical="center"/>
    </xf>
    <xf numFmtId="0" fontId="9" fillId="0" borderId="0" xfId="0" applyFont="1" applyAlignment="1">
      <alignment horizontal="right"/>
    </xf>
    <xf numFmtId="9" fontId="0" fillId="0" borderId="0" xfId="0" applyNumberFormat="1" applyAlignment="1">
      <alignment horizontal="left"/>
    </xf>
    <xf numFmtId="0" fontId="2" fillId="0" borderId="0" xfId="0" applyFont="1" applyAlignment="1">
      <alignment horizontal="right"/>
    </xf>
    <xf numFmtId="164" fontId="0" fillId="0" borderId="0" xfId="0" applyNumberFormat="1" applyAlignment="1">
      <alignment horizontal="left"/>
    </xf>
    <xf numFmtId="0" fontId="15" fillId="0" borderId="0" xfId="0" applyFont="1" applyAlignment="1">
      <alignment horizontal="right"/>
    </xf>
    <xf numFmtId="9" fontId="2" fillId="0" borderId="0" xfId="0" applyNumberFormat="1" applyFont="1" applyAlignment="1">
      <alignment horizontal="left"/>
    </xf>
    <xf numFmtId="4" fontId="2" fillId="0" borderId="0" xfId="0" applyNumberFormat="1" applyFont="1" applyAlignment="1">
      <alignment horizontal="left"/>
    </xf>
    <xf numFmtId="164" fontId="0" fillId="0" borderId="0" xfId="1" applyNumberFormat="1" applyFont="1"/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right"/>
    </xf>
    <xf numFmtId="0" fontId="17" fillId="0" borderId="0" xfId="0" applyFont="1" applyAlignment="1">
      <alignment horizontal="right" vertical="center"/>
    </xf>
    <xf numFmtId="0" fontId="19" fillId="0" borderId="0" xfId="0" applyFont="1" applyAlignment="1">
      <alignment horizontal="right"/>
    </xf>
    <xf numFmtId="164" fontId="2" fillId="0" borderId="0" xfId="1" applyNumberFormat="1" applyFont="1"/>
    <xf numFmtId="166" fontId="0" fillId="0" borderId="0" xfId="0" applyNumberFormat="1" applyAlignment="1">
      <alignment horizontal="center" vertical="center"/>
    </xf>
    <xf numFmtId="10" fontId="0" fillId="0" borderId="0" xfId="1" applyNumberFormat="1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167" fontId="0" fillId="0" borderId="0" xfId="2" applyNumberFormat="1" applyFont="1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8" fontId="0" fillId="0" borderId="0" xfId="0" applyNumberFormat="1"/>
    <xf numFmtId="168" fontId="0" fillId="0" borderId="0" xfId="3" applyNumberFormat="1" applyFont="1"/>
    <xf numFmtId="8" fontId="0" fillId="0" borderId="0" xfId="3" applyNumberFormat="1" applyFont="1"/>
    <xf numFmtId="0" fontId="0" fillId="0" borderId="0" xfId="0" applyAlignment="1">
      <alignment horizontal="center"/>
    </xf>
    <xf numFmtId="169" fontId="0" fillId="0" borderId="0" xfId="2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70" fontId="0" fillId="0" borderId="0" xfId="3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0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0" fontId="0" fillId="2" borderId="0" xfId="3" applyNumberFormat="1" applyFont="1" applyFill="1" applyAlignment="1">
      <alignment horizontal="center" vertical="center"/>
    </xf>
    <xf numFmtId="164" fontId="0" fillId="2" borderId="0" xfId="1" applyNumberFormat="1" applyFont="1" applyFill="1" applyAlignment="1">
      <alignment horizontal="center" vertical="center"/>
    </xf>
    <xf numFmtId="169" fontId="0" fillId="2" borderId="0" xfId="2" applyNumberFormat="1" applyFont="1" applyFill="1" applyAlignment="1">
      <alignment horizontal="center" vertical="center"/>
    </xf>
    <xf numFmtId="9" fontId="0" fillId="0" borderId="0" xfId="1" applyFont="1"/>
    <xf numFmtId="43" fontId="0" fillId="0" borderId="0" xfId="2" applyFont="1"/>
    <xf numFmtId="0" fontId="22" fillId="0" borderId="0" xfId="0" applyFont="1" applyAlignment="1">
      <alignment horizontal="center"/>
    </xf>
    <xf numFmtId="0" fontId="22" fillId="0" borderId="0" xfId="0" applyFont="1"/>
    <xf numFmtId="171" fontId="0" fillId="0" borderId="0" xfId="0" applyNumberFormat="1" applyAlignment="1">
      <alignment horizontal="center"/>
    </xf>
    <xf numFmtId="171" fontId="22" fillId="0" borderId="0" xfId="0" applyNumberFormat="1" applyFont="1" applyAlignment="1">
      <alignment horizontal="right"/>
    </xf>
    <xf numFmtId="171" fontId="0" fillId="0" borderId="0" xfId="0" applyNumberFormat="1"/>
    <xf numFmtId="10" fontId="0" fillId="0" borderId="0" xfId="0" applyNumberFormat="1" applyAlignment="1">
      <alignment horizontal="left"/>
    </xf>
    <xf numFmtId="0" fontId="23" fillId="0" borderId="0" xfId="0" applyFont="1"/>
  </cellXfs>
  <cellStyles count="5">
    <cellStyle name="Millares" xfId="2" builtinId="3"/>
    <cellStyle name="Moneda" xfId="3" builtinId="4"/>
    <cellStyle name="Normal" xfId="0" builtinId="0"/>
    <cellStyle name="Normal 2" xfId="4" xr:uid="{CED5B5C0-504B-474D-AFEC-CB815C2C59FF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v>Acciones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Hoja1!$B$3</c:f>
              <c:numCache>
                <c:formatCode>0%</c:formatCode>
                <c:ptCount val="1"/>
                <c:pt idx="0">
                  <c:v>0.2</c:v>
                </c:pt>
              </c:numCache>
            </c:numRef>
          </c:xVal>
          <c:yVal>
            <c:numRef>
              <c:f>Hoja1!$B$2</c:f>
              <c:numCache>
                <c:formatCode>0%</c:formatCode>
                <c:ptCount val="1"/>
                <c:pt idx="0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86-4171-9F94-1B07097973EA}"/>
            </c:ext>
          </c:extLst>
        </c:ser>
        <c:ser>
          <c:idx val="2"/>
          <c:order val="2"/>
          <c:tx>
            <c:v>Bonos Corporativos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Hoja1!$B$6</c:f>
              <c:numCache>
                <c:formatCode>0%</c:formatCode>
                <c:ptCount val="1"/>
                <c:pt idx="0">
                  <c:v>0.15</c:v>
                </c:pt>
              </c:numCache>
            </c:numRef>
          </c:xVal>
          <c:yVal>
            <c:numRef>
              <c:f>Hoja1!$B$5</c:f>
              <c:numCache>
                <c:formatCode>0%</c:formatCode>
                <c:ptCount val="1"/>
                <c:pt idx="0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86-4171-9F94-1B07097973EA}"/>
            </c:ext>
          </c:extLst>
        </c:ser>
        <c:ser>
          <c:idx val="3"/>
          <c:order val="3"/>
          <c:tx>
            <c:v>Punto Óptimo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Hoja1!$J$22</c:f>
              <c:numCache>
                <c:formatCode>0.0%</c:formatCode>
                <c:ptCount val="1"/>
                <c:pt idx="0">
                  <c:v>0.15127873495178393</c:v>
                </c:pt>
              </c:numCache>
            </c:numRef>
          </c:xVal>
          <c:yVal>
            <c:numRef>
              <c:f>Hoja1!$J$18</c:f>
              <c:numCache>
                <c:formatCode>0.0%</c:formatCode>
                <c:ptCount val="1"/>
                <c:pt idx="0">
                  <c:v>0.131034482759637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86-4171-9F94-1B07097973EA}"/>
            </c:ext>
          </c:extLst>
        </c:ser>
        <c:ser>
          <c:idx val="5"/>
          <c:order val="5"/>
          <c:tx>
            <c:v>Y*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Hoja1!$J$30</c:f>
              <c:numCache>
                <c:formatCode>0.0%</c:formatCode>
                <c:ptCount val="1"/>
                <c:pt idx="0">
                  <c:v>0.12173382173382173</c:v>
                </c:pt>
              </c:numCache>
            </c:numRef>
          </c:xVal>
          <c:yVal>
            <c:numRef>
              <c:f>Hoja1!$J$31</c:f>
              <c:numCache>
                <c:formatCode>0.0%</c:formatCode>
                <c:ptCount val="1"/>
                <c:pt idx="0">
                  <c:v>0.13391585206186546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D4-4F0F-A342-5AFE3D141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363775"/>
        <c:axId val="1794361279"/>
      </c:scatterChart>
      <c:scatterChart>
        <c:scatterStyle val="smoothMarker"/>
        <c:varyColors val="0"/>
        <c:ser>
          <c:idx val="0"/>
          <c:order val="0"/>
          <c:tx>
            <c:v>Portafolio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Hoja1!$E$14:$E$34</c:f>
              <c:numCache>
                <c:formatCode>0.0%</c:formatCode>
                <c:ptCount val="21"/>
                <c:pt idx="0">
                  <c:v>0.15</c:v>
                </c:pt>
                <c:pt idx="1">
                  <c:v>0.14581237944701403</c:v>
                </c:pt>
                <c:pt idx="2">
                  <c:v>0.14228492541376267</c:v>
                </c:pt>
                <c:pt idx="3">
                  <c:v>0.13946773820493397</c:v>
                </c:pt>
                <c:pt idx="4">
                  <c:v>0.13740451229854136</c:v>
                </c:pt>
                <c:pt idx="5">
                  <c:v>0.13612953390061983</c:v>
                </c:pt>
                <c:pt idx="6">
                  <c:v>0.13566502865514016</c:v>
                </c:pt>
                <c:pt idx="7">
                  <c:v>0.13601930010112537</c:v>
                </c:pt>
                <c:pt idx="8">
                  <c:v>0.13718600511714016</c:v>
                </c:pt>
                <c:pt idx="9">
                  <c:v>0.13914470884658173</c:v>
                </c:pt>
                <c:pt idx="10">
                  <c:v>0.14186260959111108</c:v>
                </c:pt>
                <c:pt idx="11">
                  <c:v>0.14529710940001525</c:v>
                </c:pt>
                <c:pt idx="12">
                  <c:v>0.1493987951758648</c:v>
                </c:pt>
                <c:pt idx="13">
                  <c:v>0.1541144055563918</c:v>
                </c:pt>
                <c:pt idx="14">
                  <c:v>0.15938946012832844</c:v>
                </c:pt>
                <c:pt idx="15">
                  <c:v>0.16517036659158935</c:v>
                </c:pt>
                <c:pt idx="16">
                  <c:v>0.17140595088852664</c:v>
                </c:pt>
                <c:pt idx="17">
                  <c:v>0.17804844846277099</c:v>
                </c:pt>
                <c:pt idx="18">
                  <c:v>0.18505404615949367</c:v>
                </c:pt>
                <c:pt idx="19">
                  <c:v>0.19238308137671573</c:v>
                </c:pt>
                <c:pt idx="20">
                  <c:v>0.20000000000000007</c:v>
                </c:pt>
              </c:numCache>
            </c:numRef>
          </c:xVal>
          <c:yVal>
            <c:numRef>
              <c:f>Hoja1!$C$14:$C$34</c:f>
              <c:numCache>
                <c:formatCode>0.0%</c:formatCode>
                <c:ptCount val="21"/>
                <c:pt idx="0">
                  <c:v>0.1</c:v>
                </c:pt>
                <c:pt idx="1">
                  <c:v>0.10250000000000001</c:v>
                </c:pt>
                <c:pt idx="2">
                  <c:v>0.10500000000000001</c:v>
                </c:pt>
                <c:pt idx="3">
                  <c:v>0.10750000000000001</c:v>
                </c:pt>
                <c:pt idx="4">
                  <c:v>0.11000000000000001</c:v>
                </c:pt>
                <c:pt idx="5">
                  <c:v>0.11250000000000002</c:v>
                </c:pt>
                <c:pt idx="6">
                  <c:v>0.11499999999999999</c:v>
                </c:pt>
                <c:pt idx="7">
                  <c:v>0.11749999999999999</c:v>
                </c:pt>
                <c:pt idx="8">
                  <c:v>0.12</c:v>
                </c:pt>
                <c:pt idx="9">
                  <c:v>0.1225</c:v>
                </c:pt>
                <c:pt idx="10">
                  <c:v>0.12499999999999999</c:v>
                </c:pt>
                <c:pt idx="11">
                  <c:v>0.1275</c:v>
                </c:pt>
                <c:pt idx="12">
                  <c:v>0.13</c:v>
                </c:pt>
                <c:pt idx="13">
                  <c:v>0.13250000000000001</c:v>
                </c:pt>
                <c:pt idx="14">
                  <c:v>0.13500000000000001</c:v>
                </c:pt>
                <c:pt idx="15">
                  <c:v>0.13750000000000001</c:v>
                </c:pt>
                <c:pt idx="16">
                  <c:v>0.14000000000000001</c:v>
                </c:pt>
                <c:pt idx="17">
                  <c:v>0.14250000000000002</c:v>
                </c:pt>
                <c:pt idx="18">
                  <c:v>0.14500000000000002</c:v>
                </c:pt>
                <c:pt idx="19">
                  <c:v>0.14750000000000002</c:v>
                </c:pt>
                <c:pt idx="20">
                  <c:v>0.15000000000000002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86-4171-9F94-1B07097973EA}"/>
            </c:ext>
          </c:extLst>
        </c:ser>
        <c:ser>
          <c:idx val="4"/>
          <c:order val="4"/>
          <c:tx>
            <c:v>CAL óptima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Hoja1!$A$37:$A$62</c:f>
              <c:numCache>
                <c:formatCode>0%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</c:numCache>
            </c:numRef>
          </c:xVal>
          <c:yVal>
            <c:numRef>
              <c:f>Hoja1!$B$37:$B$62</c:f>
              <c:numCache>
                <c:formatCode>0.00%</c:formatCode>
                <c:ptCount val="26"/>
                <c:pt idx="0">
                  <c:v>0.05</c:v>
                </c:pt>
                <c:pt idx="1">
                  <c:v>5.5356634082474619E-2</c:v>
                </c:pt>
                <c:pt idx="2">
                  <c:v>6.0713268164949236E-2</c:v>
                </c:pt>
                <c:pt idx="3">
                  <c:v>6.6069902247423859E-2</c:v>
                </c:pt>
                <c:pt idx="4">
                  <c:v>7.1426536329898468E-2</c:v>
                </c:pt>
                <c:pt idx="5">
                  <c:v>7.6783170412373092E-2</c:v>
                </c:pt>
                <c:pt idx="6">
                  <c:v>8.2139804494847701E-2</c:v>
                </c:pt>
                <c:pt idx="7">
                  <c:v>8.7496438577322325E-2</c:v>
                </c:pt>
                <c:pt idx="8">
                  <c:v>9.2853072659796948E-2</c:v>
                </c:pt>
                <c:pt idx="9">
                  <c:v>9.8209706742271558E-2</c:v>
                </c:pt>
                <c:pt idx="10">
                  <c:v>0.10356634082474617</c:v>
                </c:pt>
                <c:pt idx="11">
                  <c:v>0.10892297490722078</c:v>
                </c:pt>
                <c:pt idx="12">
                  <c:v>0.1142796089896954</c:v>
                </c:pt>
                <c:pt idx="13">
                  <c:v>0.11963624307217001</c:v>
                </c:pt>
                <c:pt idx="14">
                  <c:v>0.12499287715464463</c:v>
                </c:pt>
                <c:pt idx="15">
                  <c:v>0.13034951123711924</c:v>
                </c:pt>
                <c:pt idx="16">
                  <c:v>0.13570614531959388</c:v>
                </c:pt>
                <c:pt idx="17">
                  <c:v>0.14106277940206852</c:v>
                </c:pt>
                <c:pt idx="18">
                  <c:v>0.14641941348454313</c:v>
                </c:pt>
                <c:pt idx="19">
                  <c:v>0.15177604756701774</c:v>
                </c:pt>
                <c:pt idx="20">
                  <c:v>0.15713268164949237</c:v>
                </c:pt>
                <c:pt idx="21">
                  <c:v>0.16248931573196701</c:v>
                </c:pt>
                <c:pt idx="22">
                  <c:v>0.16784594981444162</c:v>
                </c:pt>
                <c:pt idx="23">
                  <c:v>0.17320258389691623</c:v>
                </c:pt>
                <c:pt idx="24">
                  <c:v>0.17855921797939084</c:v>
                </c:pt>
                <c:pt idx="25">
                  <c:v>0.18391585206186545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286-4171-9F94-1B0709797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363775"/>
        <c:axId val="1794361279"/>
      </c:scatterChart>
      <c:valAx>
        <c:axId val="179436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Riesgo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4361279"/>
        <c:crosses val="autoZero"/>
        <c:crossBetween val="midCat"/>
      </c:valAx>
      <c:valAx>
        <c:axId val="179436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Retorno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4363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252668416447943"/>
          <c:y val="8.1885753864100325E-2"/>
          <c:w val="0.26260926819160724"/>
          <c:h val="0.3161742711770143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v>Acciones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'Hoja1 (2)'!$B$3</c:f>
              <c:numCache>
                <c:formatCode>0%</c:formatCode>
                <c:ptCount val="1"/>
                <c:pt idx="0">
                  <c:v>0.1</c:v>
                </c:pt>
              </c:numCache>
            </c:numRef>
          </c:xVal>
          <c:yVal>
            <c:numRef>
              <c:f>'Hoja1 (2)'!$B$2</c:f>
              <c:numCache>
                <c:formatCode>0%</c:formatCode>
                <c:ptCount val="1"/>
                <c:pt idx="0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76-4B2A-A402-CC4D2D33875C}"/>
            </c:ext>
          </c:extLst>
        </c:ser>
        <c:ser>
          <c:idx val="2"/>
          <c:order val="2"/>
          <c:tx>
            <c:v>Bonos Corporativos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'Hoja1 (2)'!$B$6</c:f>
              <c:numCache>
                <c:formatCode>0%</c:formatCode>
                <c:ptCount val="1"/>
                <c:pt idx="0">
                  <c:v>0.08</c:v>
                </c:pt>
              </c:numCache>
            </c:numRef>
          </c:xVal>
          <c:yVal>
            <c:numRef>
              <c:f>'Hoja1 (2)'!$B$5</c:f>
              <c:numCache>
                <c:formatCode>0%</c:formatCode>
                <c:ptCount val="1"/>
                <c:pt idx="0">
                  <c:v>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76-4B2A-A402-CC4D2D33875C}"/>
            </c:ext>
          </c:extLst>
        </c:ser>
        <c:ser>
          <c:idx val="3"/>
          <c:order val="3"/>
          <c:tx>
            <c:v>Punto Óptimo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'Hoja1 (2)'!$J$22</c:f>
              <c:numCache>
                <c:formatCode>0.0%</c:formatCode>
                <c:ptCount val="1"/>
                <c:pt idx="0">
                  <c:v>4.6390592644535079E-2</c:v>
                </c:pt>
              </c:numCache>
            </c:numRef>
          </c:xVal>
          <c:yVal>
            <c:numRef>
              <c:f>'Hoja1 (2)'!$J$18</c:f>
              <c:numCache>
                <c:formatCode>0.0%</c:formatCode>
                <c:ptCount val="1"/>
                <c:pt idx="0">
                  <c:v>7.0265486725663712E-2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76-4B2A-A402-CC4D2D33875C}"/>
            </c:ext>
          </c:extLst>
        </c:ser>
        <c:ser>
          <c:idx val="5"/>
          <c:order val="5"/>
          <c:tx>
            <c:v>Y*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'Hoja1 (2)'!$J$30</c:f>
              <c:numCache>
                <c:formatCode>0.0%</c:formatCode>
                <c:ptCount val="1"/>
                <c:pt idx="0">
                  <c:v>9.7708333333333272E-2</c:v>
                </c:pt>
              </c:numCache>
            </c:numRef>
          </c:xVal>
          <c:yVal>
            <c:numRef>
              <c:f>'Hoja1 (2)'!$J$31</c:f>
              <c:numCache>
                <c:formatCode>0.0%</c:formatCode>
                <c:ptCount val="1"/>
                <c:pt idx="0">
                  <c:v>0.10921118685067624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76-4B2A-A402-CC4D2D338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363775"/>
        <c:axId val="1794361279"/>
      </c:scatterChart>
      <c:scatterChart>
        <c:scatterStyle val="smoothMarker"/>
        <c:varyColors val="0"/>
        <c:ser>
          <c:idx val="0"/>
          <c:order val="0"/>
          <c:tx>
            <c:v>Portafolio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'Hoja1 (2)'!$E$14:$E$34</c:f>
              <c:numCache>
                <c:formatCode>0.0%</c:formatCode>
                <c:ptCount val="21"/>
                <c:pt idx="0">
                  <c:v>0.08</c:v>
                </c:pt>
                <c:pt idx="1">
                  <c:v>7.3627440536799857E-2</c:v>
                </c:pt>
                <c:pt idx="2">
                  <c:v>6.755738301621815E-2</c:v>
                </c:pt>
                <c:pt idx="3">
                  <c:v>6.1878914017619926E-2</c:v>
                </c:pt>
                <c:pt idx="4">
                  <c:v>5.6709787515031307E-2</c:v>
                </c:pt>
                <c:pt idx="5">
                  <c:v>5.2201532544552752E-2</c:v>
                </c:pt>
                <c:pt idx="6">
                  <c:v>4.8538644398046386E-2</c:v>
                </c:pt>
                <c:pt idx="7">
                  <c:v>4.5923850012820143E-2</c:v>
                </c:pt>
                <c:pt idx="8">
                  <c:v>4.4542114902640179E-2</c:v>
                </c:pt>
                <c:pt idx="9">
                  <c:v>4.4508426168535772E-2</c:v>
                </c:pt>
                <c:pt idx="10">
                  <c:v>4.5825756949558406E-2</c:v>
                </c:pt>
                <c:pt idx="11">
                  <c:v>4.8383881613611783E-2</c:v>
                </c:pt>
                <c:pt idx="12">
                  <c:v>5.2000000000000005E-2</c:v>
                </c:pt>
                <c:pt idx="13">
                  <c:v>5.6471231613982015E-2</c:v>
                </c:pt>
                <c:pt idx="14">
                  <c:v>6.1611687202997464E-2</c:v>
                </c:pt>
                <c:pt idx="15">
                  <c:v>6.7268120235368573E-2</c:v>
                </c:pt>
                <c:pt idx="16">
                  <c:v>7.3321211119293461E-2</c:v>
                </c:pt>
                <c:pt idx="17">
                  <c:v>7.9680612447445495E-2</c:v>
                </c:pt>
                <c:pt idx="18">
                  <c:v>8.6278618440492005E-2</c:v>
                </c:pt>
                <c:pt idx="19">
                  <c:v>9.3064493766419898E-2</c:v>
                </c:pt>
                <c:pt idx="20">
                  <c:v>0.10000000000000003</c:v>
                </c:pt>
              </c:numCache>
            </c:numRef>
          </c:xVal>
          <c:yVal>
            <c:numRef>
              <c:f>'Hoja1 (2)'!$C$14:$C$34</c:f>
              <c:numCache>
                <c:formatCode>0.0%</c:formatCode>
                <c:ptCount val="21"/>
                <c:pt idx="0">
                  <c:v>0.06</c:v>
                </c:pt>
                <c:pt idx="1">
                  <c:v>6.0999999999999999E-2</c:v>
                </c:pt>
                <c:pt idx="2">
                  <c:v>6.2E-2</c:v>
                </c:pt>
                <c:pt idx="3">
                  <c:v>6.3E-2</c:v>
                </c:pt>
                <c:pt idx="4">
                  <c:v>6.4000000000000001E-2</c:v>
                </c:pt>
                <c:pt idx="5">
                  <c:v>6.5000000000000002E-2</c:v>
                </c:pt>
                <c:pt idx="6">
                  <c:v>6.6000000000000003E-2</c:v>
                </c:pt>
                <c:pt idx="7">
                  <c:v>6.7000000000000004E-2</c:v>
                </c:pt>
                <c:pt idx="8">
                  <c:v>6.8000000000000005E-2</c:v>
                </c:pt>
                <c:pt idx="9">
                  <c:v>6.9000000000000006E-2</c:v>
                </c:pt>
                <c:pt idx="10">
                  <c:v>6.9999999999999993E-2</c:v>
                </c:pt>
                <c:pt idx="11">
                  <c:v>7.1000000000000008E-2</c:v>
                </c:pt>
                <c:pt idx="12">
                  <c:v>7.2000000000000008E-2</c:v>
                </c:pt>
                <c:pt idx="13">
                  <c:v>7.3000000000000009E-2</c:v>
                </c:pt>
                <c:pt idx="14">
                  <c:v>7.400000000000001E-2</c:v>
                </c:pt>
                <c:pt idx="15">
                  <c:v>7.5000000000000011E-2</c:v>
                </c:pt>
                <c:pt idx="16">
                  <c:v>7.6000000000000012E-2</c:v>
                </c:pt>
                <c:pt idx="17">
                  <c:v>7.7000000000000013E-2</c:v>
                </c:pt>
                <c:pt idx="18">
                  <c:v>7.8000000000000014E-2</c:v>
                </c:pt>
                <c:pt idx="19">
                  <c:v>7.9000000000000015E-2</c:v>
                </c:pt>
                <c:pt idx="20">
                  <c:v>8.0000000000000016E-2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576-4B2A-A402-CC4D2D33875C}"/>
            </c:ext>
          </c:extLst>
        </c:ser>
        <c:ser>
          <c:idx val="4"/>
          <c:order val="4"/>
          <c:tx>
            <c:v>CAL óptima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'Hoja1 (2)'!$A$37:$A$62</c:f>
              <c:numCache>
                <c:formatCode>0%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</c:numCache>
            </c:numRef>
          </c:xVal>
          <c:yVal>
            <c:numRef>
              <c:f>'Hoja1 (2)'!$B$37:$B$62</c:f>
              <c:numCache>
                <c:formatCode>0.00%</c:formatCode>
                <c:ptCount val="26"/>
                <c:pt idx="0">
                  <c:v>0.05</c:v>
                </c:pt>
                <c:pt idx="1">
                  <c:v>5.4368447474027054E-2</c:v>
                </c:pt>
                <c:pt idx="2">
                  <c:v>5.8736894948054105E-2</c:v>
                </c:pt>
                <c:pt idx="3">
                  <c:v>6.3105342422081157E-2</c:v>
                </c:pt>
                <c:pt idx="4">
                  <c:v>6.7473789896108194E-2</c:v>
                </c:pt>
                <c:pt idx="5">
                  <c:v>7.1842237370135259E-2</c:v>
                </c:pt>
                <c:pt idx="6">
                  <c:v>7.6210684844162296E-2</c:v>
                </c:pt>
                <c:pt idx="7">
                  <c:v>8.0579132318189348E-2</c:v>
                </c:pt>
                <c:pt idx="8">
                  <c:v>8.4947579792216399E-2</c:v>
                </c:pt>
                <c:pt idx="9">
                  <c:v>8.931602726624345E-2</c:v>
                </c:pt>
                <c:pt idx="10">
                  <c:v>9.3684474740270501E-2</c:v>
                </c:pt>
                <c:pt idx="11">
                  <c:v>9.8052922214297539E-2</c:v>
                </c:pt>
                <c:pt idx="12">
                  <c:v>0.10242136968832459</c:v>
                </c:pt>
                <c:pt idx="13">
                  <c:v>0.10678981716235164</c:v>
                </c:pt>
                <c:pt idx="14">
                  <c:v>0.11115826463637869</c:v>
                </c:pt>
                <c:pt idx="15">
                  <c:v>0.11552671211040574</c:v>
                </c:pt>
                <c:pt idx="16">
                  <c:v>0.11989515958443279</c:v>
                </c:pt>
                <c:pt idx="17">
                  <c:v>0.12426360705845985</c:v>
                </c:pt>
                <c:pt idx="18">
                  <c:v>0.12863205453248691</c:v>
                </c:pt>
                <c:pt idx="19">
                  <c:v>0.13300050200651398</c:v>
                </c:pt>
                <c:pt idx="20">
                  <c:v>0.13736894948054101</c:v>
                </c:pt>
                <c:pt idx="21">
                  <c:v>0.14173739695456805</c:v>
                </c:pt>
                <c:pt idx="22">
                  <c:v>0.14610584442859512</c:v>
                </c:pt>
                <c:pt idx="23">
                  <c:v>0.15047429190262218</c:v>
                </c:pt>
                <c:pt idx="24">
                  <c:v>0.15484273937664922</c:v>
                </c:pt>
                <c:pt idx="25">
                  <c:v>0.15921118685067626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576-4B2A-A402-CC4D2D338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363775"/>
        <c:axId val="1794361279"/>
      </c:scatterChart>
      <c:valAx>
        <c:axId val="179436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Riesgo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4361279"/>
        <c:crosses val="autoZero"/>
        <c:crossBetween val="midCat"/>
      </c:valAx>
      <c:valAx>
        <c:axId val="179436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Retorno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4363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252668416447943"/>
          <c:y val="8.1885753864100325E-2"/>
          <c:w val="0.26260926819160724"/>
          <c:h val="0.3161742711770143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40054</xdr:colOff>
      <xdr:row>17</xdr:row>
      <xdr:rowOff>35173</xdr:rowOff>
    </xdr:from>
    <xdr:to>
      <xdr:col>16</xdr:col>
      <xdr:colOff>40054</xdr:colOff>
      <xdr:row>31</xdr:row>
      <xdr:rowOff>76205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63FAB1-E429-EFB3-7585-65E9B19C66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457200</xdr:colOff>
      <xdr:row>10</xdr:row>
      <xdr:rowOff>127000</xdr:rowOff>
    </xdr:from>
    <xdr:to>
      <xdr:col>14</xdr:col>
      <xdr:colOff>489753</xdr:colOff>
      <xdr:row>12</xdr:row>
      <xdr:rowOff>163382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6468D08-6B03-D5AC-FBB7-918313B7C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10350" y="2184400"/>
          <a:ext cx="4045753" cy="4554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40054</xdr:colOff>
      <xdr:row>17</xdr:row>
      <xdr:rowOff>35173</xdr:rowOff>
    </xdr:from>
    <xdr:to>
      <xdr:col>16</xdr:col>
      <xdr:colOff>40054</xdr:colOff>
      <xdr:row>31</xdr:row>
      <xdr:rowOff>76205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727653F-FE63-4141-9B1B-1904DC4375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457200</xdr:colOff>
      <xdr:row>10</xdr:row>
      <xdr:rowOff>127000</xdr:rowOff>
    </xdr:from>
    <xdr:to>
      <xdr:col>14</xdr:col>
      <xdr:colOff>489753</xdr:colOff>
      <xdr:row>12</xdr:row>
      <xdr:rowOff>163382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68119ED-2824-44A0-BBF3-2E5C861DC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81900" y="2077720"/>
          <a:ext cx="4162593" cy="41738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328375</xdr:colOff>
      <xdr:row>25</xdr:row>
      <xdr:rowOff>76603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17B45BD-2716-52E3-0B9D-1DF3BB2711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253175" cy="46486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E8CA9-C933-4DBA-BEAE-6305E8D433C4}">
  <dimension ref="A2:M62"/>
  <sheetViews>
    <sheetView zoomScale="130" zoomScaleNormal="130" workbookViewId="0">
      <selection activeCell="B2" sqref="B2"/>
    </sheetView>
  </sheetViews>
  <sheetFormatPr baseColWidth="10" defaultColWidth="11.44140625" defaultRowHeight="14.4" x14ac:dyDescent="0.3"/>
  <cols>
    <col min="1" max="1" width="12.33203125" customWidth="1"/>
    <col min="12" max="12" width="14.44140625" customWidth="1"/>
  </cols>
  <sheetData>
    <row r="2" spans="1:13" ht="15.6" x14ac:dyDescent="0.35">
      <c r="A2" t="s">
        <v>0</v>
      </c>
      <c r="B2" s="1">
        <v>0.15</v>
      </c>
    </row>
    <row r="3" spans="1:13" ht="16.2" x14ac:dyDescent="0.35">
      <c r="A3" s="2" t="s">
        <v>1</v>
      </c>
      <c r="B3" s="1">
        <v>0.2</v>
      </c>
    </row>
    <row r="5" spans="1:13" ht="15.6" x14ac:dyDescent="0.35">
      <c r="A5" t="s">
        <v>2</v>
      </c>
      <c r="B5" s="1">
        <v>0.1</v>
      </c>
    </row>
    <row r="6" spans="1:13" ht="16.2" x14ac:dyDescent="0.35">
      <c r="A6" s="2" t="s">
        <v>3</v>
      </c>
      <c r="B6" s="1">
        <v>0.15</v>
      </c>
    </row>
    <row r="8" spans="1:13" ht="16.2" x14ac:dyDescent="0.35">
      <c r="A8" s="2" t="s">
        <v>4</v>
      </c>
      <c r="B8">
        <v>0.3</v>
      </c>
    </row>
    <row r="9" spans="1:13" ht="16.2" x14ac:dyDescent="0.35">
      <c r="A9" s="4" t="s">
        <v>5</v>
      </c>
      <c r="B9">
        <f>B8*B3*B6</f>
        <v>8.9999999999999993E-3</v>
      </c>
    </row>
    <row r="11" spans="1:13" ht="15.6" x14ac:dyDescent="0.35">
      <c r="A11" s="3" t="s">
        <v>6</v>
      </c>
      <c r="B11" s="1">
        <v>0.05</v>
      </c>
    </row>
    <row r="13" spans="1:13" ht="15.6" x14ac:dyDescent="0.3">
      <c r="A13" s="5" t="s">
        <v>7</v>
      </c>
      <c r="B13" s="5" t="s">
        <v>8</v>
      </c>
      <c r="C13" s="5" t="s">
        <v>9</v>
      </c>
      <c r="D13" s="7" t="s">
        <v>10</v>
      </c>
      <c r="E13" s="7" t="s">
        <v>11</v>
      </c>
      <c r="F13" s="5" t="s">
        <v>12</v>
      </c>
      <c r="G13" s="5"/>
    </row>
    <row r="14" spans="1:13" x14ac:dyDescent="0.3">
      <c r="A14" s="6">
        <v>0</v>
      </c>
      <c r="B14" s="6">
        <f>1-A14</f>
        <v>1</v>
      </c>
      <c r="C14" s="6">
        <f>A14*$B$2+B14*$B$5</f>
        <v>0.1</v>
      </c>
      <c r="D14" s="6">
        <f>A14^2*$B$3^2+2*A14*B14*$B$9+B14^2*$B$6^2</f>
        <v>2.2499999999999999E-2</v>
      </c>
      <c r="E14" s="6">
        <f>SQRT(D14)</f>
        <v>0.15</v>
      </c>
      <c r="F14" s="8">
        <f>(C14-$B$11)/E14</f>
        <v>0.33333333333333337</v>
      </c>
      <c r="G14" s="8"/>
      <c r="I14" s="12" t="s">
        <v>13</v>
      </c>
      <c r="J14" s="15">
        <v>0.62068965519274</v>
      </c>
      <c r="L14" t="s">
        <v>14</v>
      </c>
      <c r="M14">
        <f>B6^2*(B2-B11)-B9*(B5-B11)</f>
        <v>1.8E-3</v>
      </c>
    </row>
    <row r="15" spans="1:13" x14ac:dyDescent="0.3">
      <c r="A15" s="6">
        <f>A14+5%</f>
        <v>0.05</v>
      </c>
      <c r="B15" s="6">
        <f t="shared" ref="B15:B34" si="0">1-A15</f>
        <v>0.95</v>
      </c>
      <c r="C15" s="6">
        <f t="shared" ref="C15:C34" si="1">A15*$B$2+B15*$B$5</f>
        <v>0.10250000000000001</v>
      </c>
      <c r="D15" s="6">
        <f t="shared" ref="D15:D34" si="2">A15^2*$B$3^2+2*A15*B15*$B$9+B15^2*$B$6^2</f>
        <v>2.1261249999999999E-2</v>
      </c>
      <c r="E15" s="6">
        <f t="shared" ref="E15:E34" si="3">SQRT(D15)</f>
        <v>0.14581237944701403</v>
      </c>
      <c r="F15" s="8">
        <f t="shared" ref="F15:F34" si="4">(C15-$B$11)/E15</f>
        <v>0.36005173359836501</v>
      </c>
      <c r="G15" s="8"/>
      <c r="I15" s="12" t="s">
        <v>15</v>
      </c>
      <c r="J15" s="13">
        <f>1-J14</f>
        <v>0.37931034480726</v>
      </c>
      <c r="L15" t="s">
        <v>16</v>
      </c>
      <c r="M15">
        <f>B6^2*(B2-B11)+B3^2*(B5-B11)-B9*(B2+B5-2*B11)</f>
        <v>2.9000000000000007E-3</v>
      </c>
    </row>
    <row r="16" spans="1:13" x14ac:dyDescent="0.3">
      <c r="A16" s="6">
        <f t="shared" ref="A16:A34" si="5">A15+5%</f>
        <v>0.1</v>
      </c>
      <c r="B16" s="6">
        <f t="shared" si="0"/>
        <v>0.9</v>
      </c>
      <c r="C16" s="6">
        <f t="shared" si="1"/>
        <v>0.10500000000000001</v>
      </c>
      <c r="D16" s="6">
        <f t="shared" si="2"/>
        <v>2.0245000000000003E-2</v>
      </c>
      <c r="E16" s="6">
        <f t="shared" si="3"/>
        <v>0.14228492541376267</v>
      </c>
      <c r="F16" s="8">
        <f t="shared" si="4"/>
        <v>0.38654832787142235</v>
      </c>
      <c r="G16" s="8"/>
      <c r="I16" s="16" t="s">
        <v>17</v>
      </c>
      <c r="J16" s="17">
        <f>J14+J15</f>
        <v>1</v>
      </c>
      <c r="L16" t="s">
        <v>18</v>
      </c>
      <c r="M16" s="19">
        <f>M14/M15</f>
        <v>0.62068965517241359</v>
      </c>
    </row>
    <row r="17" spans="1:10" x14ac:dyDescent="0.3">
      <c r="A17" s="6">
        <f t="shared" si="5"/>
        <v>0.15000000000000002</v>
      </c>
      <c r="B17" s="6">
        <f t="shared" si="0"/>
        <v>0.85</v>
      </c>
      <c r="C17" s="6">
        <f t="shared" si="1"/>
        <v>0.10750000000000001</v>
      </c>
      <c r="D17" s="6">
        <f t="shared" si="2"/>
        <v>1.9451249999999996E-2</v>
      </c>
      <c r="E17" s="6">
        <f t="shared" si="3"/>
        <v>0.13946773820493397</v>
      </c>
      <c r="F17" s="8">
        <f t="shared" si="4"/>
        <v>0.41228172723006007</v>
      </c>
      <c r="G17" s="8"/>
    </row>
    <row r="18" spans="1:10" ht="15.6" x14ac:dyDescent="0.35">
      <c r="A18" s="6">
        <f t="shared" si="5"/>
        <v>0.2</v>
      </c>
      <c r="B18" s="6">
        <f t="shared" si="0"/>
        <v>0.8</v>
      </c>
      <c r="C18" s="6">
        <f t="shared" si="1"/>
        <v>0.11000000000000001</v>
      </c>
      <c r="D18" s="6">
        <f t="shared" si="2"/>
        <v>1.8880000000000004E-2</v>
      </c>
      <c r="E18" s="6">
        <f t="shared" si="3"/>
        <v>0.13740451229854136</v>
      </c>
      <c r="F18" s="8">
        <f t="shared" si="4"/>
        <v>0.43666688230468653</v>
      </c>
      <c r="G18" s="8"/>
      <c r="I18" s="14" t="s">
        <v>19</v>
      </c>
      <c r="J18" s="15">
        <f>J14*B2+J15*B5</f>
        <v>0.131034482759637</v>
      </c>
    </row>
    <row r="19" spans="1:10" x14ac:dyDescent="0.3">
      <c r="A19" s="6">
        <f t="shared" si="5"/>
        <v>0.25</v>
      </c>
      <c r="B19" s="6">
        <f t="shared" si="0"/>
        <v>0.75</v>
      </c>
      <c r="C19" s="6">
        <f t="shared" si="1"/>
        <v>0.11250000000000002</v>
      </c>
      <c r="D19" s="6">
        <f t="shared" si="2"/>
        <v>1.8531249999999999E-2</v>
      </c>
      <c r="E19" s="6">
        <f t="shared" si="3"/>
        <v>0.13612953390061983</v>
      </c>
      <c r="F19" s="8">
        <f t="shared" si="4"/>
        <v>0.45912153086212426</v>
      </c>
      <c r="G19" s="8"/>
    </row>
    <row r="20" spans="1:10" ht="15.6" x14ac:dyDescent="0.3">
      <c r="A20" s="6">
        <f t="shared" si="5"/>
        <v>0.3</v>
      </c>
      <c r="B20" s="6">
        <f t="shared" si="0"/>
        <v>0.7</v>
      </c>
      <c r="C20" s="6">
        <f t="shared" si="1"/>
        <v>0.11499999999999999</v>
      </c>
      <c r="D20" s="6">
        <f t="shared" si="2"/>
        <v>1.8404999999999998E-2</v>
      </c>
      <c r="E20" s="6">
        <f t="shared" si="3"/>
        <v>0.13566502865514016</v>
      </c>
      <c r="F20" s="8">
        <f t="shared" si="4"/>
        <v>0.47912126392741694</v>
      </c>
      <c r="G20" s="8"/>
      <c r="I20" s="7" t="s">
        <v>20</v>
      </c>
      <c r="J20" s="15">
        <f>J14^2*B3^2+2*J14*J15*B9+J15^2*B6^2</f>
        <v>2.2885255648612091E-2</v>
      </c>
    </row>
    <row r="21" spans="1:10" x14ac:dyDescent="0.3">
      <c r="A21" s="6">
        <f t="shared" si="5"/>
        <v>0.35</v>
      </c>
      <c r="B21" s="6">
        <f t="shared" si="0"/>
        <v>0.65</v>
      </c>
      <c r="C21" s="6">
        <f t="shared" si="1"/>
        <v>0.11749999999999999</v>
      </c>
      <c r="D21" s="6">
        <f t="shared" si="2"/>
        <v>1.850125E-2</v>
      </c>
      <c r="E21" s="6">
        <f t="shared" si="3"/>
        <v>0.13601930010112537</v>
      </c>
      <c r="F21" s="8">
        <f t="shared" si="4"/>
        <v>0.49625310488891072</v>
      </c>
      <c r="G21" s="8"/>
    </row>
    <row r="22" spans="1:10" ht="15.6" x14ac:dyDescent="0.3">
      <c r="A22" s="6">
        <f t="shared" si="5"/>
        <v>0.39999999999999997</v>
      </c>
      <c r="B22" s="6">
        <f t="shared" si="0"/>
        <v>0.60000000000000009</v>
      </c>
      <c r="C22" s="6">
        <f t="shared" si="1"/>
        <v>0.12</v>
      </c>
      <c r="D22" s="6">
        <f t="shared" si="2"/>
        <v>1.8820000000000003E-2</v>
      </c>
      <c r="E22" s="6">
        <f t="shared" si="3"/>
        <v>0.13718600511714016</v>
      </c>
      <c r="F22" s="8">
        <f t="shared" si="4"/>
        <v>0.51025612955365607</v>
      </c>
      <c r="G22" s="8"/>
      <c r="I22" s="7" t="s">
        <v>21</v>
      </c>
      <c r="J22" s="15">
        <f>SQRT(J20)</f>
        <v>0.15127873495178393</v>
      </c>
    </row>
    <row r="23" spans="1:10" x14ac:dyDescent="0.3">
      <c r="A23" s="6">
        <f t="shared" si="5"/>
        <v>0.44999999999999996</v>
      </c>
      <c r="B23" s="6">
        <f t="shared" si="0"/>
        <v>0.55000000000000004</v>
      </c>
      <c r="C23" s="6">
        <f t="shared" si="1"/>
        <v>0.1225</v>
      </c>
      <c r="D23" s="6">
        <f t="shared" si="2"/>
        <v>1.936125E-2</v>
      </c>
      <c r="E23" s="6">
        <f t="shared" si="3"/>
        <v>0.13914470884658173</v>
      </c>
      <c r="F23" s="9">
        <f t="shared" si="4"/>
        <v>0.52104029395711404</v>
      </c>
      <c r="G23" s="9"/>
    </row>
    <row r="24" spans="1:10" x14ac:dyDescent="0.3">
      <c r="A24" s="6">
        <f t="shared" si="5"/>
        <v>0.49999999999999994</v>
      </c>
      <c r="B24" s="6">
        <f t="shared" si="0"/>
        <v>0.5</v>
      </c>
      <c r="C24" s="6">
        <f t="shared" si="1"/>
        <v>0.12499999999999999</v>
      </c>
      <c r="D24" s="6">
        <f t="shared" si="2"/>
        <v>2.0124999999999997E-2</v>
      </c>
      <c r="E24" s="6">
        <f t="shared" si="3"/>
        <v>0.14186260959111108</v>
      </c>
      <c r="F24" s="9">
        <f t="shared" si="4"/>
        <v>0.52868053263768089</v>
      </c>
      <c r="G24" s="9"/>
      <c r="I24" s="14" t="s">
        <v>22</v>
      </c>
      <c r="J24" s="18">
        <f>(J18-$B$11)/J22</f>
        <v>0.53566340824746173</v>
      </c>
    </row>
    <row r="25" spans="1:10" x14ac:dyDescent="0.3">
      <c r="A25" s="6">
        <f t="shared" si="5"/>
        <v>0.54999999999999993</v>
      </c>
      <c r="B25" s="6">
        <f t="shared" si="0"/>
        <v>0.45000000000000007</v>
      </c>
      <c r="C25" s="6">
        <f t="shared" si="1"/>
        <v>0.1275</v>
      </c>
      <c r="D25" s="6">
        <f t="shared" si="2"/>
        <v>2.1111250000000002E-2</v>
      </c>
      <c r="E25" s="6">
        <f t="shared" si="3"/>
        <v>0.14529710940001525</v>
      </c>
      <c r="F25" s="10">
        <f t="shared" si="4"/>
        <v>0.53338982668014356</v>
      </c>
      <c r="G25" s="9"/>
    </row>
    <row r="26" spans="1:10" x14ac:dyDescent="0.3">
      <c r="A26" s="6">
        <f t="shared" si="5"/>
        <v>0.6</v>
      </c>
      <c r="B26" s="6">
        <f t="shared" si="0"/>
        <v>0.4</v>
      </c>
      <c r="C26" s="6">
        <f t="shared" si="1"/>
        <v>0.13</v>
      </c>
      <c r="D26" s="6">
        <f t="shared" si="2"/>
        <v>2.232E-2</v>
      </c>
      <c r="E26" s="6">
        <f t="shared" si="3"/>
        <v>0.1493987951758648</v>
      </c>
      <c r="F26" s="11">
        <f t="shared" si="4"/>
        <v>0.53547955260166591</v>
      </c>
      <c r="G26" s="26"/>
    </row>
    <row r="27" spans="1:10" x14ac:dyDescent="0.3">
      <c r="A27" s="6">
        <f t="shared" si="5"/>
        <v>0.65</v>
      </c>
      <c r="B27" s="6">
        <f t="shared" si="0"/>
        <v>0.35</v>
      </c>
      <c r="C27" s="6">
        <f t="shared" si="1"/>
        <v>0.13250000000000001</v>
      </c>
      <c r="D27" s="6">
        <f t="shared" si="2"/>
        <v>2.3751250000000005E-2</v>
      </c>
      <c r="E27" s="6">
        <f t="shared" si="3"/>
        <v>0.1541144055563918</v>
      </c>
      <c r="F27" s="11">
        <f t="shared" si="4"/>
        <v>0.53531660263785352</v>
      </c>
      <c r="G27" s="26"/>
      <c r="I27" s="14" t="s">
        <v>23</v>
      </c>
      <c r="J27" s="18">
        <v>4</v>
      </c>
    </row>
    <row r="28" spans="1:10" x14ac:dyDescent="0.3">
      <c r="A28" s="6">
        <f t="shared" si="5"/>
        <v>0.70000000000000007</v>
      </c>
      <c r="B28" s="6">
        <f t="shared" si="0"/>
        <v>0.29999999999999993</v>
      </c>
      <c r="C28" s="6">
        <f t="shared" si="1"/>
        <v>0.13500000000000001</v>
      </c>
      <c r="D28" s="6">
        <f t="shared" si="2"/>
        <v>2.5405000000000004E-2</v>
      </c>
      <c r="E28" s="6">
        <f t="shared" si="3"/>
        <v>0.15938946012832844</v>
      </c>
      <c r="F28" s="8">
        <f t="shared" si="4"/>
        <v>0.53328494827427342</v>
      </c>
      <c r="G28" s="8"/>
      <c r="I28" s="14" t="s">
        <v>24</v>
      </c>
      <c r="J28" s="18">
        <f>(J18-B11)/(J27*J20)</f>
        <v>0.88522588521478296</v>
      </c>
    </row>
    <row r="29" spans="1:10" x14ac:dyDescent="0.3">
      <c r="A29" s="6">
        <f t="shared" si="5"/>
        <v>0.75000000000000011</v>
      </c>
      <c r="B29" s="6">
        <f t="shared" si="0"/>
        <v>0.24999999999999989</v>
      </c>
      <c r="C29" s="6">
        <f t="shared" si="1"/>
        <v>0.13750000000000001</v>
      </c>
      <c r="D29" s="6">
        <f t="shared" si="2"/>
        <v>2.728125000000001E-2</v>
      </c>
      <c r="E29" s="6">
        <f t="shared" si="3"/>
        <v>0.16517036659158935</v>
      </c>
      <c r="F29" s="8">
        <f t="shared" si="4"/>
        <v>0.52975604405091636</v>
      </c>
      <c r="G29" s="8"/>
    </row>
    <row r="30" spans="1:10" x14ac:dyDescent="0.3">
      <c r="A30" s="6">
        <f t="shared" si="5"/>
        <v>0.80000000000000016</v>
      </c>
      <c r="B30" s="6">
        <f t="shared" si="0"/>
        <v>0.19999999999999984</v>
      </c>
      <c r="C30" s="6">
        <f t="shared" si="1"/>
        <v>0.14000000000000001</v>
      </c>
      <c r="D30" s="6">
        <f t="shared" si="2"/>
        <v>2.938000000000001E-2</v>
      </c>
      <c r="E30" s="6">
        <f t="shared" si="3"/>
        <v>0.17140595088852664</v>
      </c>
      <c r="F30" s="8">
        <f t="shared" si="4"/>
        <v>0.52506928454620139</v>
      </c>
      <c r="G30" s="8"/>
      <c r="I30" s="24" t="s">
        <v>25</v>
      </c>
      <c r="J30" s="25">
        <f>J28*J18+(1-J28)*B11</f>
        <v>0.12173382173382173</v>
      </c>
    </row>
    <row r="31" spans="1:10" ht="16.2" x14ac:dyDescent="0.3">
      <c r="A31" s="6">
        <f t="shared" si="5"/>
        <v>0.8500000000000002</v>
      </c>
      <c r="B31" s="6">
        <f t="shared" si="0"/>
        <v>0.1499999999999998</v>
      </c>
      <c r="C31" s="6">
        <f t="shared" si="1"/>
        <v>0.14250000000000002</v>
      </c>
      <c r="D31" s="6">
        <f t="shared" si="2"/>
        <v>3.1701250000000014E-2</v>
      </c>
      <c r="E31" s="6">
        <f t="shared" si="3"/>
        <v>0.17804844846277099</v>
      </c>
      <c r="F31" s="8">
        <f t="shared" si="4"/>
        <v>0.51952151674796132</v>
      </c>
      <c r="G31" s="8"/>
      <c r="I31" s="23" t="s">
        <v>26</v>
      </c>
      <c r="J31" s="25">
        <f>J28*J22</f>
        <v>0.13391585206186546</v>
      </c>
    </row>
    <row r="32" spans="1:10" x14ac:dyDescent="0.3">
      <c r="A32" s="6">
        <f t="shared" si="5"/>
        <v>0.90000000000000024</v>
      </c>
      <c r="B32" s="6">
        <f t="shared" si="0"/>
        <v>9.9999999999999756E-2</v>
      </c>
      <c r="C32" s="6">
        <f t="shared" si="1"/>
        <v>0.14500000000000002</v>
      </c>
      <c r="D32" s="6">
        <f t="shared" si="2"/>
        <v>3.4245000000000012E-2</v>
      </c>
      <c r="E32" s="6">
        <f t="shared" si="3"/>
        <v>0.18505404615949367</v>
      </c>
      <c r="F32" s="8">
        <f t="shared" si="4"/>
        <v>0.5133635387692187</v>
      </c>
      <c r="G32" s="8"/>
      <c r="I32" s="14" t="s">
        <v>27</v>
      </c>
      <c r="J32" s="25">
        <f>J30-(1/2)*J27*J31^2</f>
        <v>8.5866910866910867E-2</v>
      </c>
    </row>
    <row r="33" spans="1:7" x14ac:dyDescent="0.3">
      <c r="A33" s="6">
        <f t="shared" si="5"/>
        <v>0.95000000000000029</v>
      </c>
      <c r="B33" s="6">
        <f t="shared" si="0"/>
        <v>4.9999999999999711E-2</v>
      </c>
      <c r="C33" s="6">
        <f t="shared" si="1"/>
        <v>0.14750000000000002</v>
      </c>
      <c r="D33" s="6">
        <f t="shared" si="2"/>
        <v>3.7011250000000023E-2</v>
      </c>
      <c r="E33" s="6">
        <f t="shared" si="3"/>
        <v>0.19238308137671573</v>
      </c>
      <c r="F33" s="8">
        <f t="shared" si="4"/>
        <v>0.50680132214474716</v>
      </c>
      <c r="G33" s="8"/>
    </row>
    <row r="34" spans="1:7" x14ac:dyDescent="0.3">
      <c r="A34" s="6">
        <f t="shared" si="5"/>
        <v>1.0000000000000002</v>
      </c>
      <c r="B34" s="6">
        <f t="shared" si="0"/>
        <v>0</v>
      </c>
      <c r="C34" s="6">
        <f t="shared" si="1"/>
        <v>0.15000000000000002</v>
      </c>
      <c r="D34" s="6">
        <f t="shared" si="2"/>
        <v>4.0000000000000029E-2</v>
      </c>
      <c r="E34" s="6">
        <f t="shared" si="3"/>
        <v>0.20000000000000007</v>
      </c>
      <c r="F34" s="8">
        <f t="shared" si="4"/>
        <v>0.49999999999999994</v>
      </c>
      <c r="G34" s="8"/>
    </row>
    <row r="35" spans="1:7" x14ac:dyDescent="0.3">
      <c r="A35" s="6"/>
    </row>
    <row r="36" spans="1:7" ht="15.6" x14ac:dyDescent="0.3">
      <c r="A36" s="7" t="s">
        <v>11</v>
      </c>
      <c r="B36" s="5" t="s">
        <v>9</v>
      </c>
      <c r="C36" s="5" t="s">
        <v>28</v>
      </c>
    </row>
    <row r="37" spans="1:7" x14ac:dyDescent="0.3">
      <c r="A37" s="20">
        <v>0</v>
      </c>
      <c r="B37" s="21">
        <f>$J$24*A37+$B$11</f>
        <v>0.05</v>
      </c>
      <c r="C37" s="27">
        <f>$J$32+(1/2)*A37^2</f>
        <v>8.5866910866910867E-2</v>
      </c>
    </row>
    <row r="38" spans="1:7" x14ac:dyDescent="0.3">
      <c r="A38" s="20">
        <f>A37+1%</f>
        <v>0.01</v>
      </c>
      <c r="B38" s="21">
        <f t="shared" ref="B38:B62" si="6">$J$24*A38+$B$11</f>
        <v>5.5356634082474619E-2</v>
      </c>
      <c r="C38" s="27">
        <f t="shared" ref="C38:C62" si="7">$J$32+(1/2)*A38^2</f>
        <v>8.5916910866910862E-2</v>
      </c>
    </row>
    <row r="39" spans="1:7" x14ac:dyDescent="0.3">
      <c r="A39" s="20">
        <f t="shared" ref="A39:A62" si="8">A38+1%</f>
        <v>0.02</v>
      </c>
      <c r="B39" s="21">
        <f t="shared" si="6"/>
        <v>6.0713268164949236E-2</v>
      </c>
      <c r="C39" s="27">
        <f t="shared" si="7"/>
        <v>8.6066910866910873E-2</v>
      </c>
    </row>
    <row r="40" spans="1:7" x14ac:dyDescent="0.3">
      <c r="A40" s="20">
        <f t="shared" si="8"/>
        <v>0.03</v>
      </c>
      <c r="B40" s="21">
        <f t="shared" si="6"/>
        <v>6.6069902247423859E-2</v>
      </c>
      <c r="C40" s="27">
        <f t="shared" si="7"/>
        <v>8.6316910866910873E-2</v>
      </c>
    </row>
    <row r="41" spans="1:7" x14ac:dyDescent="0.3">
      <c r="A41" s="20">
        <f t="shared" si="8"/>
        <v>0.04</v>
      </c>
      <c r="B41" s="21">
        <f t="shared" si="6"/>
        <v>7.1426536329898468E-2</v>
      </c>
      <c r="C41" s="27">
        <f t="shared" si="7"/>
        <v>8.6666910866910862E-2</v>
      </c>
    </row>
    <row r="42" spans="1:7" x14ac:dyDescent="0.3">
      <c r="A42" s="20">
        <f t="shared" si="8"/>
        <v>0.05</v>
      </c>
      <c r="B42" s="21">
        <f t="shared" si="6"/>
        <v>7.6783170412373092E-2</v>
      </c>
      <c r="C42" s="27">
        <f t="shared" si="7"/>
        <v>8.7116910866910868E-2</v>
      </c>
    </row>
    <row r="43" spans="1:7" x14ac:dyDescent="0.3">
      <c r="A43" s="20">
        <f t="shared" si="8"/>
        <v>6.0000000000000005E-2</v>
      </c>
      <c r="B43" s="21">
        <f t="shared" si="6"/>
        <v>8.2139804494847701E-2</v>
      </c>
      <c r="C43" s="27">
        <f t="shared" si="7"/>
        <v>8.7666910866910863E-2</v>
      </c>
    </row>
    <row r="44" spans="1:7" x14ac:dyDescent="0.3">
      <c r="A44" s="20">
        <f t="shared" si="8"/>
        <v>7.0000000000000007E-2</v>
      </c>
      <c r="B44" s="21">
        <f t="shared" si="6"/>
        <v>8.7496438577322325E-2</v>
      </c>
      <c r="C44" s="27">
        <f t="shared" si="7"/>
        <v>8.8316910866910861E-2</v>
      </c>
    </row>
    <row r="45" spans="1:7" x14ac:dyDescent="0.3">
      <c r="A45" s="20">
        <f t="shared" si="8"/>
        <v>0.08</v>
      </c>
      <c r="B45" s="21">
        <f t="shared" si="6"/>
        <v>9.2853072659796948E-2</v>
      </c>
      <c r="C45" s="27">
        <f t="shared" si="7"/>
        <v>8.9066910866910862E-2</v>
      </c>
    </row>
    <row r="46" spans="1:7" x14ac:dyDescent="0.3">
      <c r="A46" s="20">
        <f t="shared" si="8"/>
        <v>0.09</v>
      </c>
      <c r="B46" s="21">
        <f t="shared" si="6"/>
        <v>9.8209706742271558E-2</v>
      </c>
      <c r="C46" s="27">
        <f t="shared" si="7"/>
        <v>8.9916910866910865E-2</v>
      </c>
    </row>
    <row r="47" spans="1:7" x14ac:dyDescent="0.3">
      <c r="A47" s="20">
        <f t="shared" si="8"/>
        <v>9.9999999999999992E-2</v>
      </c>
      <c r="B47" s="21">
        <f t="shared" si="6"/>
        <v>0.10356634082474617</v>
      </c>
      <c r="C47" s="27">
        <f t="shared" si="7"/>
        <v>9.0866910866910872E-2</v>
      </c>
    </row>
    <row r="48" spans="1:7" x14ac:dyDescent="0.3">
      <c r="A48" s="20">
        <f t="shared" si="8"/>
        <v>0.10999999999999999</v>
      </c>
      <c r="B48" s="21">
        <f t="shared" si="6"/>
        <v>0.10892297490722078</v>
      </c>
      <c r="C48" s="27">
        <f t="shared" si="7"/>
        <v>9.1916910866910867E-2</v>
      </c>
    </row>
    <row r="49" spans="1:3" x14ac:dyDescent="0.3">
      <c r="A49" s="20">
        <f t="shared" si="8"/>
        <v>0.11999999999999998</v>
      </c>
      <c r="B49" s="21">
        <f t="shared" si="6"/>
        <v>0.1142796089896954</v>
      </c>
      <c r="C49" s="27">
        <f t="shared" si="7"/>
        <v>9.3066910866910865E-2</v>
      </c>
    </row>
    <row r="50" spans="1:3" x14ac:dyDescent="0.3">
      <c r="A50" s="20">
        <f>A49+1%</f>
        <v>0.12999999999999998</v>
      </c>
      <c r="B50" s="21">
        <f t="shared" si="6"/>
        <v>0.11963624307217001</v>
      </c>
      <c r="C50" s="27">
        <f t="shared" si="7"/>
        <v>9.4316910866910866E-2</v>
      </c>
    </row>
    <row r="51" spans="1:3" x14ac:dyDescent="0.3">
      <c r="A51" s="20">
        <f t="shared" si="8"/>
        <v>0.13999999999999999</v>
      </c>
      <c r="B51" s="21">
        <f t="shared" si="6"/>
        <v>0.12499287715464463</v>
      </c>
      <c r="C51" s="27">
        <f t="shared" si="7"/>
        <v>9.566691086691087E-2</v>
      </c>
    </row>
    <row r="52" spans="1:3" x14ac:dyDescent="0.3">
      <c r="A52" s="20">
        <f t="shared" si="8"/>
        <v>0.15</v>
      </c>
      <c r="B52" s="21">
        <f t="shared" si="6"/>
        <v>0.13034951123711924</v>
      </c>
      <c r="C52" s="27">
        <f t="shared" si="7"/>
        <v>9.7116910866910863E-2</v>
      </c>
    </row>
    <row r="53" spans="1:3" x14ac:dyDescent="0.3">
      <c r="A53" s="20">
        <f t="shared" si="8"/>
        <v>0.16</v>
      </c>
      <c r="B53" s="21">
        <f t="shared" si="6"/>
        <v>0.13570614531959388</v>
      </c>
      <c r="C53" s="27">
        <f t="shared" si="7"/>
        <v>9.8666910866910873E-2</v>
      </c>
    </row>
    <row r="54" spans="1:3" x14ac:dyDescent="0.3">
      <c r="A54" s="20">
        <f t="shared" si="8"/>
        <v>0.17</v>
      </c>
      <c r="B54" s="21">
        <f t="shared" si="6"/>
        <v>0.14106277940206852</v>
      </c>
      <c r="C54" s="27">
        <f t="shared" si="7"/>
        <v>0.10031691086691087</v>
      </c>
    </row>
    <row r="55" spans="1:3" x14ac:dyDescent="0.3">
      <c r="A55" s="20">
        <f t="shared" si="8"/>
        <v>0.18000000000000002</v>
      </c>
      <c r="B55" s="21">
        <f t="shared" si="6"/>
        <v>0.14641941348454313</v>
      </c>
      <c r="C55" s="27">
        <f t="shared" si="7"/>
        <v>0.10206691086691087</v>
      </c>
    </row>
    <row r="56" spans="1:3" x14ac:dyDescent="0.3">
      <c r="A56" s="20">
        <f t="shared" si="8"/>
        <v>0.19000000000000003</v>
      </c>
      <c r="B56" s="21">
        <f t="shared" si="6"/>
        <v>0.15177604756701774</v>
      </c>
      <c r="C56" s="27">
        <f t="shared" si="7"/>
        <v>0.10391691086691088</v>
      </c>
    </row>
    <row r="57" spans="1:3" x14ac:dyDescent="0.3">
      <c r="A57" s="20">
        <f>A56+1%</f>
        <v>0.20000000000000004</v>
      </c>
      <c r="B57" s="21">
        <f t="shared" si="6"/>
        <v>0.15713268164949237</v>
      </c>
      <c r="C57" s="27">
        <f t="shared" si="7"/>
        <v>0.10586691086691087</v>
      </c>
    </row>
    <row r="58" spans="1:3" x14ac:dyDescent="0.3">
      <c r="A58" s="20">
        <f t="shared" si="8"/>
        <v>0.21000000000000005</v>
      </c>
      <c r="B58" s="21">
        <f t="shared" si="6"/>
        <v>0.16248931573196701</v>
      </c>
      <c r="C58" s="27">
        <f t="shared" si="7"/>
        <v>0.10791691086691088</v>
      </c>
    </row>
    <row r="59" spans="1:3" x14ac:dyDescent="0.3">
      <c r="A59" s="20">
        <f t="shared" si="8"/>
        <v>0.22000000000000006</v>
      </c>
      <c r="B59" s="21">
        <f t="shared" si="6"/>
        <v>0.16784594981444162</v>
      </c>
      <c r="C59" s="27">
        <f t="shared" si="7"/>
        <v>0.11006691086691088</v>
      </c>
    </row>
    <row r="60" spans="1:3" x14ac:dyDescent="0.3">
      <c r="A60" s="20">
        <f t="shared" si="8"/>
        <v>0.23000000000000007</v>
      </c>
      <c r="B60" s="21">
        <f t="shared" si="6"/>
        <v>0.17320258389691623</v>
      </c>
      <c r="C60" s="27">
        <f t="shared" si="7"/>
        <v>0.11231691086691088</v>
      </c>
    </row>
    <row r="61" spans="1:3" x14ac:dyDescent="0.3">
      <c r="A61" s="20">
        <f>A60+1%</f>
        <v>0.24000000000000007</v>
      </c>
      <c r="B61" s="21">
        <f t="shared" si="6"/>
        <v>0.17855921797939084</v>
      </c>
      <c r="C61" s="27">
        <f t="shared" si="7"/>
        <v>0.11466691086691089</v>
      </c>
    </row>
    <row r="62" spans="1:3" x14ac:dyDescent="0.3">
      <c r="A62" s="20">
        <f t="shared" si="8"/>
        <v>0.25000000000000006</v>
      </c>
      <c r="B62" s="21">
        <f t="shared" si="6"/>
        <v>0.18391585206186545</v>
      </c>
      <c r="C62" s="27">
        <f t="shared" si="7"/>
        <v>0.11711691086691088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E3248-3732-4714-865A-5539C579E461}">
  <dimension ref="A1:C16"/>
  <sheetViews>
    <sheetView workbookViewId="0">
      <selection activeCell="B2" sqref="B2"/>
    </sheetView>
  </sheetViews>
  <sheetFormatPr baseColWidth="10" defaultRowHeight="14.4" x14ac:dyDescent="0.3"/>
  <sheetData>
    <row r="1" spans="1:3" x14ac:dyDescent="0.3">
      <c r="B1" t="s">
        <v>31</v>
      </c>
      <c r="C1" s="29" t="s">
        <v>32</v>
      </c>
    </row>
    <row r="2" spans="1:3" x14ac:dyDescent="0.3">
      <c r="A2" t="s">
        <v>29</v>
      </c>
      <c r="B2" s="1">
        <v>0.12</v>
      </c>
      <c r="C2" s="1">
        <v>0.15</v>
      </c>
    </row>
    <row r="3" spans="1:3" x14ac:dyDescent="0.3">
      <c r="A3" t="s">
        <v>30</v>
      </c>
      <c r="B3" s="1">
        <v>0.18</v>
      </c>
      <c r="C3" s="1">
        <v>0.2</v>
      </c>
    </row>
    <row r="4" spans="1:3" x14ac:dyDescent="0.3">
      <c r="B4" s="28" t="s">
        <v>33</v>
      </c>
      <c r="C4">
        <f>25%</f>
        <v>0.25</v>
      </c>
    </row>
    <row r="5" spans="1:3" x14ac:dyDescent="0.3">
      <c r="B5" s="22" t="s">
        <v>34</v>
      </c>
      <c r="C5" s="1">
        <v>0.08</v>
      </c>
    </row>
    <row r="6" spans="1:3" x14ac:dyDescent="0.3">
      <c r="B6" s="22" t="s">
        <v>23</v>
      </c>
      <c r="C6" s="1">
        <v>0.06</v>
      </c>
    </row>
    <row r="8" spans="1:3" x14ac:dyDescent="0.3">
      <c r="B8" s="22" t="s">
        <v>35</v>
      </c>
      <c r="C8" s="1">
        <v>0</v>
      </c>
    </row>
    <row r="9" spans="1:3" x14ac:dyDescent="0.3">
      <c r="B9" s="22" t="s">
        <v>36</v>
      </c>
      <c r="C9" s="1">
        <f>1-C8</f>
        <v>1</v>
      </c>
    </row>
    <row r="10" spans="1:3" ht="15.6" x14ac:dyDescent="0.35">
      <c r="B10" s="14" t="s">
        <v>19</v>
      </c>
      <c r="C10" s="1">
        <f>B2*C8+B3*C9</f>
        <v>0.18</v>
      </c>
    </row>
    <row r="11" spans="1:3" ht="15.6" x14ac:dyDescent="0.3">
      <c r="B11" s="23" t="s">
        <v>37</v>
      </c>
      <c r="C11" s="27">
        <f>C8^2*C2^2+2*C8*C9*C4+C9^2*C3^2</f>
        <v>4.0000000000000008E-2</v>
      </c>
    </row>
    <row r="12" spans="1:3" ht="15.6" x14ac:dyDescent="0.3">
      <c r="B12" s="23" t="s">
        <v>38</v>
      </c>
      <c r="C12" s="27">
        <f>SQRT(C11)</f>
        <v>0.2</v>
      </c>
    </row>
    <row r="13" spans="1:3" x14ac:dyDescent="0.3">
      <c r="B13" s="14" t="s">
        <v>39</v>
      </c>
      <c r="C13" s="1">
        <f>(C10-C5)/C12</f>
        <v>0.49999999999999994</v>
      </c>
    </row>
    <row r="16" spans="1:3" x14ac:dyDescent="0.3">
      <c r="B16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9EB66-E52E-4395-A675-65ED57F03F4F}">
  <dimension ref="A2:M62"/>
  <sheetViews>
    <sheetView topLeftCell="D10" zoomScale="130" zoomScaleNormal="130" workbookViewId="0">
      <selection activeCell="J28" sqref="J28"/>
    </sheetView>
  </sheetViews>
  <sheetFormatPr baseColWidth="10" defaultColWidth="11.44140625" defaultRowHeight="14.4" x14ac:dyDescent="0.3"/>
  <cols>
    <col min="1" max="1" width="12.33203125" customWidth="1"/>
    <col min="12" max="12" width="14.44140625" customWidth="1"/>
  </cols>
  <sheetData>
    <row r="2" spans="1:13" ht="15.6" x14ac:dyDescent="0.35">
      <c r="A2" t="s">
        <v>0</v>
      </c>
      <c r="B2" s="1">
        <v>0.08</v>
      </c>
    </row>
    <row r="3" spans="1:13" ht="16.2" x14ac:dyDescent="0.35">
      <c r="A3" s="2" t="s">
        <v>1</v>
      </c>
      <c r="B3" s="1">
        <v>0.1</v>
      </c>
    </row>
    <row r="5" spans="1:13" ht="15.6" x14ac:dyDescent="0.35">
      <c r="A5" t="s">
        <v>2</v>
      </c>
      <c r="B5" s="1">
        <v>0.06</v>
      </c>
    </row>
    <row r="6" spans="1:13" ht="16.2" x14ac:dyDescent="0.35">
      <c r="A6" s="2" t="s">
        <v>3</v>
      </c>
      <c r="B6" s="1">
        <v>0.08</v>
      </c>
    </row>
    <row r="8" spans="1:13" ht="16.2" x14ac:dyDescent="0.35">
      <c r="A8" s="2" t="s">
        <v>4</v>
      </c>
      <c r="B8">
        <v>-0.5</v>
      </c>
    </row>
    <row r="9" spans="1:13" ht="16.2" x14ac:dyDescent="0.35">
      <c r="A9" s="4" t="s">
        <v>5</v>
      </c>
      <c r="B9">
        <f>B8*B3*B6</f>
        <v>-4.0000000000000001E-3</v>
      </c>
    </row>
    <row r="11" spans="1:13" ht="15.6" x14ac:dyDescent="0.35">
      <c r="A11" s="3" t="s">
        <v>6</v>
      </c>
      <c r="B11" s="1">
        <v>0.05</v>
      </c>
    </row>
    <row r="13" spans="1:13" ht="15.6" x14ac:dyDescent="0.3">
      <c r="A13" s="5" t="s">
        <v>7</v>
      </c>
      <c r="B13" s="5" t="s">
        <v>8</v>
      </c>
      <c r="C13" s="5" t="s">
        <v>9</v>
      </c>
      <c r="D13" s="7" t="s">
        <v>10</v>
      </c>
      <c r="E13" s="7" t="s">
        <v>11</v>
      </c>
      <c r="F13" s="5" t="s">
        <v>12</v>
      </c>
      <c r="G13" s="5"/>
    </row>
    <row r="14" spans="1:13" x14ac:dyDescent="0.3">
      <c r="A14" s="6">
        <v>0</v>
      </c>
      <c r="B14" s="6">
        <f>1-A14</f>
        <v>1</v>
      </c>
      <c r="C14" s="6">
        <f>A14*$B$2+B14*$B$5</f>
        <v>0.06</v>
      </c>
      <c r="D14" s="6">
        <f>A14^2*$B$3^2+2*A14*B14*$B$9+B14^2*$B$6^2</f>
        <v>6.4000000000000003E-3</v>
      </c>
      <c r="E14" s="6">
        <f>SQRT(D14)</f>
        <v>0.08</v>
      </c>
      <c r="F14" s="8">
        <f>(C14-$B$11)/E14</f>
        <v>0.12499999999999993</v>
      </c>
      <c r="G14" s="8"/>
      <c r="I14" s="12" t="s">
        <v>13</v>
      </c>
      <c r="J14" s="15">
        <v>0.51327433628318586</v>
      </c>
      <c r="L14" t="s">
        <v>14</v>
      </c>
      <c r="M14">
        <f>B6^2*(B2-B11)-B9*(B5-B11)</f>
        <v>2.32E-4</v>
      </c>
    </row>
    <row r="15" spans="1:13" x14ac:dyDescent="0.3">
      <c r="A15" s="6">
        <f>A14+5%</f>
        <v>0.05</v>
      </c>
      <c r="B15" s="6">
        <f t="shared" ref="B15:B34" si="0">1-A15</f>
        <v>0.95</v>
      </c>
      <c r="C15" s="6">
        <f t="shared" ref="C15:C34" si="1">A15*$B$2+B15*$B$5</f>
        <v>6.0999999999999999E-2</v>
      </c>
      <c r="D15" s="6">
        <f t="shared" ref="D15:D34" si="2">A15^2*$B$3^2+2*A15*B15*$B$9+B15^2*$B$6^2</f>
        <v>5.4209999999999996E-3</v>
      </c>
      <c r="E15" s="6">
        <f t="shared" ref="E15:E34" si="3">SQRT(D15)</f>
        <v>7.3627440536799857E-2</v>
      </c>
      <c r="F15" s="8">
        <f t="shared" ref="F15:F34" si="4">(C15-$B$11)/E15</f>
        <v>0.14940082012632325</v>
      </c>
      <c r="G15" s="8"/>
      <c r="I15" s="12" t="s">
        <v>15</v>
      </c>
      <c r="J15" s="13">
        <f>1-J14</f>
        <v>0.48672566371681414</v>
      </c>
      <c r="L15" t="s">
        <v>16</v>
      </c>
      <c r="M15">
        <f>B6^2*(B2-B11)+B3^2*(B5-B11)-B9*(B2+B5-2*B11)</f>
        <v>4.5199999999999998E-4</v>
      </c>
    </row>
    <row r="16" spans="1:13" x14ac:dyDescent="0.3">
      <c r="A16" s="6">
        <f t="shared" ref="A16:A34" si="5">A15+5%</f>
        <v>0.1</v>
      </c>
      <c r="B16" s="6">
        <f t="shared" si="0"/>
        <v>0.9</v>
      </c>
      <c r="C16" s="6">
        <f t="shared" si="1"/>
        <v>6.2E-2</v>
      </c>
      <c r="D16" s="6">
        <f t="shared" si="2"/>
        <v>4.5640000000000003E-3</v>
      </c>
      <c r="E16" s="6">
        <f t="shared" si="3"/>
        <v>6.755738301621815E-2</v>
      </c>
      <c r="F16" s="8">
        <f t="shared" si="4"/>
        <v>0.17762677392520101</v>
      </c>
      <c r="G16" s="8"/>
      <c r="I16" s="16" t="s">
        <v>17</v>
      </c>
      <c r="J16" s="17">
        <f>J14+J15</f>
        <v>1</v>
      </c>
      <c r="L16" t="s">
        <v>18</v>
      </c>
      <c r="M16" s="19">
        <f>M14/M15</f>
        <v>0.51327433628318586</v>
      </c>
    </row>
    <row r="17" spans="1:10" x14ac:dyDescent="0.3">
      <c r="A17" s="6">
        <f t="shared" si="5"/>
        <v>0.15000000000000002</v>
      </c>
      <c r="B17" s="6">
        <f t="shared" si="0"/>
        <v>0.85</v>
      </c>
      <c r="C17" s="6">
        <f t="shared" si="1"/>
        <v>6.3E-2</v>
      </c>
      <c r="D17" s="6">
        <f t="shared" si="2"/>
        <v>3.8289999999999999E-3</v>
      </c>
      <c r="E17" s="6">
        <f t="shared" si="3"/>
        <v>6.1878914017619926E-2</v>
      </c>
      <c r="F17" s="8">
        <f t="shared" si="4"/>
        <v>0.21008772061349149</v>
      </c>
      <c r="G17" s="8"/>
    </row>
    <row r="18" spans="1:10" ht="15.6" x14ac:dyDescent="0.35">
      <c r="A18" s="6">
        <f t="shared" si="5"/>
        <v>0.2</v>
      </c>
      <c r="B18" s="6">
        <f t="shared" si="0"/>
        <v>0.8</v>
      </c>
      <c r="C18" s="6">
        <f t="shared" si="1"/>
        <v>6.4000000000000001E-2</v>
      </c>
      <c r="D18" s="6">
        <f t="shared" si="2"/>
        <v>3.2160000000000005E-3</v>
      </c>
      <c r="E18" s="6">
        <f t="shared" si="3"/>
        <v>5.6709787515031307E-2</v>
      </c>
      <c r="F18" s="8">
        <f t="shared" si="4"/>
        <v>0.24687096555050933</v>
      </c>
      <c r="G18" s="8"/>
      <c r="I18" s="14" t="s">
        <v>19</v>
      </c>
      <c r="J18" s="15">
        <f>J14*B2+J15*B5</f>
        <v>7.0265486725663712E-2</v>
      </c>
    </row>
    <row r="19" spans="1:10" x14ac:dyDescent="0.3">
      <c r="A19" s="6">
        <f t="shared" si="5"/>
        <v>0.25</v>
      </c>
      <c r="B19" s="6">
        <f t="shared" si="0"/>
        <v>0.75</v>
      </c>
      <c r="C19" s="6">
        <f t="shared" si="1"/>
        <v>6.5000000000000002E-2</v>
      </c>
      <c r="D19" s="6">
        <f t="shared" si="2"/>
        <v>2.7250000000000004E-3</v>
      </c>
      <c r="E19" s="6">
        <f t="shared" si="3"/>
        <v>5.2201532544552752E-2</v>
      </c>
      <c r="F19" s="8">
        <f t="shared" si="4"/>
        <v>0.28734788556634538</v>
      </c>
      <c r="G19" s="8"/>
    </row>
    <row r="20" spans="1:10" ht="15.6" x14ac:dyDescent="0.3">
      <c r="A20" s="6">
        <f t="shared" si="5"/>
        <v>0.3</v>
      </c>
      <c r="B20" s="6">
        <f t="shared" si="0"/>
        <v>0.7</v>
      </c>
      <c r="C20" s="6">
        <f t="shared" si="1"/>
        <v>6.6000000000000003E-2</v>
      </c>
      <c r="D20" s="6">
        <f t="shared" si="2"/>
        <v>2.356E-3</v>
      </c>
      <c r="E20" s="6">
        <f t="shared" si="3"/>
        <v>4.8538644398046386E-2</v>
      </c>
      <c r="F20" s="8">
        <f t="shared" si="4"/>
        <v>0.3296342573721317</v>
      </c>
      <c r="G20" s="8"/>
      <c r="I20" s="7" t="s">
        <v>20</v>
      </c>
      <c r="J20" s="15">
        <f>J14^2*B3^2+2*J14*J15*B9+J15^2*B6^2</f>
        <v>2.1520870859111922E-3</v>
      </c>
    </row>
    <row r="21" spans="1:10" x14ac:dyDescent="0.3">
      <c r="A21" s="6">
        <f t="shared" si="5"/>
        <v>0.35</v>
      </c>
      <c r="B21" s="6">
        <f t="shared" si="0"/>
        <v>0.65</v>
      </c>
      <c r="C21" s="6">
        <f t="shared" si="1"/>
        <v>6.7000000000000004E-2</v>
      </c>
      <c r="D21" s="6">
        <f t="shared" si="2"/>
        <v>2.1090000000000006E-3</v>
      </c>
      <c r="E21" s="6">
        <f t="shared" si="3"/>
        <v>4.5923850012820143E-2</v>
      </c>
      <c r="F21" s="8">
        <f t="shared" si="4"/>
        <v>0.37017802286294083</v>
      </c>
      <c r="G21" s="8"/>
    </row>
    <row r="22" spans="1:10" ht="15.6" x14ac:dyDescent="0.3">
      <c r="A22" s="6">
        <f t="shared" si="5"/>
        <v>0.39999999999999997</v>
      </c>
      <c r="B22" s="6">
        <f t="shared" si="0"/>
        <v>0.60000000000000009</v>
      </c>
      <c r="C22" s="6">
        <f t="shared" si="1"/>
        <v>6.8000000000000005E-2</v>
      </c>
      <c r="D22" s="6">
        <f t="shared" si="2"/>
        <v>1.9840000000000005E-3</v>
      </c>
      <c r="E22" s="6">
        <f t="shared" si="3"/>
        <v>4.4542114902640179E-2</v>
      </c>
      <c r="F22" s="8">
        <f t="shared" si="4"/>
        <v>0.40411192956024355</v>
      </c>
      <c r="G22" s="8"/>
      <c r="I22" s="7" t="s">
        <v>21</v>
      </c>
      <c r="J22" s="15">
        <f>SQRT(J20)</f>
        <v>4.6390592644535079E-2</v>
      </c>
    </row>
    <row r="23" spans="1:10" x14ac:dyDescent="0.3">
      <c r="A23" s="6">
        <f t="shared" si="5"/>
        <v>0.44999999999999996</v>
      </c>
      <c r="B23" s="6">
        <f t="shared" si="0"/>
        <v>0.55000000000000004</v>
      </c>
      <c r="C23" s="6">
        <f t="shared" si="1"/>
        <v>6.9000000000000006E-2</v>
      </c>
      <c r="D23" s="6">
        <f t="shared" si="2"/>
        <v>1.9810000000000001E-3</v>
      </c>
      <c r="E23" s="6">
        <f t="shared" si="3"/>
        <v>4.4508426168535772E-2</v>
      </c>
      <c r="F23" s="10">
        <f t="shared" si="4"/>
        <v>0.42688546047560821</v>
      </c>
      <c r="G23" s="9"/>
    </row>
    <row r="24" spans="1:10" x14ac:dyDescent="0.3">
      <c r="A24" s="6">
        <f t="shared" si="5"/>
        <v>0.49999999999999994</v>
      </c>
      <c r="B24" s="6">
        <f t="shared" si="0"/>
        <v>0.5</v>
      </c>
      <c r="C24" s="6">
        <f t="shared" si="1"/>
        <v>6.9999999999999993E-2</v>
      </c>
      <c r="D24" s="6">
        <f t="shared" si="2"/>
        <v>2.1000000000000003E-3</v>
      </c>
      <c r="E24" s="6">
        <f t="shared" si="3"/>
        <v>4.5825756949558406E-2</v>
      </c>
      <c r="F24" s="10">
        <f t="shared" si="4"/>
        <v>0.4364357804719845</v>
      </c>
      <c r="G24" s="9"/>
      <c r="I24" s="14" t="s">
        <v>22</v>
      </c>
      <c r="J24" s="18">
        <f>(J18-$B$11)/J22</f>
        <v>0.43684474740270496</v>
      </c>
    </row>
    <row r="25" spans="1:10" x14ac:dyDescent="0.3">
      <c r="A25" s="6">
        <f t="shared" si="5"/>
        <v>0.54999999999999993</v>
      </c>
      <c r="B25" s="6">
        <f t="shared" si="0"/>
        <v>0.45000000000000007</v>
      </c>
      <c r="C25" s="6">
        <f t="shared" si="1"/>
        <v>7.1000000000000008E-2</v>
      </c>
      <c r="D25" s="6">
        <f t="shared" si="2"/>
        <v>2.3410000000000002E-3</v>
      </c>
      <c r="E25" s="6">
        <f t="shared" si="3"/>
        <v>4.8383881613611783E-2</v>
      </c>
      <c r="F25" s="10">
        <f t="shared" si="4"/>
        <v>0.43402883976328388</v>
      </c>
      <c r="G25" s="9"/>
    </row>
    <row r="26" spans="1:10" x14ac:dyDescent="0.3">
      <c r="A26" s="6">
        <f t="shared" si="5"/>
        <v>0.6</v>
      </c>
      <c r="B26" s="6">
        <f t="shared" si="0"/>
        <v>0.4</v>
      </c>
      <c r="C26" s="6">
        <f t="shared" si="1"/>
        <v>7.2000000000000008E-2</v>
      </c>
      <c r="D26" s="6">
        <f t="shared" si="2"/>
        <v>2.7040000000000007E-3</v>
      </c>
      <c r="E26" s="6">
        <f t="shared" si="3"/>
        <v>5.2000000000000005E-2</v>
      </c>
      <c r="F26" s="26">
        <f t="shared" si="4"/>
        <v>0.42307692307692313</v>
      </c>
      <c r="G26" s="26"/>
    </row>
    <row r="27" spans="1:10" x14ac:dyDescent="0.3">
      <c r="A27" s="6">
        <f t="shared" si="5"/>
        <v>0.65</v>
      </c>
      <c r="B27" s="6">
        <f t="shared" si="0"/>
        <v>0.35</v>
      </c>
      <c r="C27" s="6">
        <f t="shared" si="1"/>
        <v>7.3000000000000009E-2</v>
      </c>
      <c r="D27" s="6">
        <f t="shared" si="2"/>
        <v>3.1890000000000017E-3</v>
      </c>
      <c r="E27" s="6">
        <f t="shared" si="3"/>
        <v>5.6471231613982015E-2</v>
      </c>
      <c r="F27" s="26">
        <f t="shared" si="4"/>
        <v>0.40728702637867231</v>
      </c>
      <c r="G27" s="26"/>
      <c r="I27" s="14" t="s">
        <v>23</v>
      </c>
      <c r="J27" s="18">
        <v>4</v>
      </c>
    </row>
    <row r="28" spans="1:10" x14ac:dyDescent="0.3">
      <c r="A28" s="6">
        <f t="shared" si="5"/>
        <v>0.70000000000000007</v>
      </c>
      <c r="B28" s="6">
        <f t="shared" si="0"/>
        <v>0.29999999999999993</v>
      </c>
      <c r="C28" s="6">
        <f t="shared" si="1"/>
        <v>7.400000000000001E-2</v>
      </c>
      <c r="D28" s="6">
        <f t="shared" si="2"/>
        <v>3.7960000000000012E-3</v>
      </c>
      <c r="E28" s="6">
        <f t="shared" si="3"/>
        <v>6.1611687202997464E-2</v>
      </c>
      <c r="F28" s="8">
        <f t="shared" si="4"/>
        <v>0.38953648389671736</v>
      </c>
      <c r="G28" s="8"/>
      <c r="I28" s="14" t="s">
        <v>24</v>
      </c>
      <c r="J28" s="18">
        <f>(J18-B11)/(J27*J20)</f>
        <v>2.3541666666666647</v>
      </c>
    </row>
    <row r="29" spans="1:10" x14ac:dyDescent="0.3">
      <c r="A29" s="6">
        <f t="shared" si="5"/>
        <v>0.75000000000000011</v>
      </c>
      <c r="B29" s="6">
        <f t="shared" si="0"/>
        <v>0.24999999999999989</v>
      </c>
      <c r="C29" s="6">
        <f t="shared" si="1"/>
        <v>7.5000000000000011E-2</v>
      </c>
      <c r="D29" s="6">
        <f t="shared" si="2"/>
        <v>4.525000000000003E-3</v>
      </c>
      <c r="E29" s="6">
        <f t="shared" si="3"/>
        <v>6.7268120235368573E-2</v>
      </c>
      <c r="F29" s="8">
        <f t="shared" si="4"/>
        <v>0.37164707312358314</v>
      </c>
      <c r="G29" s="8"/>
    </row>
    <row r="30" spans="1:10" x14ac:dyDescent="0.3">
      <c r="A30" s="6">
        <f t="shared" si="5"/>
        <v>0.80000000000000016</v>
      </c>
      <c r="B30" s="6">
        <f t="shared" si="0"/>
        <v>0.19999999999999984</v>
      </c>
      <c r="C30" s="6">
        <f t="shared" si="1"/>
        <v>7.6000000000000012E-2</v>
      </c>
      <c r="D30" s="6">
        <f t="shared" si="2"/>
        <v>5.376000000000004E-3</v>
      </c>
      <c r="E30" s="6">
        <f t="shared" si="3"/>
        <v>7.3321211119293461E-2</v>
      </c>
      <c r="F30" s="8">
        <f t="shared" si="4"/>
        <v>0.35460407163348762</v>
      </c>
      <c r="G30" s="8"/>
      <c r="I30" s="24" t="s">
        <v>25</v>
      </c>
      <c r="J30" s="25">
        <f>J28*J18+(1-J28)*B11</f>
        <v>9.7708333333333272E-2</v>
      </c>
    </row>
    <row r="31" spans="1:10" ht="16.2" x14ac:dyDescent="0.3">
      <c r="A31" s="6">
        <f t="shared" si="5"/>
        <v>0.8500000000000002</v>
      </c>
      <c r="B31" s="6">
        <f t="shared" si="0"/>
        <v>0.1499999999999998</v>
      </c>
      <c r="C31" s="6">
        <f t="shared" si="1"/>
        <v>7.7000000000000013E-2</v>
      </c>
      <c r="D31" s="6">
        <f t="shared" si="2"/>
        <v>6.3490000000000057E-3</v>
      </c>
      <c r="E31" s="6">
        <f t="shared" si="3"/>
        <v>7.9680612447445495E-2</v>
      </c>
      <c r="F31" s="8">
        <f t="shared" si="4"/>
        <v>0.33885281714931914</v>
      </c>
      <c r="G31" s="8"/>
      <c r="I31" s="23" t="s">
        <v>26</v>
      </c>
      <c r="J31" s="25">
        <f>J28*J22</f>
        <v>0.10921118685067624</v>
      </c>
    </row>
    <row r="32" spans="1:10" x14ac:dyDescent="0.3">
      <c r="A32" s="6">
        <f t="shared" si="5"/>
        <v>0.90000000000000024</v>
      </c>
      <c r="B32" s="6">
        <f t="shared" si="0"/>
        <v>9.9999999999999756E-2</v>
      </c>
      <c r="C32" s="6">
        <f t="shared" si="1"/>
        <v>7.8000000000000014E-2</v>
      </c>
      <c r="D32" s="6">
        <f t="shared" si="2"/>
        <v>7.4440000000000062E-3</v>
      </c>
      <c r="E32" s="6">
        <f t="shared" si="3"/>
        <v>8.6278618440492005E-2</v>
      </c>
      <c r="F32" s="8">
        <f t="shared" si="4"/>
        <v>0.32452999950749256</v>
      </c>
      <c r="G32" s="8"/>
      <c r="I32" s="14" t="s">
        <v>27</v>
      </c>
      <c r="J32" s="25">
        <f>J30-(1/2)*J27*J31^2</f>
        <v>7.3854166666666637E-2</v>
      </c>
    </row>
    <row r="33" spans="1:7" x14ac:dyDescent="0.3">
      <c r="A33" s="6">
        <f t="shared" si="5"/>
        <v>0.95000000000000029</v>
      </c>
      <c r="B33" s="6">
        <f t="shared" si="0"/>
        <v>4.9999999999999711E-2</v>
      </c>
      <c r="C33" s="6">
        <f t="shared" si="1"/>
        <v>7.9000000000000015E-2</v>
      </c>
      <c r="D33" s="6">
        <f t="shared" si="2"/>
        <v>8.661000000000009E-3</v>
      </c>
      <c r="E33" s="6">
        <f t="shared" si="3"/>
        <v>9.3064493766419898E-2</v>
      </c>
      <c r="F33" s="8">
        <f t="shared" si="4"/>
        <v>0.31161185997300261</v>
      </c>
      <c r="G33" s="8"/>
    </row>
    <row r="34" spans="1:7" x14ac:dyDescent="0.3">
      <c r="A34" s="6">
        <f t="shared" si="5"/>
        <v>1.0000000000000002</v>
      </c>
      <c r="B34" s="6">
        <f t="shared" si="0"/>
        <v>0</v>
      </c>
      <c r="C34" s="6">
        <f t="shared" si="1"/>
        <v>8.0000000000000016E-2</v>
      </c>
      <c r="D34" s="6">
        <f t="shared" si="2"/>
        <v>1.0000000000000007E-2</v>
      </c>
      <c r="E34" s="6">
        <f t="shared" si="3"/>
        <v>0.10000000000000003</v>
      </c>
      <c r="F34" s="8">
        <f t="shared" si="4"/>
        <v>0.30000000000000004</v>
      </c>
      <c r="G34" s="8"/>
    </row>
    <row r="35" spans="1:7" x14ac:dyDescent="0.3">
      <c r="A35" s="6"/>
    </row>
    <row r="36" spans="1:7" ht="15.6" x14ac:dyDescent="0.3">
      <c r="A36" s="7" t="s">
        <v>11</v>
      </c>
      <c r="B36" s="5" t="s">
        <v>9</v>
      </c>
      <c r="C36" s="5" t="s">
        <v>28</v>
      </c>
    </row>
    <row r="37" spans="1:7" x14ac:dyDescent="0.3">
      <c r="A37" s="20">
        <v>0</v>
      </c>
      <c r="B37" s="21">
        <f>$J$24*A37+$B$11</f>
        <v>0.05</v>
      </c>
      <c r="C37" s="27">
        <f>$J$32+(1/2)*A37^2</f>
        <v>7.3854166666666637E-2</v>
      </c>
    </row>
    <row r="38" spans="1:7" x14ac:dyDescent="0.3">
      <c r="A38" s="20">
        <f>A37+1%</f>
        <v>0.01</v>
      </c>
      <c r="B38" s="21">
        <f t="shared" ref="B38:B62" si="6">$J$24*A38+$B$11</f>
        <v>5.4368447474027054E-2</v>
      </c>
      <c r="C38" s="27">
        <f t="shared" ref="C38:C62" si="7">$J$32+(1/2)*A38^2</f>
        <v>7.3904166666666632E-2</v>
      </c>
    </row>
    <row r="39" spans="1:7" x14ac:dyDescent="0.3">
      <c r="A39" s="20">
        <f t="shared" ref="A39:A62" si="8">A38+1%</f>
        <v>0.02</v>
      </c>
      <c r="B39" s="21">
        <f t="shared" si="6"/>
        <v>5.8736894948054105E-2</v>
      </c>
      <c r="C39" s="27">
        <f t="shared" si="7"/>
        <v>7.4054166666666643E-2</v>
      </c>
    </row>
    <row r="40" spans="1:7" x14ac:dyDescent="0.3">
      <c r="A40" s="20">
        <f t="shared" si="8"/>
        <v>0.03</v>
      </c>
      <c r="B40" s="21">
        <f t="shared" si="6"/>
        <v>6.3105342422081157E-2</v>
      </c>
      <c r="C40" s="27">
        <f t="shared" si="7"/>
        <v>7.4304166666666643E-2</v>
      </c>
    </row>
    <row r="41" spans="1:7" x14ac:dyDescent="0.3">
      <c r="A41" s="20">
        <f t="shared" si="8"/>
        <v>0.04</v>
      </c>
      <c r="B41" s="21">
        <f t="shared" si="6"/>
        <v>6.7473789896108194E-2</v>
      </c>
      <c r="C41" s="27">
        <f t="shared" si="7"/>
        <v>7.4654166666666633E-2</v>
      </c>
    </row>
    <row r="42" spans="1:7" x14ac:dyDescent="0.3">
      <c r="A42" s="20">
        <f t="shared" si="8"/>
        <v>0.05</v>
      </c>
      <c r="B42" s="21">
        <f t="shared" si="6"/>
        <v>7.1842237370135259E-2</v>
      </c>
      <c r="C42" s="27">
        <f t="shared" si="7"/>
        <v>7.5104166666666639E-2</v>
      </c>
    </row>
    <row r="43" spans="1:7" x14ac:dyDescent="0.3">
      <c r="A43" s="20">
        <f t="shared" si="8"/>
        <v>6.0000000000000005E-2</v>
      </c>
      <c r="B43" s="21">
        <f t="shared" si="6"/>
        <v>7.6210684844162296E-2</v>
      </c>
      <c r="C43" s="27">
        <f t="shared" si="7"/>
        <v>7.5654166666666633E-2</v>
      </c>
    </row>
    <row r="44" spans="1:7" x14ac:dyDescent="0.3">
      <c r="A44" s="20">
        <f t="shared" si="8"/>
        <v>7.0000000000000007E-2</v>
      </c>
      <c r="B44" s="21">
        <f t="shared" si="6"/>
        <v>8.0579132318189348E-2</v>
      </c>
      <c r="C44" s="27">
        <f t="shared" si="7"/>
        <v>7.6304166666666631E-2</v>
      </c>
    </row>
    <row r="45" spans="1:7" x14ac:dyDescent="0.3">
      <c r="A45" s="20">
        <f t="shared" si="8"/>
        <v>0.08</v>
      </c>
      <c r="B45" s="21">
        <f t="shared" si="6"/>
        <v>8.4947579792216399E-2</v>
      </c>
      <c r="C45" s="27">
        <f t="shared" si="7"/>
        <v>7.7054166666666632E-2</v>
      </c>
    </row>
    <row r="46" spans="1:7" x14ac:dyDescent="0.3">
      <c r="A46" s="20">
        <f t="shared" si="8"/>
        <v>0.09</v>
      </c>
      <c r="B46" s="21">
        <f t="shared" si="6"/>
        <v>8.931602726624345E-2</v>
      </c>
      <c r="C46" s="27">
        <f t="shared" si="7"/>
        <v>7.7904166666666635E-2</v>
      </c>
    </row>
    <row r="47" spans="1:7" x14ac:dyDescent="0.3">
      <c r="A47" s="20">
        <f t="shared" si="8"/>
        <v>9.9999999999999992E-2</v>
      </c>
      <c r="B47" s="21">
        <f t="shared" si="6"/>
        <v>9.3684474740270501E-2</v>
      </c>
      <c r="C47" s="27">
        <f t="shared" si="7"/>
        <v>7.8854166666666642E-2</v>
      </c>
    </row>
    <row r="48" spans="1:7" x14ac:dyDescent="0.3">
      <c r="A48" s="20">
        <f t="shared" si="8"/>
        <v>0.10999999999999999</v>
      </c>
      <c r="B48" s="21">
        <f t="shared" si="6"/>
        <v>9.8052922214297539E-2</v>
      </c>
      <c r="C48" s="27">
        <f t="shared" si="7"/>
        <v>7.9904166666666637E-2</v>
      </c>
    </row>
    <row r="49" spans="1:3" x14ac:dyDescent="0.3">
      <c r="A49" s="20">
        <f t="shared" si="8"/>
        <v>0.11999999999999998</v>
      </c>
      <c r="B49" s="21">
        <f t="shared" si="6"/>
        <v>0.10242136968832459</v>
      </c>
      <c r="C49" s="27">
        <f t="shared" si="7"/>
        <v>8.1054166666666635E-2</v>
      </c>
    </row>
    <row r="50" spans="1:3" x14ac:dyDescent="0.3">
      <c r="A50" s="20">
        <f>A49+1%</f>
        <v>0.12999999999999998</v>
      </c>
      <c r="B50" s="21">
        <f t="shared" si="6"/>
        <v>0.10678981716235164</v>
      </c>
      <c r="C50" s="27">
        <f t="shared" si="7"/>
        <v>8.2304166666666637E-2</v>
      </c>
    </row>
    <row r="51" spans="1:3" x14ac:dyDescent="0.3">
      <c r="A51" s="20">
        <f t="shared" si="8"/>
        <v>0.13999999999999999</v>
      </c>
      <c r="B51" s="21">
        <f t="shared" si="6"/>
        <v>0.11115826463637869</v>
      </c>
      <c r="C51" s="27">
        <f t="shared" si="7"/>
        <v>8.3654166666666641E-2</v>
      </c>
    </row>
    <row r="52" spans="1:3" x14ac:dyDescent="0.3">
      <c r="A52" s="20">
        <f t="shared" si="8"/>
        <v>0.15</v>
      </c>
      <c r="B52" s="21">
        <f t="shared" si="6"/>
        <v>0.11552671211040574</v>
      </c>
      <c r="C52" s="27">
        <f t="shared" si="7"/>
        <v>8.5104166666666634E-2</v>
      </c>
    </row>
    <row r="53" spans="1:3" x14ac:dyDescent="0.3">
      <c r="A53" s="20">
        <f t="shared" si="8"/>
        <v>0.16</v>
      </c>
      <c r="B53" s="21">
        <f t="shared" si="6"/>
        <v>0.11989515958443279</v>
      </c>
      <c r="C53" s="27">
        <f t="shared" si="7"/>
        <v>8.6654166666666643E-2</v>
      </c>
    </row>
    <row r="54" spans="1:3" x14ac:dyDescent="0.3">
      <c r="A54" s="20">
        <f t="shared" si="8"/>
        <v>0.17</v>
      </c>
      <c r="B54" s="21">
        <f t="shared" si="6"/>
        <v>0.12426360705845985</v>
      </c>
      <c r="C54" s="27">
        <f t="shared" si="7"/>
        <v>8.8304166666666642E-2</v>
      </c>
    </row>
    <row r="55" spans="1:3" x14ac:dyDescent="0.3">
      <c r="A55" s="20">
        <f t="shared" si="8"/>
        <v>0.18000000000000002</v>
      </c>
      <c r="B55" s="21">
        <f t="shared" si="6"/>
        <v>0.12863205453248691</v>
      </c>
      <c r="C55" s="27">
        <f t="shared" si="7"/>
        <v>9.0054166666666643E-2</v>
      </c>
    </row>
    <row r="56" spans="1:3" x14ac:dyDescent="0.3">
      <c r="A56" s="20">
        <f t="shared" si="8"/>
        <v>0.19000000000000003</v>
      </c>
      <c r="B56" s="21">
        <f t="shared" si="6"/>
        <v>0.13300050200651398</v>
      </c>
      <c r="C56" s="27">
        <f t="shared" si="7"/>
        <v>9.1904166666666648E-2</v>
      </c>
    </row>
    <row r="57" spans="1:3" x14ac:dyDescent="0.3">
      <c r="A57" s="20">
        <f>A56+1%</f>
        <v>0.20000000000000004</v>
      </c>
      <c r="B57" s="21">
        <f t="shared" si="6"/>
        <v>0.13736894948054101</v>
      </c>
      <c r="C57" s="27">
        <f t="shared" si="7"/>
        <v>9.3854166666666641E-2</v>
      </c>
    </row>
    <row r="58" spans="1:3" x14ac:dyDescent="0.3">
      <c r="A58" s="20">
        <f t="shared" si="8"/>
        <v>0.21000000000000005</v>
      </c>
      <c r="B58" s="21">
        <f t="shared" si="6"/>
        <v>0.14173739695456805</v>
      </c>
      <c r="C58" s="27">
        <f t="shared" si="7"/>
        <v>9.5904166666666651E-2</v>
      </c>
    </row>
    <row r="59" spans="1:3" x14ac:dyDescent="0.3">
      <c r="A59" s="20">
        <f t="shared" si="8"/>
        <v>0.22000000000000006</v>
      </c>
      <c r="B59" s="21">
        <f t="shared" si="6"/>
        <v>0.14610584442859512</v>
      </c>
      <c r="C59" s="27">
        <f t="shared" si="7"/>
        <v>9.8054166666666651E-2</v>
      </c>
    </row>
    <row r="60" spans="1:3" x14ac:dyDescent="0.3">
      <c r="A60" s="20">
        <f t="shared" si="8"/>
        <v>0.23000000000000007</v>
      </c>
      <c r="B60" s="21">
        <f t="shared" si="6"/>
        <v>0.15047429190262218</v>
      </c>
      <c r="C60" s="27">
        <f t="shared" si="7"/>
        <v>0.10030416666666665</v>
      </c>
    </row>
    <row r="61" spans="1:3" x14ac:dyDescent="0.3">
      <c r="A61" s="20">
        <f>A60+1%</f>
        <v>0.24000000000000007</v>
      </c>
      <c r="B61" s="21">
        <f t="shared" si="6"/>
        <v>0.15484273937664922</v>
      </c>
      <c r="C61" s="27">
        <f t="shared" si="7"/>
        <v>0.10265416666666666</v>
      </c>
    </row>
    <row r="62" spans="1:3" x14ac:dyDescent="0.3">
      <c r="A62" s="20">
        <f t="shared" si="8"/>
        <v>0.25000000000000006</v>
      </c>
      <c r="B62" s="21">
        <f t="shared" si="6"/>
        <v>0.15921118685067626</v>
      </c>
      <c r="C62" s="27">
        <f t="shared" si="7"/>
        <v>0.10510416666666665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3FA17-8557-47DE-B2A1-788FD1A9A475}">
  <dimension ref="A1:C13"/>
  <sheetViews>
    <sheetView workbookViewId="0">
      <selection activeCell="C3" sqref="C3"/>
    </sheetView>
  </sheetViews>
  <sheetFormatPr baseColWidth="10" defaultRowHeight="14.4" x14ac:dyDescent="0.3"/>
  <sheetData>
    <row r="1" spans="1:3" x14ac:dyDescent="0.3">
      <c r="B1" t="s">
        <v>31</v>
      </c>
      <c r="C1" s="29" t="s">
        <v>32</v>
      </c>
    </row>
    <row r="2" spans="1:3" x14ac:dyDescent="0.3">
      <c r="A2" t="s">
        <v>41</v>
      </c>
      <c r="B2" s="1">
        <v>0.08</v>
      </c>
      <c r="C2" s="1">
        <v>0.1</v>
      </c>
    </row>
    <row r="3" spans="1:3" x14ac:dyDescent="0.3">
      <c r="A3" t="s">
        <v>40</v>
      </c>
      <c r="B3" s="1">
        <v>0.06</v>
      </c>
      <c r="C3" s="1">
        <v>0.08</v>
      </c>
    </row>
    <row r="4" spans="1:3" x14ac:dyDescent="0.3">
      <c r="B4" s="28" t="s">
        <v>33</v>
      </c>
      <c r="C4">
        <v>-0.5</v>
      </c>
    </row>
    <row r="5" spans="1:3" x14ac:dyDescent="0.3">
      <c r="B5" s="22" t="s">
        <v>34</v>
      </c>
      <c r="C5" s="1">
        <v>0.05</v>
      </c>
    </row>
    <row r="6" spans="1:3" x14ac:dyDescent="0.3">
      <c r="B6" s="22" t="s">
        <v>23</v>
      </c>
      <c r="C6" s="30">
        <v>6</v>
      </c>
    </row>
    <row r="8" spans="1:3" x14ac:dyDescent="0.3">
      <c r="B8" s="22" t="s">
        <v>35</v>
      </c>
      <c r="C8" s="1">
        <v>0</v>
      </c>
    </row>
    <row r="9" spans="1:3" x14ac:dyDescent="0.3">
      <c r="B9" s="22" t="s">
        <v>36</v>
      </c>
      <c r="C9" s="1">
        <f>1-C8</f>
        <v>1</v>
      </c>
    </row>
    <row r="10" spans="1:3" ht="15.6" x14ac:dyDescent="0.35">
      <c r="B10" s="14" t="s">
        <v>19</v>
      </c>
      <c r="C10" s="1">
        <f>B2*C8+B3*C9</f>
        <v>0.06</v>
      </c>
    </row>
    <row r="11" spans="1:3" ht="15.6" x14ac:dyDescent="0.3">
      <c r="B11" s="23" t="s">
        <v>37</v>
      </c>
      <c r="C11" s="27">
        <f>C8^2*C2^2+2*C8*C9*C4+C9^2*C3^2</f>
        <v>6.4000000000000003E-3</v>
      </c>
    </row>
    <row r="12" spans="1:3" ht="15.6" x14ac:dyDescent="0.3">
      <c r="B12" s="23" t="s">
        <v>38</v>
      </c>
      <c r="C12" s="27">
        <f>SQRT(C11)</f>
        <v>0.08</v>
      </c>
    </row>
    <row r="13" spans="1:3" x14ac:dyDescent="0.3">
      <c r="B13" s="14" t="s">
        <v>39</v>
      </c>
      <c r="C13" s="1">
        <f>(C10-C5)/C12</f>
        <v>0.12499999999999993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6588B-EA3B-4330-9CDB-187D8129E42F}">
  <dimension ref="B2:H7"/>
  <sheetViews>
    <sheetView workbookViewId="0">
      <selection activeCell="E20" sqref="E20"/>
    </sheetView>
  </sheetViews>
  <sheetFormatPr baseColWidth="10" defaultRowHeight="14.4" x14ac:dyDescent="0.3"/>
  <sheetData>
    <row r="2" spans="2:8" x14ac:dyDescent="0.3">
      <c r="B2" t="s">
        <v>42</v>
      </c>
      <c r="C2">
        <v>1.2</v>
      </c>
      <c r="D2" t="s">
        <v>45</v>
      </c>
      <c r="E2" s="31">
        <v>0.11997844883522207</v>
      </c>
      <c r="G2" t="s">
        <v>50</v>
      </c>
      <c r="H2" s="1">
        <v>0.11</v>
      </c>
    </row>
    <row r="3" spans="2:8" x14ac:dyDescent="0.3">
      <c r="B3" t="s">
        <v>43</v>
      </c>
      <c r="C3">
        <v>0.7</v>
      </c>
      <c r="D3" t="s">
        <v>46</v>
      </c>
      <c r="E3" s="31">
        <v>-0.32003237003241491</v>
      </c>
      <c r="G3" t="s">
        <v>51</v>
      </c>
      <c r="H3" s="31">
        <v>7.4999999999999997E-2</v>
      </c>
    </row>
    <row r="4" spans="2:8" x14ac:dyDescent="0.3">
      <c r="B4" t="s">
        <v>44</v>
      </c>
      <c r="C4">
        <v>0.9</v>
      </c>
      <c r="D4" t="s">
        <v>47</v>
      </c>
      <c r="E4" s="31">
        <v>1.2000539211971035</v>
      </c>
      <c r="G4" t="s">
        <v>52</v>
      </c>
      <c r="H4" s="31">
        <v>8.4000000000000005E-2</v>
      </c>
    </row>
    <row r="5" spans="2:8" x14ac:dyDescent="0.3">
      <c r="D5" t="s">
        <v>48</v>
      </c>
      <c r="E5" s="31">
        <f>SUM(E2:E4)</f>
        <v>0.99999999999991074</v>
      </c>
      <c r="G5" t="s">
        <v>53</v>
      </c>
      <c r="H5" s="1">
        <v>0.09</v>
      </c>
    </row>
    <row r="6" spans="2:8" x14ac:dyDescent="0.3">
      <c r="G6" t="s">
        <v>54</v>
      </c>
      <c r="H6" s="19">
        <f>SUMPRODUCT(w,H2:H4)</f>
        <v>8.9999731000000013E-2</v>
      </c>
    </row>
    <row r="7" spans="2:8" x14ac:dyDescent="0.3">
      <c r="B7" t="s">
        <v>49</v>
      </c>
      <c r="C7" s="32">
        <f>SUMPRODUCT(C2:C4,E2:E4)</f>
        <v>1.0000000086569691</v>
      </c>
    </row>
  </sheetData>
  <pageMargins left="0.7" right="0.7" top="0.75" bottom="0.75" header="0.3" footer="0.3"/>
  <ignoredErrors>
    <ignoredError sqref="H6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9AB17-2025-4E62-84CD-BD0FB5B28EC2}">
  <dimension ref="A1:L9"/>
  <sheetViews>
    <sheetView workbookViewId="0">
      <selection activeCell="C7" sqref="C7"/>
    </sheetView>
  </sheetViews>
  <sheetFormatPr baseColWidth="10" defaultRowHeight="14.4" x14ac:dyDescent="0.3"/>
  <sheetData>
    <row r="1" spans="1:12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2" x14ac:dyDescent="0.3">
      <c r="B2">
        <v>-40</v>
      </c>
      <c r="C2">
        <v>15</v>
      </c>
      <c r="D2">
        <v>15</v>
      </c>
      <c r="E2">
        <v>15</v>
      </c>
      <c r="F2">
        <v>15</v>
      </c>
      <c r="G2">
        <v>15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2" x14ac:dyDescent="0.3">
      <c r="A3" t="s">
        <v>55</v>
      </c>
      <c r="B3" s="33">
        <f>IRR(B2:L2)</f>
        <v>0.35733279519978178</v>
      </c>
    </row>
    <row r="4" spans="1:12" x14ac:dyDescent="0.3">
      <c r="A4" t="s">
        <v>56</v>
      </c>
      <c r="B4">
        <v>1.8</v>
      </c>
    </row>
    <row r="5" spans="1:12" x14ac:dyDescent="0.3">
      <c r="A5" t="s">
        <v>57</v>
      </c>
      <c r="B5" s="1">
        <v>0.08</v>
      </c>
    </row>
    <row r="6" spans="1:12" x14ac:dyDescent="0.3">
      <c r="A6" t="s">
        <v>58</v>
      </c>
      <c r="B6" s="1">
        <v>0.16</v>
      </c>
      <c r="C6" s="36">
        <f>NPV(B7,C2:L2)+B2</f>
        <v>18.092131896605082</v>
      </c>
    </row>
    <row r="7" spans="1:12" x14ac:dyDescent="0.3">
      <c r="A7" t="s">
        <v>59</v>
      </c>
      <c r="B7" s="31">
        <f>B5+B4*(B6-B5)</f>
        <v>0.22400000000000003</v>
      </c>
      <c r="C7" s="34"/>
    </row>
    <row r="8" spans="1:12" x14ac:dyDescent="0.3">
      <c r="B8" s="35"/>
    </row>
    <row r="9" spans="1:12" x14ac:dyDescent="0.3">
      <c r="B9" s="3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F14D8-2989-48AE-AF95-A85175927FA2}">
  <dimension ref="A1:P12"/>
  <sheetViews>
    <sheetView workbookViewId="0">
      <selection activeCell="L7" sqref="L7"/>
    </sheetView>
  </sheetViews>
  <sheetFormatPr baseColWidth="10" defaultRowHeight="14.4" x14ac:dyDescent="0.3"/>
  <cols>
    <col min="3" max="3" width="12.21875" bestFit="1" customWidth="1"/>
    <col min="7" max="7" width="11.88671875" bestFit="1" customWidth="1"/>
    <col min="11" max="11" width="12.88671875" bestFit="1" customWidth="1"/>
    <col min="14" max="14" width="9.33203125" bestFit="1" customWidth="1"/>
  </cols>
  <sheetData>
    <row r="1" spans="1:16" x14ac:dyDescent="0.3">
      <c r="A1" t="s">
        <v>58</v>
      </c>
      <c r="B1" s="31">
        <v>0.115</v>
      </c>
      <c r="G1" s="42">
        <v>1000000</v>
      </c>
      <c r="H1" s="40" t="s">
        <v>31</v>
      </c>
      <c r="I1" s="40" t="s">
        <v>78</v>
      </c>
      <c r="J1" s="40" t="s">
        <v>80</v>
      </c>
      <c r="K1" s="40" t="s">
        <v>79</v>
      </c>
      <c r="L1" s="40" t="s">
        <v>70</v>
      </c>
      <c r="M1" s="40" t="s">
        <v>71</v>
      </c>
      <c r="N1" s="40" t="s">
        <v>72</v>
      </c>
      <c r="O1" s="40" t="s">
        <v>57</v>
      </c>
      <c r="P1" s="40" t="s">
        <v>77</v>
      </c>
    </row>
    <row r="2" spans="1:16" x14ac:dyDescent="0.3">
      <c r="A2" t="s">
        <v>57</v>
      </c>
      <c r="B2" s="1">
        <v>0.05</v>
      </c>
      <c r="G2" s="43" t="s">
        <v>73</v>
      </c>
      <c r="H2" s="44">
        <v>0.113</v>
      </c>
      <c r="I2" s="44">
        <f>O2+M2*($H$5-O2)</f>
        <v>0.1094</v>
      </c>
      <c r="J2" s="44">
        <f>H2-I2</f>
        <v>3.600000000000006E-3</v>
      </c>
      <c r="K2" s="44" t="str">
        <f>IF(J2&gt;0,"Subvalorado",IF(J2&lt;0,"Sobrevalorado","Mercado"))</f>
        <v>Subvalorado</v>
      </c>
      <c r="L2" s="44">
        <v>0.218</v>
      </c>
      <c r="M2" s="45">
        <v>0.7</v>
      </c>
      <c r="N2" s="46">
        <f>H2*L2*$G$1</f>
        <v>24634</v>
      </c>
      <c r="O2" s="47">
        <v>4.4999999999999998E-2</v>
      </c>
      <c r="P2" s="48">
        <f>(H2-O2)/L2</f>
        <v>0.31192660550458717</v>
      </c>
    </row>
    <row r="3" spans="1:16" x14ac:dyDescent="0.3">
      <c r="A3" t="s">
        <v>62</v>
      </c>
      <c r="B3">
        <v>1.5</v>
      </c>
      <c r="G3" s="40" t="s">
        <v>74</v>
      </c>
      <c r="H3" s="21">
        <v>0.13900000000000001</v>
      </c>
      <c r="I3" s="21">
        <f>O3+M3*($H$5-O3)</f>
        <v>0.14620000000000002</v>
      </c>
      <c r="J3" s="21">
        <f>H3-I3</f>
        <v>-7.2000000000000119E-3</v>
      </c>
      <c r="K3" s="21" t="str">
        <f t="shared" ref="K3:K6" si="0">IF(J3&gt;0,"Subvalorado",IF(J3&lt;0,"Sobrevalorado","Mercado"))</f>
        <v>Sobrevalorado</v>
      </c>
      <c r="L3" s="21">
        <v>0.27200000000000002</v>
      </c>
      <c r="M3" s="39">
        <v>1.1000000000000001</v>
      </c>
      <c r="N3" s="42">
        <f t="shared" ref="N3:N5" si="1">H3*L3*$G$1</f>
        <v>37808.000000000007</v>
      </c>
      <c r="O3" s="41">
        <v>4.4999999999999998E-2</v>
      </c>
      <c r="P3" s="38">
        <f t="shared" ref="P3:P5" si="2">(H3-O3)/L3</f>
        <v>0.3455882352941177</v>
      </c>
    </row>
    <row r="4" spans="1:16" x14ac:dyDescent="0.3">
      <c r="A4" t="s">
        <v>63</v>
      </c>
      <c r="B4">
        <v>0.8</v>
      </c>
      <c r="G4" s="40" t="s">
        <v>75</v>
      </c>
      <c r="H4" s="21">
        <v>0.16300000000000001</v>
      </c>
      <c r="I4" s="21">
        <f>O4+M4*($H$5-O4)</f>
        <v>0.16460000000000002</v>
      </c>
      <c r="J4" s="21">
        <f>H4-I4</f>
        <v>-1.6000000000000181E-3</v>
      </c>
      <c r="K4" s="21" t="str">
        <f t="shared" si="0"/>
        <v>Sobrevalorado</v>
      </c>
      <c r="L4" s="21">
        <v>0.29099999999999998</v>
      </c>
      <c r="M4" s="39">
        <v>1.3</v>
      </c>
      <c r="N4" s="42">
        <f t="shared" si="1"/>
        <v>47432.999999999993</v>
      </c>
      <c r="O4" s="41">
        <v>4.4999999999999998E-2</v>
      </c>
      <c r="P4" s="38">
        <f t="shared" si="2"/>
        <v>0.40549828178694164</v>
      </c>
    </row>
    <row r="5" spans="1:16" x14ac:dyDescent="0.3">
      <c r="G5" s="40" t="s">
        <v>76</v>
      </c>
      <c r="H5" s="21">
        <v>0.13700000000000001</v>
      </c>
      <c r="I5" s="21">
        <f>O5+M5*($H$5-O5)</f>
        <v>0.13700000000000001</v>
      </c>
      <c r="J5" s="21">
        <f>H5-I5</f>
        <v>0</v>
      </c>
      <c r="K5" s="21" t="str">
        <f t="shared" si="0"/>
        <v>Mercado</v>
      </c>
      <c r="L5" s="21">
        <v>0.159</v>
      </c>
      <c r="M5" s="39">
        <v>1</v>
      </c>
      <c r="N5" s="42">
        <f t="shared" si="1"/>
        <v>21783.000000000004</v>
      </c>
      <c r="O5" s="41">
        <v>4.4999999999999998E-2</v>
      </c>
      <c r="P5" s="38">
        <f t="shared" si="2"/>
        <v>0.57861635220125796</v>
      </c>
    </row>
    <row r="6" spans="1:16" x14ac:dyDescent="0.3">
      <c r="A6" t="s">
        <v>64</v>
      </c>
      <c r="B6" s="31">
        <v>0.13250000000000001</v>
      </c>
      <c r="C6" t="s">
        <v>66</v>
      </c>
      <c r="D6" s="31">
        <f>B2+B3*(B1-B2)</f>
        <v>0.14750000000000002</v>
      </c>
      <c r="E6" t="s">
        <v>61</v>
      </c>
      <c r="G6" s="40" t="s">
        <v>81</v>
      </c>
      <c r="H6" s="21">
        <f>H2*20%+H5*80%</f>
        <v>0.13220000000000001</v>
      </c>
      <c r="I6" s="21">
        <f>O6+M6*($H$5-O6)</f>
        <v>0.13148000000000001</v>
      </c>
      <c r="J6" s="21">
        <f>H6-I6</f>
        <v>7.1999999999999842E-4</v>
      </c>
      <c r="K6" s="21" t="str">
        <f t="shared" si="0"/>
        <v>Subvalorado</v>
      </c>
      <c r="M6" s="37">
        <f>M2*20%+M5*80%</f>
        <v>0.94000000000000006</v>
      </c>
      <c r="O6" s="41">
        <v>4.4999999999999998E-2</v>
      </c>
      <c r="P6" s="38"/>
    </row>
    <row r="7" spans="1:16" x14ac:dyDescent="0.3">
      <c r="A7" t="s">
        <v>65</v>
      </c>
      <c r="B7" s="31">
        <v>0.1125</v>
      </c>
      <c r="C7" t="s">
        <v>67</v>
      </c>
      <c r="D7" s="31">
        <f>B2+B4*(B1-B2)</f>
        <v>0.10200000000000001</v>
      </c>
      <c r="E7" t="s">
        <v>60</v>
      </c>
    </row>
    <row r="9" spans="1:16" x14ac:dyDescent="0.3">
      <c r="A9" t="s">
        <v>68</v>
      </c>
      <c r="B9" s="31">
        <f>B6-D6</f>
        <v>-1.5000000000000013E-2</v>
      </c>
      <c r="C9" t="s">
        <v>61</v>
      </c>
    </row>
    <row r="10" spans="1:16" x14ac:dyDescent="0.3">
      <c r="A10" t="s">
        <v>69</v>
      </c>
      <c r="B10" s="31">
        <f>B7-D7</f>
        <v>1.0499999999999995E-2</v>
      </c>
      <c r="C10" t="s">
        <v>60</v>
      </c>
    </row>
    <row r="11" spans="1:16" x14ac:dyDescent="0.3">
      <c r="B11" s="31"/>
    </row>
    <row r="12" spans="1:16" x14ac:dyDescent="0.3">
      <c r="B12" s="3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E3B92-B411-4915-B20D-14B3CF98E378}">
  <dimension ref="A1:P33"/>
  <sheetViews>
    <sheetView topLeftCell="A4" workbookViewId="0">
      <selection activeCell="N24" sqref="N24"/>
    </sheetView>
  </sheetViews>
  <sheetFormatPr baseColWidth="10" defaultRowHeight="14.4" x14ac:dyDescent="0.3"/>
  <sheetData>
    <row r="1" spans="12:16" x14ac:dyDescent="0.3">
      <c r="M1" t="s">
        <v>31</v>
      </c>
      <c r="N1" t="s">
        <v>71</v>
      </c>
      <c r="O1" t="s">
        <v>84</v>
      </c>
    </row>
    <row r="2" spans="12:16" x14ac:dyDescent="0.3">
      <c r="L2" t="s">
        <v>82</v>
      </c>
      <c r="M2" s="1">
        <v>0.08</v>
      </c>
      <c r="N2">
        <v>0.4</v>
      </c>
      <c r="O2" s="1">
        <v>0.06</v>
      </c>
    </row>
    <row r="3" spans="12:16" x14ac:dyDescent="0.3">
      <c r="L3" t="s">
        <v>83</v>
      </c>
      <c r="M3" s="1">
        <v>0.16</v>
      </c>
      <c r="N3">
        <v>1.2</v>
      </c>
    </row>
    <row r="6" spans="12:16" x14ac:dyDescent="0.3">
      <c r="L6" t="s">
        <v>85</v>
      </c>
      <c r="M6" t="s">
        <v>86</v>
      </c>
      <c r="P6" t="s">
        <v>92</v>
      </c>
    </row>
    <row r="7" spans="12:16" x14ac:dyDescent="0.3">
      <c r="M7" t="s">
        <v>87</v>
      </c>
      <c r="O7" t="s">
        <v>88</v>
      </c>
    </row>
    <row r="8" spans="12:16" x14ac:dyDescent="0.3">
      <c r="M8" t="s">
        <v>89</v>
      </c>
    </row>
    <row r="9" spans="12:16" x14ac:dyDescent="0.3">
      <c r="M9" t="s">
        <v>90</v>
      </c>
    </row>
    <row r="10" spans="12:16" x14ac:dyDescent="0.3">
      <c r="M10" t="s">
        <v>91</v>
      </c>
    </row>
    <row r="11" spans="12:16" x14ac:dyDescent="0.3">
      <c r="L11" t="s">
        <v>45</v>
      </c>
      <c r="M11">
        <f>(1-1.2)/-0.8</f>
        <v>0.24999999999999994</v>
      </c>
    </row>
    <row r="12" spans="12:16" x14ac:dyDescent="0.3">
      <c r="L12" t="s">
        <v>46</v>
      </c>
      <c r="M12">
        <f>1-M11</f>
        <v>0.75</v>
      </c>
    </row>
    <row r="13" spans="12:16" x14ac:dyDescent="0.3">
      <c r="L13" t="s">
        <v>93</v>
      </c>
      <c r="M13" s="49">
        <f>M11*M2+M12*M3</f>
        <v>0.13999999999999999</v>
      </c>
    </row>
    <row r="15" spans="12:16" x14ac:dyDescent="0.3">
      <c r="L15" t="s">
        <v>94</v>
      </c>
      <c r="M15">
        <f>M11*N2+M12*N3</f>
        <v>0.99999999999999989</v>
      </c>
    </row>
    <row r="16" spans="12:16" x14ac:dyDescent="0.3">
      <c r="L16" t="s">
        <v>95</v>
      </c>
      <c r="M16" t="s">
        <v>98</v>
      </c>
      <c r="N16">
        <v>2.2499999999999998E-3</v>
      </c>
    </row>
    <row r="17" spans="1:14" x14ac:dyDescent="0.3">
      <c r="M17" t="s">
        <v>96</v>
      </c>
    </row>
    <row r="18" spans="1:14" x14ac:dyDescent="0.3">
      <c r="M18" t="s">
        <v>97</v>
      </c>
    </row>
    <row r="19" spans="1:14" x14ac:dyDescent="0.3">
      <c r="M19" t="s">
        <v>99</v>
      </c>
      <c r="N19">
        <f>N16/N2</f>
        <v>5.6249999999999989E-3</v>
      </c>
    </row>
    <row r="20" spans="1:14" x14ac:dyDescent="0.3">
      <c r="M20" t="s">
        <v>100</v>
      </c>
      <c r="N20">
        <f>SQRT(N19)</f>
        <v>7.4999999999999997E-2</v>
      </c>
    </row>
    <row r="23" spans="1:14" x14ac:dyDescent="0.3">
      <c r="L23" t="s">
        <v>103</v>
      </c>
      <c r="M23" t="s">
        <v>100</v>
      </c>
      <c r="N23" s="31">
        <v>0.1125</v>
      </c>
    </row>
    <row r="24" spans="1:14" x14ac:dyDescent="0.3">
      <c r="M24" t="s">
        <v>104</v>
      </c>
      <c r="N24">
        <v>1</v>
      </c>
    </row>
    <row r="25" spans="1:14" x14ac:dyDescent="0.3">
      <c r="M25" t="s">
        <v>105</v>
      </c>
    </row>
    <row r="26" spans="1:14" x14ac:dyDescent="0.3">
      <c r="M26" t="s">
        <v>106</v>
      </c>
    </row>
    <row r="27" spans="1:14" x14ac:dyDescent="0.3">
      <c r="M27" t="s">
        <v>107</v>
      </c>
      <c r="N27" s="31"/>
    </row>
    <row r="28" spans="1:14" x14ac:dyDescent="0.3">
      <c r="B28" t="s">
        <v>31</v>
      </c>
      <c r="C28" t="s">
        <v>84</v>
      </c>
      <c r="D28" t="s">
        <v>71</v>
      </c>
      <c r="E28" t="s">
        <v>77</v>
      </c>
      <c r="M28" t="s">
        <v>108</v>
      </c>
    </row>
    <row r="29" spans="1:14" x14ac:dyDescent="0.3">
      <c r="A29" t="s">
        <v>82</v>
      </c>
      <c r="B29" s="1">
        <f>M2</f>
        <v>0.08</v>
      </c>
      <c r="C29" s="1">
        <f>O2</f>
        <v>0.06</v>
      </c>
      <c r="D29">
        <f>N2</f>
        <v>0.4</v>
      </c>
      <c r="E29" s="50">
        <f>(B29-0.04)/C29</f>
        <v>0.66666666666666674</v>
      </c>
      <c r="F29" s="1"/>
    </row>
    <row r="30" spans="1:14" x14ac:dyDescent="0.3">
      <c r="A30" t="s">
        <v>83</v>
      </c>
      <c r="B30" s="1">
        <f>M3</f>
        <v>0.16</v>
      </c>
      <c r="C30" s="1"/>
      <c r="D30">
        <f>N3</f>
        <v>1.2</v>
      </c>
      <c r="E30" s="50" t="e">
        <f t="shared" ref="E30:E32" si="0">(B30-0.04)/C30</f>
        <v>#DIV/0!</v>
      </c>
    </row>
    <row r="31" spans="1:14" x14ac:dyDescent="0.3">
      <c r="A31" t="s">
        <v>101</v>
      </c>
      <c r="B31" s="31"/>
      <c r="C31" s="31">
        <f>N23</f>
        <v>0.1125</v>
      </c>
      <c r="E31" s="50">
        <f t="shared" si="0"/>
        <v>-0.35555555555555557</v>
      </c>
    </row>
    <row r="32" spans="1:14" x14ac:dyDescent="0.3">
      <c r="A32" t="s">
        <v>102</v>
      </c>
      <c r="B32" s="1">
        <f>M13</f>
        <v>0.13999999999999999</v>
      </c>
      <c r="C32">
        <f>N20</f>
        <v>7.4999999999999997E-2</v>
      </c>
      <c r="D32">
        <f>M15</f>
        <v>0.99999999999999989</v>
      </c>
      <c r="E32" s="50">
        <f t="shared" si="0"/>
        <v>1.333333333333333</v>
      </c>
      <c r="L32" t="s">
        <v>109</v>
      </c>
      <c r="M32" t="s">
        <v>110</v>
      </c>
      <c r="N32">
        <f>0.9</f>
        <v>0.9</v>
      </c>
    </row>
    <row r="33" spans="13:13" x14ac:dyDescent="0.3">
      <c r="M33" t="s">
        <v>111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A948E-6656-439F-BF90-319CF310FAF9}">
  <dimension ref="A2:G18"/>
  <sheetViews>
    <sheetView tabSelected="1" workbookViewId="0">
      <selection activeCell="E8" sqref="E8"/>
    </sheetView>
  </sheetViews>
  <sheetFormatPr baseColWidth="10" defaultRowHeight="14.4" x14ac:dyDescent="0.3"/>
  <sheetData>
    <row r="2" spans="1:7" ht="15.6" x14ac:dyDescent="0.35">
      <c r="A2" s="22" t="s">
        <v>112</v>
      </c>
      <c r="B2" s="1">
        <v>0.06</v>
      </c>
    </row>
    <row r="3" spans="1:7" ht="15.6" x14ac:dyDescent="0.35">
      <c r="A3" s="22" t="s">
        <v>113</v>
      </c>
      <c r="B3" s="1">
        <v>7.0000000000000007E-2</v>
      </c>
      <c r="D3" s="54" t="s">
        <v>124</v>
      </c>
      <c r="E3" s="56">
        <v>7.9072904526216389E-2</v>
      </c>
    </row>
    <row r="4" spans="1:7" ht="15.6" x14ac:dyDescent="0.35">
      <c r="A4" s="22" t="s">
        <v>114</v>
      </c>
      <c r="B4" s="1">
        <v>0.08</v>
      </c>
      <c r="C4" s="1"/>
      <c r="D4" s="1"/>
    </row>
    <row r="6" spans="1:7" x14ac:dyDescent="0.3">
      <c r="A6" s="51" t="s">
        <v>115</v>
      </c>
      <c r="B6" s="51" t="s">
        <v>116</v>
      </c>
      <c r="C6" s="52" t="s">
        <v>117</v>
      </c>
      <c r="D6" s="51" t="s">
        <v>118</v>
      </c>
      <c r="E6" s="51" t="s">
        <v>119</v>
      </c>
      <c r="F6" s="51" t="s">
        <v>122</v>
      </c>
      <c r="G6" s="51" t="s">
        <v>121</v>
      </c>
    </row>
    <row r="7" spans="1:7" x14ac:dyDescent="0.3">
      <c r="A7" s="37">
        <v>1</v>
      </c>
      <c r="B7" s="37">
        <v>7</v>
      </c>
      <c r="C7" s="1">
        <f>B2</f>
        <v>0.06</v>
      </c>
      <c r="D7" s="53">
        <f>1/(1+C7)^A7</f>
        <v>0.94339622641509424</v>
      </c>
      <c r="E7" s="53">
        <f>D7*B7</f>
        <v>6.6037735849056594</v>
      </c>
      <c r="F7" s="53">
        <f>1/(1+$E$3)^A7</f>
        <v>0.92672144375552212</v>
      </c>
      <c r="G7" s="53">
        <f>B7*F7</f>
        <v>6.4870501062886552</v>
      </c>
    </row>
    <row r="8" spans="1:7" x14ac:dyDescent="0.3">
      <c r="A8" s="37">
        <v>2</v>
      </c>
      <c r="B8" s="37">
        <v>7</v>
      </c>
      <c r="C8" s="1">
        <f t="shared" ref="C8:C9" si="0">B3</f>
        <v>7.0000000000000007E-2</v>
      </c>
      <c r="D8" s="53">
        <f t="shared" ref="D8:D9" si="1">1/(1+C8)^A8</f>
        <v>0.87343872827321156</v>
      </c>
      <c r="E8" s="53">
        <f t="shared" ref="E8:E9" si="2">D8*B8</f>
        <v>6.1140710979124808</v>
      </c>
      <c r="F8" s="53">
        <f t="shared" ref="F8:F9" si="3">1/(1+$E$3)^A8</f>
        <v>0.85881263431631949</v>
      </c>
      <c r="G8" s="53">
        <f t="shared" ref="G8:G9" si="4">B8*F8</f>
        <v>6.0116884402142361</v>
      </c>
    </row>
    <row r="9" spans="1:7" x14ac:dyDescent="0.3">
      <c r="A9" s="37">
        <v>3</v>
      </c>
      <c r="B9" s="37">
        <v>107</v>
      </c>
      <c r="C9" s="1">
        <f t="shared" si="0"/>
        <v>0.08</v>
      </c>
      <c r="D9" s="53">
        <f t="shared" si="1"/>
        <v>0.79383224102016958</v>
      </c>
      <c r="E9" s="53">
        <f t="shared" si="2"/>
        <v>84.940049789158152</v>
      </c>
      <c r="F9" s="53">
        <f t="shared" si="3"/>
        <v>0.79588008438910285</v>
      </c>
      <c r="G9" s="53">
        <f t="shared" si="4"/>
        <v>85.159169029634</v>
      </c>
    </row>
    <row r="10" spans="1:7" x14ac:dyDescent="0.3">
      <c r="D10" s="54" t="s">
        <v>120</v>
      </c>
      <c r="E10" s="53">
        <f>SUM(E7:E9)</f>
        <v>97.657894471976292</v>
      </c>
      <c r="F10" s="54" t="s">
        <v>123</v>
      </c>
      <c r="G10" s="53">
        <f>SUM(G7:G9)</f>
        <v>97.657907576136893</v>
      </c>
    </row>
    <row r="11" spans="1:7" x14ac:dyDescent="0.3">
      <c r="F11" s="55"/>
    </row>
    <row r="12" spans="1:7" x14ac:dyDescent="0.3">
      <c r="A12" t="s">
        <v>125</v>
      </c>
      <c r="B12" s="55"/>
      <c r="F12" s="1"/>
    </row>
    <row r="13" spans="1:7" x14ac:dyDescent="0.3">
      <c r="A13" t="s">
        <v>126</v>
      </c>
      <c r="B13" t="s">
        <v>127</v>
      </c>
    </row>
    <row r="14" spans="1:7" x14ac:dyDescent="0.3">
      <c r="A14" t="s">
        <v>126</v>
      </c>
      <c r="B14" s="27">
        <f>(1+B3)^2/(1+B2)-1</f>
        <v>8.0094339622641453E-2</v>
      </c>
      <c r="C14" s="31"/>
    </row>
    <row r="16" spans="1:7" x14ac:dyDescent="0.3">
      <c r="A16" t="s">
        <v>128</v>
      </c>
      <c r="B16" t="s">
        <v>129</v>
      </c>
    </row>
    <row r="17" spans="1:2" x14ac:dyDescent="0.3">
      <c r="A17" t="s">
        <v>128</v>
      </c>
      <c r="B17" s="27">
        <f>((1+B4)^3/(1+B3)^2)-1</f>
        <v>0.10028124727050414</v>
      </c>
    </row>
    <row r="18" spans="1:2" x14ac:dyDescent="0.3">
      <c r="B18" s="5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7B3D51CADD1D94E9000229A15B18451" ma:contentTypeVersion="4" ma:contentTypeDescription="Crear nuevo documento." ma:contentTypeScope="" ma:versionID="974e2fd74fb2d752365237ff428eb139">
  <xsd:schema xmlns:xsd="http://www.w3.org/2001/XMLSchema" xmlns:xs="http://www.w3.org/2001/XMLSchema" xmlns:p="http://schemas.microsoft.com/office/2006/metadata/properties" xmlns:ns2="5d6436a9-1571-4178-9d83-e4a54674e856" targetNamespace="http://schemas.microsoft.com/office/2006/metadata/properties" ma:root="true" ma:fieldsID="f4342c8f1dd42ee1346c3e1a35fcef57" ns2:_="">
    <xsd:import namespace="5d6436a9-1571-4178-9d83-e4a54674e8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6436a9-1571-4178-9d83-e4a54674e8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D6FB49-23AD-4DB5-A1E4-CE6995B2F75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689E04F-82DC-4C41-9C02-FC9E99CD26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6436a9-1571-4178-9d83-e4a54674e8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72F0054-C8F6-4934-B20F-3048748F251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Hoja1</vt:lpstr>
      <vt:lpstr>Hoja2</vt:lpstr>
      <vt:lpstr>Hoja1 (2)</vt:lpstr>
      <vt:lpstr>Hoja3</vt:lpstr>
      <vt:lpstr>Hoja4</vt:lpstr>
      <vt:lpstr>Hoja5</vt:lpstr>
      <vt:lpstr>Hoja6</vt:lpstr>
      <vt:lpstr>Hoja7</vt:lpstr>
      <vt:lpstr>Hoja8</vt:lpstr>
      <vt:lpstr>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NICOLÁS GONZÁLEZ</cp:lastModifiedBy>
  <cp:revision/>
  <dcterms:created xsi:type="dcterms:W3CDTF">2023-10-21T16:37:07Z</dcterms:created>
  <dcterms:modified xsi:type="dcterms:W3CDTF">2023-11-18T17:37:28Z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0x01010047B3D51CADD1D94E9000229A15B18451</vt:lpwstr>
  </property>
</Properties>
</file>