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455B9941-5330-4D65-B1C4-558BE6A0010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ono" sheetId="6" r:id="rId1"/>
    <sheet name="Deuda" sheetId="5" r:id="rId2"/>
    <sheet name="Hoja1 (2)" sheetId="4" r:id="rId3"/>
    <sheet name="Hoja3" sheetId="3" r:id="rId4"/>
  </sheets>
  <definedNames>
    <definedName name="solver_adj" localSheetId="0" hidden="1">Bono!$B$4</definedName>
    <definedName name="solver_adj" localSheetId="1" hidden="1">Deuda!$B$4</definedName>
    <definedName name="solver_adj" localSheetId="3" hidden="1">Hoja3!$D$4:$D$7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3" hidden="1">Hoja3!$B$11</definedName>
    <definedName name="solver_lhs2" localSheetId="3" hidden="1">Hoja3!$B$12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Bono!$B$26</definedName>
    <definedName name="solver_opt" localSheetId="1" hidden="1">Deuda!$B$26</definedName>
    <definedName name="solver_opt" localSheetId="3" hidden="1">Hoja3!$B$10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hs1" localSheetId="3" hidden="1">542.62</definedName>
    <definedName name="solver_rhs2" localSheetId="3" hidden="1">4337.33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1" hidden="1">0</definedName>
    <definedName name="solver_val" localSheetId="3" hidden="1">100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A6" i="6"/>
  <c r="B15" i="6"/>
  <c r="C15" i="6"/>
  <c r="D15" i="6"/>
  <c r="E15" i="6"/>
  <c r="F15" i="6"/>
  <c r="F19" i="6" s="1"/>
  <c r="G15" i="6"/>
  <c r="H15" i="6"/>
  <c r="I15" i="6"/>
  <c r="J15" i="6"/>
  <c r="J19" i="6" s="1"/>
  <c r="K15" i="6"/>
  <c r="L15" i="6"/>
  <c r="M15" i="6"/>
  <c r="N15" i="6"/>
  <c r="N19" i="6" s="1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A19" i="6" s="1"/>
  <c r="AB15" i="6"/>
  <c r="AC15" i="6"/>
  <c r="AC19" i="6" s="1"/>
  <c r="AD15" i="6"/>
  <c r="AD19" i="6" s="1"/>
  <c r="AE15" i="6"/>
  <c r="AF15" i="6"/>
  <c r="AG15" i="6"/>
  <c r="AH15" i="6"/>
  <c r="AI15" i="6"/>
  <c r="AJ15" i="6"/>
  <c r="AK15" i="6"/>
  <c r="AL15" i="6"/>
  <c r="AL19" i="6" s="1"/>
  <c r="AM15" i="6"/>
  <c r="AN15" i="6"/>
  <c r="AO15" i="6"/>
  <c r="B17" i="6"/>
  <c r="B19" i="6" s="1"/>
  <c r="C17" i="6"/>
  <c r="C19" i="6" s="1"/>
  <c r="D17" i="6"/>
  <c r="D19" i="6" s="1"/>
  <c r="E17" i="6"/>
  <c r="E19" i="6" s="1"/>
  <c r="F17" i="6"/>
  <c r="G17" i="6"/>
  <c r="H17" i="6"/>
  <c r="I17" i="6"/>
  <c r="J17" i="6"/>
  <c r="K17" i="6"/>
  <c r="L17" i="6"/>
  <c r="M17" i="6"/>
  <c r="N17" i="6"/>
  <c r="O17" i="6"/>
  <c r="O19" i="6" s="1"/>
  <c r="P17" i="6"/>
  <c r="P19" i="6" s="1"/>
  <c r="Q17" i="6"/>
  <c r="Q19" i="6" s="1"/>
  <c r="R17" i="6"/>
  <c r="R19" i="6" s="1"/>
  <c r="S17" i="6"/>
  <c r="S19" i="6" s="1"/>
  <c r="T17" i="6"/>
  <c r="T19" i="6" s="1"/>
  <c r="U17" i="6"/>
  <c r="U19" i="6" s="1"/>
  <c r="V17" i="6"/>
  <c r="V19" i="6" s="1"/>
  <c r="W17" i="6"/>
  <c r="X17" i="6"/>
  <c r="Y17" i="6"/>
  <c r="Z17" i="6"/>
  <c r="AA17" i="6"/>
  <c r="AB17" i="6"/>
  <c r="AC17" i="6"/>
  <c r="AD17" i="6"/>
  <c r="AE17" i="6"/>
  <c r="AE19" i="6" s="1"/>
  <c r="AF17" i="6"/>
  <c r="AF19" i="6" s="1"/>
  <c r="AG17" i="6"/>
  <c r="AG19" i="6" s="1"/>
  <c r="AH17" i="6"/>
  <c r="AH19" i="6" s="1"/>
  <c r="AI17" i="6"/>
  <c r="AI19" i="6" s="1"/>
  <c r="AJ17" i="6"/>
  <c r="AJ19" i="6" s="1"/>
  <c r="AK17" i="6"/>
  <c r="AK19" i="6" s="1"/>
  <c r="AL17" i="6"/>
  <c r="AM17" i="6"/>
  <c r="AN17" i="6"/>
  <c r="AO17" i="6"/>
  <c r="G19" i="6"/>
  <c r="G20" i="6" s="1"/>
  <c r="H19" i="6"/>
  <c r="H20" i="6" s="1"/>
  <c r="I19" i="6"/>
  <c r="I20" i="6" s="1"/>
  <c r="K19" i="6"/>
  <c r="K20" i="6" s="1"/>
  <c r="L19" i="6"/>
  <c r="L20" i="6" s="1"/>
  <c r="M19" i="6"/>
  <c r="M31" i="6" s="1"/>
  <c r="W19" i="6"/>
  <c r="W20" i="6" s="1"/>
  <c r="X19" i="6"/>
  <c r="X20" i="6" s="1"/>
  <c r="Y19" i="6"/>
  <c r="Y20" i="6" s="1"/>
  <c r="Z19" i="6"/>
  <c r="Z20" i="6" s="1"/>
  <c r="AB19" i="6"/>
  <c r="AB20" i="6" s="1"/>
  <c r="AM19" i="6"/>
  <c r="AM20" i="6" s="1"/>
  <c r="AN19" i="6"/>
  <c r="AN20" i="6" s="1"/>
  <c r="AO19" i="6"/>
  <c r="AO20" i="6" s="1"/>
  <c r="G31" i="6"/>
  <c r="H31" i="6"/>
  <c r="I31" i="6"/>
  <c r="K31" i="6"/>
  <c r="L31" i="6"/>
  <c r="W31" i="6"/>
  <c r="X31" i="6"/>
  <c r="Y31" i="6"/>
  <c r="Z31" i="6"/>
  <c r="AB31" i="6"/>
  <c r="AM31" i="6"/>
  <c r="AN31" i="6"/>
  <c r="AO31" i="6"/>
  <c r="V24" i="6" l="1"/>
  <c r="V31" i="6"/>
  <c r="V20" i="6"/>
  <c r="AH20" i="6"/>
  <c r="AH24" i="6"/>
  <c r="AH31" i="6"/>
  <c r="T31" i="6"/>
  <c r="T24" i="6"/>
  <c r="T20" i="6"/>
  <c r="U20" i="6"/>
  <c r="U31" i="6"/>
  <c r="U24" i="6"/>
  <c r="O31" i="6"/>
  <c r="O20" i="6"/>
  <c r="O24" i="6"/>
  <c r="AK24" i="6"/>
  <c r="AK31" i="6"/>
  <c r="AK20" i="6"/>
  <c r="D31" i="6"/>
  <c r="D20" i="6"/>
  <c r="D24" i="6"/>
  <c r="AI20" i="6"/>
  <c r="AI31" i="6"/>
  <c r="AI24" i="6"/>
  <c r="R31" i="6"/>
  <c r="R24" i="6"/>
  <c r="R20" i="6"/>
  <c r="AG31" i="6"/>
  <c r="AG24" i="6"/>
  <c r="AG20" i="6"/>
  <c r="AF20" i="6"/>
  <c r="AF31" i="6"/>
  <c r="AF24" i="6"/>
  <c r="F31" i="6"/>
  <c r="F20" i="6"/>
  <c r="F24" i="6"/>
  <c r="AD24" i="6"/>
  <c r="AD31" i="6"/>
  <c r="AD20" i="6"/>
  <c r="J31" i="6"/>
  <c r="J20" i="6"/>
  <c r="J24" i="6"/>
  <c r="AJ31" i="6"/>
  <c r="AJ24" i="6"/>
  <c r="AJ20" i="6"/>
  <c r="C31" i="6"/>
  <c r="C24" i="6"/>
  <c r="C20" i="6"/>
  <c r="N31" i="6"/>
  <c r="N20" i="6"/>
  <c r="N24" i="6"/>
  <c r="E20" i="6"/>
  <c r="E24" i="6"/>
  <c r="E31" i="6"/>
  <c r="AA20" i="6"/>
  <c r="AA24" i="6"/>
  <c r="AA31" i="6"/>
  <c r="B22" i="6"/>
  <c r="B20" i="6"/>
  <c r="B31" i="6"/>
  <c r="B24" i="6"/>
  <c r="Q24" i="6"/>
  <c r="Q31" i="6"/>
  <c r="Q20" i="6"/>
  <c r="P31" i="6"/>
  <c r="P20" i="6"/>
  <c r="P24" i="6"/>
  <c r="AE31" i="6"/>
  <c r="AE20" i="6"/>
  <c r="AE24" i="6"/>
  <c r="AC31" i="6"/>
  <c r="AC20" i="6"/>
  <c r="AC24" i="6"/>
  <c r="S31" i="6"/>
  <c r="S24" i="6"/>
  <c r="S20" i="6"/>
  <c r="AL24" i="6"/>
  <c r="AL20" i="6"/>
  <c r="AL31" i="6"/>
  <c r="M24" i="6"/>
  <c r="M20" i="6"/>
  <c r="AB24" i="6"/>
  <c r="L24" i="6"/>
  <c r="K24" i="6"/>
  <c r="Z24" i="6"/>
  <c r="AO24" i="6"/>
  <c r="Y24" i="6"/>
  <c r="I24" i="6"/>
  <c r="AN24" i="6"/>
  <c r="X24" i="6"/>
  <c r="H24" i="6"/>
  <c r="AM24" i="6"/>
  <c r="W24" i="6"/>
  <c r="G24" i="6"/>
  <c r="B39" i="5"/>
  <c r="B35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O15" i="5"/>
  <c r="AO19" i="5" s="1"/>
  <c r="AN15" i="5"/>
  <c r="AN19" i="5" s="1"/>
  <c r="AM15" i="5"/>
  <c r="AM19" i="5" s="1"/>
  <c r="AL15" i="5"/>
  <c r="AL19" i="5" s="1"/>
  <c r="AK15" i="5"/>
  <c r="AK19" i="5" s="1"/>
  <c r="AJ15" i="5"/>
  <c r="AJ19" i="5" s="1"/>
  <c r="AI15" i="5"/>
  <c r="AI19" i="5" s="1"/>
  <c r="AH15" i="5"/>
  <c r="AH19" i="5" s="1"/>
  <c r="AG15" i="5"/>
  <c r="AG19" i="5" s="1"/>
  <c r="AF15" i="5"/>
  <c r="AF19" i="5" s="1"/>
  <c r="AE15" i="5"/>
  <c r="AE19" i="5" s="1"/>
  <c r="AD15" i="5"/>
  <c r="AD19" i="5" s="1"/>
  <c r="AC15" i="5"/>
  <c r="AC19" i="5" s="1"/>
  <c r="AB15" i="5"/>
  <c r="AB19" i="5" s="1"/>
  <c r="AA15" i="5"/>
  <c r="AA19" i="5" s="1"/>
  <c r="Z15" i="5"/>
  <c r="Z19" i="5" s="1"/>
  <c r="Y15" i="5"/>
  <c r="Y19" i="5" s="1"/>
  <c r="X15" i="5"/>
  <c r="X19" i="5" s="1"/>
  <c r="W15" i="5"/>
  <c r="W19" i="5" s="1"/>
  <c r="V15" i="5"/>
  <c r="V19" i="5" s="1"/>
  <c r="U15" i="5"/>
  <c r="U19" i="5" s="1"/>
  <c r="T15" i="5"/>
  <c r="T19" i="5" s="1"/>
  <c r="S15" i="5"/>
  <c r="S19" i="5" s="1"/>
  <c r="R15" i="5"/>
  <c r="R19" i="5" s="1"/>
  <c r="Q15" i="5"/>
  <c r="Q19" i="5" s="1"/>
  <c r="P15" i="5"/>
  <c r="P19" i="5" s="1"/>
  <c r="O15" i="5"/>
  <c r="O19" i="5" s="1"/>
  <c r="N15" i="5"/>
  <c r="N19" i="5" s="1"/>
  <c r="M15" i="5"/>
  <c r="M19" i="5" s="1"/>
  <c r="L15" i="5"/>
  <c r="L19" i="5" s="1"/>
  <c r="K15" i="5"/>
  <c r="K19" i="5" s="1"/>
  <c r="J15" i="5"/>
  <c r="J19" i="5" s="1"/>
  <c r="I15" i="5"/>
  <c r="I19" i="5" s="1"/>
  <c r="H15" i="5"/>
  <c r="H19" i="5" s="1"/>
  <c r="G15" i="5"/>
  <c r="G19" i="5" s="1"/>
  <c r="F15" i="5"/>
  <c r="F19" i="5" s="1"/>
  <c r="E15" i="5"/>
  <c r="E19" i="5" s="1"/>
  <c r="D15" i="5"/>
  <c r="D19" i="5" s="1"/>
  <c r="C15" i="5"/>
  <c r="C19" i="5" s="1"/>
  <c r="B15" i="5"/>
  <c r="B19" i="5" s="1"/>
  <c r="A6" i="5"/>
  <c r="B10" i="4"/>
  <c r="B8" i="4"/>
  <c r="B4" i="4"/>
  <c r="B6" i="4"/>
  <c r="B35" i="6" l="1"/>
  <c r="B26" i="6"/>
  <c r="B33" i="6"/>
  <c r="AJ24" i="5"/>
  <c r="AJ20" i="5"/>
  <c r="AJ31" i="5"/>
  <c r="B24" i="5"/>
  <c r="B20" i="5"/>
  <c r="B22" i="5"/>
  <c r="B31" i="5"/>
  <c r="C24" i="5"/>
  <c r="C20" i="5"/>
  <c r="C31" i="5"/>
  <c r="D24" i="5"/>
  <c r="D20" i="5"/>
  <c r="D31" i="5"/>
  <c r="F31" i="5"/>
  <c r="F24" i="5"/>
  <c r="F20" i="5"/>
  <c r="H31" i="5"/>
  <c r="H24" i="5"/>
  <c r="H20" i="5"/>
  <c r="R24" i="5"/>
  <c r="R20" i="5"/>
  <c r="R31" i="5"/>
  <c r="U31" i="5"/>
  <c r="U20" i="5"/>
  <c r="U24" i="5"/>
  <c r="AO31" i="5"/>
  <c r="AO20" i="5"/>
  <c r="AO24" i="5"/>
  <c r="AH24" i="5"/>
  <c r="AH20" i="5"/>
  <c r="AH31" i="5"/>
  <c r="S24" i="5"/>
  <c r="S20" i="5"/>
  <c r="S31" i="5"/>
  <c r="T24" i="5"/>
  <c r="T20" i="5"/>
  <c r="T31" i="5"/>
  <c r="AK20" i="5"/>
  <c r="AK31" i="5"/>
  <c r="AK24" i="5"/>
  <c r="AL31" i="5"/>
  <c r="AL24" i="5"/>
  <c r="AL20" i="5"/>
  <c r="G31" i="5"/>
  <c r="G20" i="5"/>
  <c r="G24" i="5"/>
  <c r="AM31" i="5"/>
  <c r="AM24" i="5"/>
  <c r="AM20" i="5"/>
  <c r="AN31" i="5"/>
  <c r="AN24" i="5"/>
  <c r="AN20" i="5"/>
  <c r="Y20" i="5"/>
  <c r="Y31" i="5"/>
  <c r="Y24" i="5"/>
  <c r="Z31" i="5"/>
  <c r="Z20" i="5"/>
  <c r="Z24" i="5"/>
  <c r="AA20" i="5"/>
  <c r="AA24" i="5"/>
  <c r="AA31" i="5"/>
  <c r="AB20" i="5"/>
  <c r="AB24" i="5"/>
  <c r="AB31" i="5"/>
  <c r="M31" i="5"/>
  <c r="M20" i="5"/>
  <c r="M24" i="5"/>
  <c r="AD24" i="5"/>
  <c r="AD20" i="5"/>
  <c r="AD31" i="5"/>
  <c r="AE20" i="5"/>
  <c r="AE24" i="5"/>
  <c r="AE31" i="5"/>
  <c r="P24" i="5"/>
  <c r="P20" i="5"/>
  <c r="P31" i="5"/>
  <c r="AF24" i="5"/>
  <c r="AF20" i="5"/>
  <c r="AF31" i="5"/>
  <c r="AI24" i="5"/>
  <c r="AI20" i="5"/>
  <c r="AI31" i="5"/>
  <c r="E20" i="5"/>
  <c r="E31" i="5"/>
  <c r="E24" i="5"/>
  <c r="V20" i="5"/>
  <c r="V24" i="5"/>
  <c r="V31" i="5"/>
  <c r="W31" i="5"/>
  <c r="W24" i="5"/>
  <c r="W20" i="5"/>
  <c r="X31" i="5"/>
  <c r="X24" i="5"/>
  <c r="X20" i="5"/>
  <c r="I31" i="5"/>
  <c r="I20" i="5"/>
  <c r="I24" i="5"/>
  <c r="J31" i="5"/>
  <c r="J20" i="5"/>
  <c r="J24" i="5"/>
  <c r="K24" i="5"/>
  <c r="K31" i="5"/>
  <c r="K20" i="5"/>
  <c r="L24" i="5"/>
  <c r="L31" i="5"/>
  <c r="L20" i="5"/>
  <c r="AC20" i="5"/>
  <c r="AC24" i="5"/>
  <c r="AC31" i="5"/>
  <c r="N31" i="5"/>
  <c r="N24" i="5"/>
  <c r="N20" i="5"/>
  <c r="O24" i="5"/>
  <c r="O20" i="5"/>
  <c r="O31" i="5"/>
  <c r="Q31" i="5"/>
  <c r="Q24" i="5"/>
  <c r="Q20" i="5"/>
  <c r="AG24" i="5"/>
  <c r="AG20" i="5"/>
  <c r="AG31" i="5"/>
  <c r="AI17" i="4"/>
  <c r="S17" i="4"/>
  <c r="G17" i="4"/>
  <c r="C17" i="4"/>
  <c r="K17" i="4"/>
  <c r="AE17" i="4"/>
  <c r="AA17" i="4"/>
  <c r="W17" i="4"/>
  <c r="O17" i="4"/>
  <c r="Z15" i="4"/>
  <c r="U15" i="4"/>
  <c r="J15" i="4"/>
  <c r="AF15" i="4"/>
  <c r="P15" i="4"/>
  <c r="AK15" i="4"/>
  <c r="E15" i="4"/>
  <c r="AM17" i="4"/>
  <c r="AL17" i="4"/>
  <c r="A6" i="4"/>
  <c r="F15" i="4"/>
  <c r="L15" i="4"/>
  <c r="Q15" i="4"/>
  <c r="V15" i="4"/>
  <c r="AB15" i="4"/>
  <c r="AG15" i="4"/>
  <c r="AL15" i="4"/>
  <c r="D17" i="4"/>
  <c r="H17" i="4"/>
  <c r="L17" i="4"/>
  <c r="P17" i="4"/>
  <c r="T17" i="4"/>
  <c r="X17" i="4"/>
  <c r="AB17" i="4"/>
  <c r="AF17" i="4"/>
  <c r="AJ17" i="4"/>
  <c r="AN17" i="4"/>
  <c r="B15" i="4"/>
  <c r="H15" i="4"/>
  <c r="M15" i="4"/>
  <c r="R15" i="4"/>
  <c r="X15" i="4"/>
  <c r="AC15" i="4"/>
  <c r="AH15" i="4"/>
  <c r="AO15" i="4"/>
  <c r="E17" i="4"/>
  <c r="I17" i="4"/>
  <c r="M17" i="4"/>
  <c r="Q17" i="4"/>
  <c r="U17" i="4"/>
  <c r="Y17" i="4"/>
  <c r="AC17" i="4"/>
  <c r="AG17" i="4"/>
  <c r="AK17" i="4"/>
  <c r="AO17" i="4"/>
  <c r="D15" i="4"/>
  <c r="I15" i="4"/>
  <c r="N15" i="4"/>
  <c r="T15" i="4"/>
  <c r="Y15" i="4"/>
  <c r="AD15" i="4"/>
  <c r="AJ15" i="4"/>
  <c r="B17" i="4"/>
  <c r="F17" i="4"/>
  <c r="J17" i="4"/>
  <c r="N17" i="4"/>
  <c r="R17" i="4"/>
  <c r="V17" i="4"/>
  <c r="Z17" i="4"/>
  <c r="AD17" i="4"/>
  <c r="AH17" i="4"/>
  <c r="AN15" i="4"/>
  <c r="C15" i="4"/>
  <c r="G15" i="4"/>
  <c r="K15" i="4"/>
  <c r="O15" i="4"/>
  <c r="S15" i="4"/>
  <c r="W15" i="4"/>
  <c r="AA15" i="4"/>
  <c r="AE15" i="4"/>
  <c r="AI15" i="4"/>
  <c r="AM15" i="4"/>
  <c r="A21" i="6" l="1"/>
  <c r="B21" i="6"/>
  <c r="B28" i="6"/>
  <c r="F7" i="6" s="1"/>
  <c r="F8" i="6" s="1"/>
  <c r="C21" i="6"/>
  <c r="D21" i="6"/>
  <c r="E21" i="6"/>
  <c r="F21" i="6"/>
  <c r="G19" i="4"/>
  <c r="G24" i="4" s="1"/>
  <c r="C19" i="4"/>
  <c r="C24" i="4" s="1"/>
  <c r="B33" i="5"/>
  <c r="B26" i="5"/>
  <c r="AI19" i="4"/>
  <c r="AI20" i="4" s="1"/>
  <c r="AM19" i="4"/>
  <c r="AM24" i="4" s="1"/>
  <c r="AK19" i="4"/>
  <c r="AK24" i="4" s="1"/>
  <c r="D19" i="4"/>
  <c r="D24" i="4" s="1"/>
  <c r="S19" i="4"/>
  <c r="S24" i="4" s="1"/>
  <c r="AA19" i="4"/>
  <c r="AA24" i="4" s="1"/>
  <c r="O19" i="4"/>
  <c r="O24" i="4" s="1"/>
  <c r="AN19" i="4"/>
  <c r="AN24" i="4" s="1"/>
  <c r="K19" i="4"/>
  <c r="K20" i="4" s="1"/>
  <c r="H19" i="4"/>
  <c r="H24" i="4" s="1"/>
  <c r="Z19" i="4"/>
  <c r="Z24" i="4" s="1"/>
  <c r="AE19" i="4"/>
  <c r="AE24" i="4" s="1"/>
  <c r="J19" i="4"/>
  <c r="J24" i="4" s="1"/>
  <c r="AL19" i="4"/>
  <c r="AL24" i="4" s="1"/>
  <c r="Q19" i="4"/>
  <c r="Q24" i="4" s="1"/>
  <c r="U19" i="4"/>
  <c r="U24" i="4" s="1"/>
  <c r="W19" i="4"/>
  <c r="W24" i="4" s="1"/>
  <c r="G20" i="4"/>
  <c r="E19" i="4"/>
  <c r="E24" i="4" s="1"/>
  <c r="AF19" i="4"/>
  <c r="AF20" i="4" s="1"/>
  <c r="P19" i="4"/>
  <c r="P20" i="4" s="1"/>
  <c r="AC19" i="4"/>
  <c r="AC24" i="4" s="1"/>
  <c r="T19" i="4"/>
  <c r="AD19" i="4"/>
  <c r="AB19" i="4"/>
  <c r="AJ19" i="4"/>
  <c r="N19" i="4"/>
  <c r="X19" i="4"/>
  <c r="B19" i="4"/>
  <c r="AG19" i="4"/>
  <c r="L19" i="4"/>
  <c r="I19" i="4"/>
  <c r="AO19" i="4"/>
  <c r="R19" i="4"/>
  <c r="F19" i="4"/>
  <c r="Y19" i="4"/>
  <c r="AH19" i="4"/>
  <c r="M19" i="4"/>
  <c r="V19" i="4"/>
  <c r="F22" i="6" l="1"/>
  <c r="C20" i="4"/>
  <c r="F21" i="5"/>
  <c r="D21" i="5"/>
  <c r="C21" i="5"/>
  <c r="B21" i="5"/>
  <c r="A21" i="5"/>
  <c r="E21" i="5"/>
  <c r="B28" i="5"/>
  <c r="AM20" i="4"/>
  <c r="AK20" i="4"/>
  <c r="D20" i="4"/>
  <c r="AI24" i="4"/>
  <c r="S20" i="4"/>
  <c r="AL20" i="4"/>
  <c r="AA20" i="4"/>
  <c r="E20" i="4"/>
  <c r="AE20" i="4"/>
  <c r="O20" i="4"/>
  <c r="Z20" i="4"/>
  <c r="P24" i="4"/>
  <c r="Q20" i="4"/>
  <c r="AN20" i="4"/>
  <c r="H20" i="4"/>
  <c r="AC20" i="4"/>
  <c r="J20" i="4"/>
  <c r="K24" i="4"/>
  <c r="W20" i="4"/>
  <c r="U20" i="4"/>
  <c r="AF24" i="4"/>
  <c r="AB20" i="4"/>
  <c r="AB24" i="4"/>
  <c r="AD24" i="4"/>
  <c r="AD20" i="4"/>
  <c r="T24" i="4"/>
  <c r="T20" i="4"/>
  <c r="V24" i="4"/>
  <c r="V20" i="4"/>
  <c r="R24" i="4"/>
  <c r="R20" i="4"/>
  <c r="M24" i="4"/>
  <c r="M20" i="4"/>
  <c r="AO20" i="4"/>
  <c r="AO24" i="4"/>
  <c r="AJ20" i="4"/>
  <c r="AJ24" i="4"/>
  <c r="AH24" i="4"/>
  <c r="AH20" i="4"/>
  <c r="I24" i="4"/>
  <c r="I20" i="4"/>
  <c r="B20" i="4"/>
  <c r="B24" i="4"/>
  <c r="B22" i="4"/>
  <c r="L24" i="4"/>
  <c r="L20" i="4"/>
  <c r="AG24" i="4"/>
  <c r="AG20" i="4"/>
  <c r="Y24" i="4"/>
  <c r="Y20" i="4"/>
  <c r="F24" i="4"/>
  <c r="F20" i="4"/>
  <c r="X20" i="4"/>
  <c r="X24" i="4"/>
  <c r="N20" i="4"/>
  <c r="N24" i="4"/>
  <c r="F22" i="5" l="1"/>
  <c r="B26" i="4"/>
  <c r="BC30" i="4" l="1"/>
  <c r="AY30" i="4"/>
  <c r="AU30" i="4"/>
  <c r="AQ30" i="4"/>
  <c r="AM30" i="4"/>
  <c r="AI30" i="4"/>
  <c r="AE30" i="4"/>
  <c r="AA30" i="4"/>
  <c r="W30" i="4"/>
  <c r="S30" i="4"/>
  <c r="O30" i="4"/>
  <c r="K30" i="4"/>
  <c r="G30" i="4"/>
  <c r="C30" i="4"/>
  <c r="BB30" i="4"/>
  <c r="AX30" i="4"/>
  <c r="AT30" i="4"/>
  <c r="AP30" i="4"/>
  <c r="AL30" i="4"/>
  <c r="AH30" i="4"/>
  <c r="AD30" i="4"/>
  <c r="Z30" i="4"/>
  <c r="V30" i="4"/>
  <c r="R30" i="4"/>
  <c r="N30" i="4"/>
  <c r="J30" i="4"/>
  <c r="F30" i="4"/>
  <c r="B30" i="4"/>
  <c r="AV30" i="4"/>
  <c r="AR30" i="4"/>
  <c r="AF30" i="4"/>
  <c r="X30" i="4"/>
  <c r="P30" i="4"/>
  <c r="H30" i="4"/>
  <c r="BA30" i="4"/>
  <c r="AW30" i="4"/>
  <c r="AS30" i="4"/>
  <c r="AO30" i="4"/>
  <c r="AK30" i="4"/>
  <c r="AG30" i="4"/>
  <c r="AC30" i="4"/>
  <c r="Y30" i="4"/>
  <c r="U30" i="4"/>
  <c r="Q30" i="4"/>
  <c r="M30" i="4"/>
  <c r="I30" i="4"/>
  <c r="E30" i="4"/>
  <c r="AZ30" i="4"/>
  <c r="AN30" i="4"/>
  <c r="AJ30" i="4"/>
  <c r="AB30" i="4"/>
  <c r="T30" i="4"/>
  <c r="L30" i="4"/>
  <c r="D30" i="4"/>
  <c r="B28" i="4"/>
  <c r="D34" i="4"/>
  <c r="H34" i="4"/>
  <c r="L34" i="4"/>
  <c r="P34" i="4"/>
  <c r="T34" i="4"/>
  <c r="X34" i="4"/>
  <c r="AB34" i="4"/>
  <c r="AF34" i="4"/>
  <c r="AJ34" i="4"/>
  <c r="AN34" i="4"/>
  <c r="AR34" i="4"/>
  <c r="AV34" i="4"/>
  <c r="AZ34" i="4"/>
  <c r="B34" i="4"/>
  <c r="F34" i="4"/>
  <c r="J34" i="4"/>
  <c r="N34" i="4"/>
  <c r="R34" i="4"/>
  <c r="V34" i="4"/>
  <c r="Z34" i="4"/>
  <c r="AD34" i="4"/>
  <c r="AH34" i="4"/>
  <c r="AL34" i="4"/>
  <c r="AP34" i="4"/>
  <c r="AT34" i="4"/>
  <c r="AX34" i="4"/>
  <c r="BB34" i="4"/>
  <c r="G34" i="4"/>
  <c r="O34" i="4"/>
  <c r="S34" i="4"/>
  <c r="AA34" i="4"/>
  <c r="AI34" i="4"/>
  <c r="AQ34" i="4"/>
  <c r="AY34" i="4"/>
  <c r="E34" i="4"/>
  <c r="I34" i="4"/>
  <c r="M34" i="4"/>
  <c r="Q34" i="4"/>
  <c r="U34" i="4"/>
  <c r="Y34" i="4"/>
  <c r="AC34" i="4"/>
  <c r="AG34" i="4"/>
  <c r="AK34" i="4"/>
  <c r="AO34" i="4"/>
  <c r="AS34" i="4"/>
  <c r="AW34" i="4"/>
  <c r="BA34" i="4"/>
  <c r="C34" i="4"/>
  <c r="K34" i="4"/>
  <c r="W34" i="4"/>
  <c r="AE34" i="4"/>
  <c r="AM34" i="4"/>
  <c r="AU34" i="4"/>
  <c r="BC34" i="4"/>
  <c r="B40" i="4"/>
  <c r="B32" i="4" l="1"/>
  <c r="B36" i="4"/>
  <c r="B38" i="4" l="1"/>
</calcChain>
</file>

<file path=xl/sharedStrings.xml><?xml version="1.0" encoding="utf-8"?>
<sst xmlns="http://schemas.openxmlformats.org/spreadsheetml/2006/main" count="75" uniqueCount="41">
  <si>
    <t>Número de pagos por año  =</t>
  </si>
  <si>
    <t>Flujo de Caja</t>
  </si>
  <si>
    <t>Duración de Macaulay =</t>
  </si>
  <si>
    <t>Duración =</t>
  </si>
  <si>
    <t>Convexidad =</t>
  </si>
  <si>
    <t>Factor Descuento</t>
  </si>
  <si>
    <t>Valor Presente</t>
  </si>
  <si>
    <t>Valor Facial =</t>
  </si>
  <si>
    <t>Cupón Anual =</t>
  </si>
  <si>
    <r>
      <rPr>
        <b/>
        <sz val="12"/>
        <rFont val="Calibri"/>
        <family val="2"/>
      </rPr>
      <t>Σ</t>
    </r>
    <r>
      <rPr>
        <b/>
        <sz val="10"/>
        <rFont val="Calibri"/>
        <family val="2"/>
        <scheme val="minor"/>
      </rPr>
      <t xml:space="preserve"> VP =</t>
    </r>
  </si>
  <si>
    <t>Plazo a la madurez (Años) =</t>
  </si>
  <si>
    <t>TIR anual</t>
  </si>
  <si>
    <t>TIR nominal anual Semestre Vencido</t>
  </si>
  <si>
    <t>TIR nominal anual Trimestre Vencido</t>
  </si>
  <si>
    <r>
      <t>Valor Futuro de los Flujos Recibidos en t = D</t>
    </r>
    <r>
      <rPr>
        <b/>
        <vertAlign val="subscript"/>
        <sz val="10"/>
        <rFont val="Calibri"/>
        <family val="2"/>
        <scheme val="minor"/>
      </rPr>
      <t>macaulay</t>
    </r>
    <r>
      <rPr>
        <b/>
        <sz val="10"/>
        <rFont val="Calibri"/>
        <family val="2"/>
        <scheme val="minor"/>
      </rPr>
      <t xml:space="preserve">                    =====&gt;</t>
    </r>
  </si>
  <si>
    <r>
      <rPr>
        <b/>
        <sz val="12"/>
        <rFont val="Calibri"/>
        <family val="2"/>
      </rPr>
      <t>Σ</t>
    </r>
    <r>
      <rPr>
        <b/>
        <sz val="10"/>
        <rFont val="Calibri"/>
        <family val="2"/>
        <scheme val="minor"/>
      </rPr>
      <t xml:space="preserve"> VF[Flujos Recibidos] =</t>
    </r>
  </si>
  <si>
    <r>
      <t>Valor Presente de los Flujos que faltan por Recibir en t = D</t>
    </r>
    <r>
      <rPr>
        <b/>
        <vertAlign val="subscript"/>
        <sz val="10"/>
        <rFont val="Calibri"/>
        <family val="2"/>
        <scheme val="minor"/>
      </rPr>
      <t>macaulay</t>
    </r>
    <r>
      <rPr>
        <b/>
        <sz val="10"/>
        <rFont val="Calibri"/>
        <family val="2"/>
        <scheme val="minor"/>
      </rPr>
      <t xml:space="preserve">     =====&gt;</t>
    </r>
  </si>
  <si>
    <r>
      <rPr>
        <b/>
        <sz val="12"/>
        <rFont val="Calibri"/>
        <family val="2"/>
      </rPr>
      <t>Σ</t>
    </r>
    <r>
      <rPr>
        <b/>
        <sz val="10"/>
        <rFont val="Calibri"/>
        <family val="2"/>
        <scheme val="minor"/>
      </rPr>
      <t xml:space="preserve"> VF[Flujos que faltan por recibir] =</t>
    </r>
  </si>
  <si>
    <t>Σ VF[Flujos Recibidos] + Σ VF[Flujos que faltan por recibir] =</t>
  </si>
  <si>
    <r>
      <t>Valor futuro del precio pagado por el papel en t = D</t>
    </r>
    <r>
      <rPr>
        <vertAlign val="subscript"/>
        <sz val="10"/>
        <color theme="0"/>
        <rFont val="Calibri"/>
        <family val="2"/>
        <scheme val="minor"/>
      </rPr>
      <t>macaulay</t>
    </r>
  </si>
  <si>
    <t>+</t>
  </si>
  <si>
    <t>Variacion =</t>
  </si>
  <si>
    <t>Bono</t>
  </si>
  <si>
    <t>Precio</t>
  </si>
  <si>
    <t>Duracion</t>
  </si>
  <si>
    <t>Convexidad</t>
  </si>
  <si>
    <t>1 Año Cero Cupon</t>
  </si>
  <si>
    <t>Par a 3 años</t>
  </si>
  <si>
    <t>Par a 10 Años</t>
  </si>
  <si>
    <t>Par a 20 años</t>
  </si>
  <si>
    <t>W</t>
  </si>
  <si>
    <t>Ecuacion 1</t>
  </si>
  <si>
    <t>Ecuacion 2</t>
  </si>
  <si>
    <t>Ecuacion 3</t>
  </si>
  <si>
    <t>x</t>
  </si>
  <si>
    <t xml:space="preserve">Precio Estimado </t>
  </si>
  <si>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P=-P*D*</t>
    </r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y</t>
    </r>
  </si>
  <si>
    <t>d:</t>
  </si>
  <si>
    <t>c:</t>
  </si>
  <si>
    <t>b:</t>
  </si>
  <si>
    <t>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</si>
</sst>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;[Red]&quot;$&quot;\ \-#,##0"/>
    <numFmt numFmtId="165" formatCode="0.000000"/>
    <numFmt numFmtId="166" formatCode="0.0000"/>
    <numFmt numFmtId="167" formatCode="#,##0.000"/>
    <numFmt numFmtId="168" formatCode="_-&quot;$&quot;\ * #,##0_-;\-&quot;$&quot;\ * #,##0_-;_-&quot;$&quot;\ * &quot;-&quot;??_-;_-@_-"/>
    <numFmt numFmtId="169" formatCode="#,##0.0000"/>
  </numFmts>
  <fonts count="15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9"/>
      <name val="Calibri"/>
      <family val="2"/>
      <scheme val="minor"/>
    </font>
    <font>
      <sz val="10"/>
      <color theme="9" tint="-0.499984740745262"/>
      <name val="Stencil"/>
      <family val="5"/>
    </font>
    <font>
      <sz val="10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vertAlign val="subscript"/>
      <sz val="10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1"/>
      <charset val="2"/>
      <scheme val="minor"/>
    </font>
    <font>
      <sz val="10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4" fillId="2" borderId="1" xfId="0" applyFont="1" applyFill="1" applyBorder="1"/>
    <xf numFmtId="4" fontId="2" fillId="0" borderId="2" xfId="1" applyNumberFormat="1" applyFont="1" applyBorder="1" applyAlignment="1">
      <alignment horizontal="center"/>
    </xf>
    <xf numFmtId="4" fontId="2" fillId="0" borderId="3" xfId="1" applyNumberFormat="1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2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/>
    <xf numFmtId="165" fontId="2" fillId="0" borderId="0" xfId="0" applyNumberFormat="1" applyFont="1"/>
    <xf numFmtId="166" fontId="2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/>
    <xf numFmtId="0" fontId="8" fillId="0" borderId="0" xfId="0" applyFont="1"/>
    <xf numFmtId="4" fontId="2" fillId="0" borderId="2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5" fillId="5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7" borderId="1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vertical="center"/>
    </xf>
    <xf numFmtId="8" fontId="8" fillId="0" borderId="0" xfId="0" applyNumberFormat="1" applyFont="1"/>
    <xf numFmtId="8" fontId="2" fillId="0" borderId="0" xfId="0" applyNumberFormat="1" applyFont="1"/>
    <xf numFmtId="2" fontId="2" fillId="0" borderId="0" xfId="0" applyNumberFormat="1" applyFont="1"/>
    <xf numFmtId="168" fontId="2" fillId="0" borderId="0" xfId="2" applyNumberFormat="1" applyFont="1"/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3" applyFont="1"/>
    <xf numFmtId="166" fontId="2" fillId="0" borderId="0" xfId="3" applyNumberFormat="1" applyFont="1"/>
    <xf numFmtId="2" fontId="2" fillId="0" borderId="0" xfId="3" applyNumberFormat="1" applyFont="1"/>
    <xf numFmtId="165" fontId="2" fillId="0" borderId="0" xfId="3" applyNumberFormat="1" applyFont="1"/>
    <xf numFmtId="4" fontId="2" fillId="0" borderId="1" xfId="3" applyNumberFormat="1" applyFont="1" applyBorder="1" applyAlignment="1">
      <alignment horizontal="center" vertical="center" wrapText="1"/>
    </xf>
    <xf numFmtId="0" fontId="4" fillId="2" borderId="1" xfId="3" applyFont="1" applyFill="1" applyBorder="1"/>
    <xf numFmtId="0" fontId="4" fillId="4" borderId="1" xfId="3" applyFont="1" applyFill="1" applyBorder="1"/>
    <xf numFmtId="0" fontId="4" fillId="0" borderId="0" xfId="3" applyFont="1"/>
    <xf numFmtId="4" fontId="2" fillId="0" borderId="3" xfId="3" applyNumberFormat="1" applyFont="1" applyBorder="1" applyAlignment="1">
      <alignment horizontal="center" vertical="center"/>
    </xf>
    <xf numFmtId="4" fontId="2" fillId="0" borderId="2" xfId="3" applyNumberFormat="1" applyFont="1" applyBorder="1" applyAlignment="1">
      <alignment horizontal="center" vertical="center"/>
    </xf>
    <xf numFmtId="0" fontId="4" fillId="2" borderId="1" xfId="3" applyFont="1" applyFill="1" applyBorder="1" applyAlignment="1">
      <alignment vertical="center" wrapText="1"/>
    </xf>
    <xf numFmtId="8" fontId="2" fillId="0" borderId="0" xfId="3" applyNumberFormat="1" applyFont="1"/>
    <xf numFmtId="2" fontId="2" fillId="0" borderId="1" xfId="3" applyNumberFormat="1" applyFont="1" applyBorder="1" applyAlignment="1">
      <alignment horizontal="center"/>
    </xf>
    <xf numFmtId="0" fontId="5" fillId="2" borderId="1" xfId="3" applyFont="1" applyFill="1" applyBorder="1"/>
    <xf numFmtId="8" fontId="8" fillId="0" borderId="0" xfId="3" applyNumberFormat="1" applyFont="1"/>
    <xf numFmtId="0" fontId="8" fillId="0" borderId="0" xfId="3" applyFont="1"/>
    <xf numFmtId="4" fontId="2" fillId="0" borderId="3" xfId="4" applyNumberFormat="1" applyFont="1" applyBorder="1" applyAlignment="1">
      <alignment horizontal="center"/>
    </xf>
    <xf numFmtId="167" fontId="2" fillId="0" borderId="3" xfId="3" applyNumberFormat="1" applyFont="1" applyBorder="1" applyAlignment="1">
      <alignment horizontal="center" vertical="center"/>
    </xf>
    <xf numFmtId="167" fontId="2" fillId="0" borderId="2" xfId="3" applyNumberFormat="1" applyFont="1" applyBorder="1" applyAlignment="1">
      <alignment horizontal="center" vertical="center"/>
    </xf>
    <xf numFmtId="4" fontId="2" fillId="0" borderId="2" xfId="4" applyNumberFormat="1" applyFont="1" applyBorder="1" applyAlignment="1">
      <alignment horizontal="center"/>
    </xf>
    <xf numFmtId="0" fontId="3" fillId="3" borderId="2" xfId="3" applyFont="1" applyFill="1" applyBorder="1" applyAlignment="1">
      <alignment horizontal="center"/>
    </xf>
    <xf numFmtId="2" fontId="2" fillId="0" borderId="1" xfId="3" applyNumberFormat="1" applyFont="1" applyBorder="1" applyAlignment="1">
      <alignment horizontal="center" vertical="center" wrapText="1"/>
    </xf>
    <xf numFmtId="0" fontId="2" fillId="2" borderId="1" xfId="3" applyFont="1" applyFill="1" applyBorder="1"/>
    <xf numFmtId="0" fontId="2" fillId="0" borderId="1" xfId="3" applyFont="1" applyBorder="1" applyAlignment="1">
      <alignment horizontal="center" vertical="center" wrapText="1"/>
    </xf>
    <xf numFmtId="0" fontId="2" fillId="2" borderId="1" xfId="3" applyFont="1" applyFill="1" applyBorder="1" applyAlignment="1">
      <alignment vertical="center" wrapText="1"/>
    </xf>
    <xf numFmtId="0" fontId="13" fillId="0" borderId="0" xfId="3" applyFont="1"/>
    <xf numFmtId="10" fontId="2" fillId="0" borderId="1" xfId="4" applyNumberFormat="1" applyFont="1" applyFill="1" applyBorder="1" applyAlignment="1">
      <alignment horizontal="center" vertical="center" wrapText="1"/>
    </xf>
    <xf numFmtId="0" fontId="7" fillId="2" borderId="1" xfId="3" applyFont="1" applyFill="1" applyBorder="1"/>
    <xf numFmtId="0" fontId="2" fillId="0" borderId="0" xfId="3" applyFont="1" applyAlignment="1">
      <alignment horizontal="right"/>
    </xf>
    <xf numFmtId="10" fontId="2" fillId="0" borderId="1" xfId="4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/>
    </xf>
  </cellXfs>
  <cellStyles count="5">
    <cellStyle name="Moneda" xfId="2" builtinId="4"/>
    <cellStyle name="Normal" xfId="0" builtinId="0"/>
    <cellStyle name="Normal 3" xfId="3" xr:uid="{7D8064FD-A2D3-498B-BE2B-5AA50272CB37}"/>
    <cellStyle name="Porcentaje" xfId="1" builtinId="5"/>
    <cellStyle name="Porcentaje 2" xfId="4" xr:uid="{6B1FE860-4C61-468A-8008-B0A80833C11D}"/>
  </cellStyles>
  <dxfs count="64"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70" formatCode="&quot;Semestre&quot;\ 0"/>
    </dxf>
    <dxf>
      <numFmt numFmtId="171" formatCode="&quot;Año&quot;\ 0"/>
    </dxf>
    <dxf>
      <numFmt numFmtId="172" formatCode="&quot;Trimestre&quot;\ 0"/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70" formatCode="&quot;Semestre&quot;\ 0"/>
    </dxf>
    <dxf>
      <numFmt numFmtId="171" formatCode="&quot;Año&quot;\ 0"/>
    </dxf>
    <dxf>
      <numFmt numFmtId="172" formatCode="&quot;Trimestre&quot;\ 0"/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70" formatCode="&quot;Semestre&quot;\ 0"/>
    </dxf>
    <dxf>
      <numFmt numFmtId="171" formatCode="&quot;Año&quot;\ 0"/>
    </dxf>
    <dxf>
      <numFmt numFmtId="172" formatCode="&quot;Trimestre&quot;\ 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541020</xdr:colOff>
      <xdr:row>1</xdr:row>
      <xdr:rowOff>22860</xdr:rowOff>
    </xdr:from>
    <xdr:to>
      <xdr:col>14</xdr:col>
      <xdr:colOff>219943</xdr:colOff>
      <xdr:row>9</xdr:row>
      <xdr:rowOff>90038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E75961-20FA-D23E-A07B-E8A26566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2520" y="190500"/>
          <a:ext cx="5614903" cy="1408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DF75-49DA-47C1-B80F-AFE67204E1EB}">
  <dimension ref="A1:AO111"/>
  <sheetViews>
    <sheetView zoomScale="130" zoomScaleNormal="130" workbookViewId="0">
      <selection activeCell="C27" sqref="C27"/>
    </sheetView>
  </sheetViews>
  <sheetFormatPr baseColWidth="10" defaultColWidth="8.7109375" defaultRowHeight="12.75"/>
  <cols>
    <col min="1" max="1" width="26.7109375" style="50" customWidth="1"/>
    <col min="2" max="4" width="11.42578125" style="50" customWidth="1"/>
    <col min="5" max="5" width="13.28515625" style="50" customWidth="1"/>
    <col min="6" max="200" width="11.42578125" style="50" customWidth="1"/>
    <col min="201" max="16384" width="8.7109375" style="50"/>
  </cols>
  <sheetData>
    <row r="1" spans="1:41" s="50" customFormat="1" ht="13.5" thickBot="1"/>
    <row r="2" spans="1:41" s="50" customFormat="1" ht="13.5" thickBot="1">
      <c r="A2" s="72" t="s">
        <v>7</v>
      </c>
      <c r="B2" s="80">
        <v>100</v>
      </c>
      <c r="E2" s="78" t="s">
        <v>40</v>
      </c>
      <c r="F2" s="52">
        <v>114.72017410282933</v>
      </c>
    </row>
    <row r="3" spans="1:41" s="50" customFormat="1" ht="13.5" thickBot="1">
      <c r="E3" s="78" t="s">
        <v>39</v>
      </c>
      <c r="F3" s="52">
        <v>7.4450204680594156</v>
      </c>
    </row>
    <row r="4" spans="1:41" s="50" customFormat="1" ht="13.5" thickBot="1">
      <c r="A4" s="72" t="s">
        <v>8</v>
      </c>
      <c r="B4" s="79">
        <v>0.08</v>
      </c>
      <c r="E4" s="78" t="s">
        <v>38</v>
      </c>
      <c r="F4" s="52">
        <v>107.02358154093258</v>
      </c>
    </row>
    <row r="5" spans="1:41" s="50" customFormat="1" ht="13.5" thickBot="1">
      <c r="B5" s="50" t="s">
        <v>20</v>
      </c>
      <c r="E5" s="78" t="s">
        <v>37</v>
      </c>
      <c r="F5" s="50">
        <v>106.66268311891514</v>
      </c>
    </row>
    <row r="6" spans="1:41" s="50" customFormat="1" ht="13.5" thickBot="1">
      <c r="A6" s="77" t="str">
        <f>VLOOKUP(B8,A109:B111,2)</f>
        <v>TIR anual</v>
      </c>
      <c r="B6" s="76">
        <v>0.06</v>
      </c>
    </row>
    <row r="7" spans="1:41" s="50" customFormat="1" ht="13.5" thickBot="1">
      <c r="E7" s="75" t="s">
        <v>36</v>
      </c>
      <c r="F7" s="50">
        <f>0.01*B28*-B22</f>
        <v>-8.0574909839141888</v>
      </c>
      <c r="H7" s="52"/>
    </row>
    <row r="8" spans="1:41" s="50" customFormat="1" ht="13.15" customHeight="1" thickBot="1">
      <c r="A8" s="74" t="s">
        <v>0</v>
      </c>
      <c r="B8" s="73">
        <v>1</v>
      </c>
      <c r="E8" s="50" t="s">
        <v>35</v>
      </c>
      <c r="F8" s="52">
        <f>B22+F7</f>
        <v>106.66268311891514</v>
      </c>
    </row>
    <row r="9" spans="1:41" s="50" customFormat="1" ht="13.5" thickBot="1"/>
    <row r="10" spans="1:41" s="50" customFormat="1" ht="13.5" thickBot="1">
      <c r="A10" s="72" t="s">
        <v>10</v>
      </c>
      <c r="B10" s="71">
        <v>10</v>
      </c>
    </row>
    <row r="12" spans="1:41" s="50" customFormat="1" ht="13.5" thickBot="1"/>
    <row r="13" spans="1:41" s="50" customFormat="1" ht="13.5" thickBot="1">
      <c r="B13" s="70">
        <v>1</v>
      </c>
      <c r="C13" s="70">
        <v>2</v>
      </c>
      <c r="D13" s="70">
        <v>3</v>
      </c>
      <c r="E13" s="70">
        <v>4</v>
      </c>
      <c r="F13" s="70">
        <v>5</v>
      </c>
      <c r="G13" s="70">
        <v>6</v>
      </c>
      <c r="H13" s="70">
        <v>7</v>
      </c>
      <c r="I13" s="70">
        <v>8</v>
      </c>
      <c r="J13" s="70">
        <v>9</v>
      </c>
      <c r="K13" s="70">
        <v>10</v>
      </c>
      <c r="L13" s="70">
        <v>11</v>
      </c>
      <c r="M13" s="70">
        <v>12</v>
      </c>
      <c r="N13" s="70">
        <v>13</v>
      </c>
      <c r="O13" s="70">
        <v>14</v>
      </c>
      <c r="P13" s="70">
        <v>15</v>
      </c>
      <c r="Q13" s="70">
        <v>16</v>
      </c>
      <c r="R13" s="70">
        <v>17</v>
      </c>
      <c r="S13" s="70">
        <v>18</v>
      </c>
      <c r="T13" s="70">
        <v>19</v>
      </c>
      <c r="U13" s="70">
        <v>20</v>
      </c>
      <c r="V13" s="70">
        <v>21</v>
      </c>
      <c r="W13" s="70">
        <v>22</v>
      </c>
      <c r="X13" s="70">
        <v>23</v>
      </c>
      <c r="Y13" s="70">
        <v>24</v>
      </c>
      <c r="Z13" s="70">
        <v>25</v>
      </c>
      <c r="AA13" s="70">
        <v>26</v>
      </c>
      <c r="AB13" s="70">
        <v>27</v>
      </c>
      <c r="AC13" s="70">
        <v>28</v>
      </c>
      <c r="AD13" s="70">
        <v>29</v>
      </c>
      <c r="AE13" s="70">
        <v>30</v>
      </c>
      <c r="AF13" s="70">
        <v>31</v>
      </c>
      <c r="AG13" s="70">
        <v>32</v>
      </c>
      <c r="AH13" s="70">
        <v>33</v>
      </c>
      <c r="AI13" s="70">
        <v>34</v>
      </c>
      <c r="AJ13" s="70">
        <v>35</v>
      </c>
      <c r="AK13" s="70">
        <v>36</v>
      </c>
      <c r="AL13" s="70">
        <v>37</v>
      </c>
      <c r="AM13" s="70">
        <v>38</v>
      </c>
      <c r="AN13" s="70">
        <v>39</v>
      </c>
      <c r="AO13" s="70">
        <v>40</v>
      </c>
    </row>
    <row r="14" spans="1:41" s="50" customFormat="1" ht="13.5" thickBot="1"/>
    <row r="15" spans="1:41" s="50" customFormat="1" ht="13.5" thickBot="1">
      <c r="A15" s="55" t="s">
        <v>1</v>
      </c>
      <c r="B15" s="69">
        <f>IF($B$10*$B$8&gt;B13,$B$4*$B$2/$B$8,IF($B$10*$B$8=B13,$B$4*$B$2/$B$8+$B$2,0))</f>
        <v>8</v>
      </c>
      <c r="C15" s="66">
        <f>IF($B$10*$B$8&gt;C13,$B$4*$B$2/$B$8,IF($B$10*$B$8=C13,$B$4*$B$2/$B$8+$B$2,0))</f>
        <v>8</v>
      </c>
      <c r="D15" s="66">
        <f>IF($B$10*$B$8&gt;D13,$B$4*$B$2/$B$8,IF($B$10*$B$8=D13,$B$4*$B$2/$B$8+$B$2,0))</f>
        <v>8</v>
      </c>
      <c r="E15" s="66">
        <f>IF($B$10*$B$8&gt;E13,$B$4*$B$2/$B$8,IF($B$10*$B$8=E13,$B$4*$B$2/$B$8+$B$2,0))</f>
        <v>8</v>
      </c>
      <c r="F15" s="66">
        <f>IF($B$10*$B$8&gt;F13,$B$4*$B$2/$B$8,IF($B$10*$B$8=F13,$B$4*$B$2/$B$8+$B$2,0))</f>
        <v>8</v>
      </c>
      <c r="G15" s="66">
        <f>IF($B$10*$B$8&gt;G13,$B$4*$B$2/$B$8,IF($B$10*$B$8=G13,$B$4*$B$2/$B$8+$B$2,0))</f>
        <v>8</v>
      </c>
      <c r="H15" s="66">
        <f>IF($B$10*$B$8&gt;H13,$B$4*$B$2/$B$8,IF($B$10*$B$8=H13,$B$4*$B$2/$B$8+$B$2,0))</f>
        <v>8</v>
      </c>
      <c r="I15" s="66">
        <f>IF($B$10*$B$8&gt;I13,$B$4*$B$2/$B$8,IF($B$10*$B$8=I13,$B$4*$B$2/$B$8+$B$2,0))</f>
        <v>8</v>
      </c>
      <c r="J15" s="66">
        <f>IF($B$10*$B$8&gt;J13,$B$4*$B$2/$B$8,IF($B$10*$B$8=J13,$B$4*$B$2/$B$8+$B$2,0))</f>
        <v>8</v>
      </c>
      <c r="K15" s="66">
        <f>IF($B$10*$B$8&gt;K13,$B$4*$B$2/$B$8,IF($B$10*$B$8=K13,$B$4*$B$2/$B$8+$B$2,0))</f>
        <v>108</v>
      </c>
      <c r="L15" s="66">
        <f>IF($B$10*$B$8&gt;L13,$B$4*$B$2/$B$8,IF($B$10*$B$8=L13,$B$4*$B$2/$B$8+$B$2,0))</f>
        <v>0</v>
      </c>
      <c r="M15" s="66">
        <f>IF($B$10*$B$8&gt;M13,$B$4*$B$2/$B$8,IF($B$10*$B$8=M13,$B$4*$B$2/$B$8+$B$2,0))</f>
        <v>0</v>
      </c>
      <c r="N15" s="66">
        <f>IF($B$10*$B$8&gt;N13,$B$4*$B$2/$B$8,IF($B$10*$B$8=N13,$B$4*$B$2/$B$8+$B$2,0))</f>
        <v>0</v>
      </c>
      <c r="O15" s="66">
        <f>IF($B$10*$B$8&gt;O13,$B$4*$B$2/$B$8,IF($B$10*$B$8=O13,$B$4*$B$2/$B$8+$B$2,0))</f>
        <v>0</v>
      </c>
      <c r="P15" s="66">
        <f>IF($B$10*$B$8&gt;P13,$B$4*$B$2/$B$8,IF($B$10*$B$8=P13,$B$4*$B$2/$B$8+$B$2,0))</f>
        <v>0</v>
      </c>
      <c r="Q15" s="66">
        <f>IF($B$10*$B$8&gt;Q13,$B$4*$B$2/$B$8,IF($B$10*$B$8=Q13,$B$4*$B$2/$B$8+$B$2,0))</f>
        <v>0</v>
      </c>
      <c r="R15" s="66">
        <f>IF($B$10*$B$8&gt;R13,$B$4*$B$2/$B$8,IF($B$10*$B$8=R13,$B$4*$B$2/$B$8+$B$2,0))</f>
        <v>0</v>
      </c>
      <c r="S15" s="66">
        <f>IF($B$10*$B$8&gt;S13,$B$4*$B$2/$B$8,IF($B$10*$B$8=S13,$B$4*$B$2/$B$8+$B$2,0))</f>
        <v>0</v>
      </c>
      <c r="T15" s="66">
        <f>IF($B$10*$B$8&gt;T13,$B$4*$B$2/$B$8,IF($B$10*$B$8=T13,$B$4*$B$2/$B$8+$B$2,0))</f>
        <v>0</v>
      </c>
      <c r="U15" s="66">
        <f>IF($B$10*$B$8&gt;U13,$B$4*$B$2/$B$8,IF($B$10*$B$8=U13,$B$4*$B$2/$B$8+$B$2,0))</f>
        <v>0</v>
      </c>
      <c r="V15" s="66">
        <f>IF($B$10*$B$8&gt;V13,$B$4*$B$2/$B$8,IF($B$10*$B$8=V13,$B$4*$B$2/$B$8+$B$2,0))</f>
        <v>0</v>
      </c>
      <c r="W15" s="66">
        <f>IF($B$10*$B$8&gt;W13,$B$4*$B$2/$B$8,IF($B$10*$B$8=W13,$B$4*$B$2/$B$8+$B$2,0))</f>
        <v>0</v>
      </c>
      <c r="X15" s="66">
        <f>IF($B$10*$B$8&gt;X13,$B$4*$B$2/$B$8,IF($B$10*$B$8=X13,$B$4*$B$2/$B$8+$B$2,0))</f>
        <v>0</v>
      </c>
      <c r="Y15" s="66">
        <f>IF($B$10*$B$8&gt;Y13,$B$4*$B$2/$B$8,IF($B$10*$B$8=Y13,$B$4*$B$2/$B$8+$B$2,0))</f>
        <v>0</v>
      </c>
      <c r="Z15" s="66">
        <f>IF($B$10*$B$8&gt;Z13,$B$4*$B$2/$B$8,IF($B$10*$B$8=Z13,$B$4*$B$2/$B$8+$B$2,0))</f>
        <v>0</v>
      </c>
      <c r="AA15" s="66">
        <f>IF($B$10*$B$8&gt;AA13,$B$4*$B$2/$B$8,IF($B$10*$B$8=AA13,$B$4*$B$2/$B$8+$B$2,0))</f>
        <v>0</v>
      </c>
      <c r="AB15" s="66">
        <f>IF($B$10*$B$8&gt;AB13,$B$4*$B$2/$B$8,IF($B$10*$B$8=AB13,$B$4*$B$2/$B$8+$B$2,0))</f>
        <v>0</v>
      </c>
      <c r="AC15" s="66">
        <f>IF($B$10*$B$8&gt;AC13,$B$4*$B$2/$B$8,IF($B$10*$B$8=AC13,$B$4*$B$2/$B$8+$B$2,0))</f>
        <v>0</v>
      </c>
      <c r="AD15" s="66">
        <f>IF($B$10*$B$8&gt;AD13,$B$4*$B$2/$B$8,IF($B$10*$B$8=AD13,$B$4*$B$2/$B$8+$B$2,0))</f>
        <v>0</v>
      </c>
      <c r="AE15" s="66">
        <f>IF($B$10*$B$8&gt;AE13,$B$4*$B$2/$B$8,IF($B$10*$B$8=AE13,$B$4*$B$2/$B$8+$B$2,0))</f>
        <v>0</v>
      </c>
      <c r="AF15" s="66">
        <f>IF($B$10*$B$8&gt;AF13,$B$4*$B$2/$B$8,IF($B$10*$B$8=AF13,$B$4*$B$2/$B$8+$B$2,0))</f>
        <v>0</v>
      </c>
      <c r="AG15" s="66">
        <f>IF($B$10*$B$8&gt;AG13,$B$4*$B$2/$B$8,IF($B$10*$B$8=AG13,$B$4*$B$2/$B$8+$B$2,0))</f>
        <v>0</v>
      </c>
      <c r="AH15" s="66">
        <f>IF($B$10*$B$8&gt;AH13,$B$4*$B$2/$B$8,IF($B$10*$B$8=AH13,$B$4*$B$2/$B$8+$B$2,0))</f>
        <v>0</v>
      </c>
      <c r="AI15" s="66">
        <f>IF($B$10*$B$8&gt;AI13,$B$4*$B$2/$B$8,IF($B$10*$B$8=AI13,$B$4*$B$2/$B$8+$B$2,0))</f>
        <v>0</v>
      </c>
      <c r="AJ15" s="66">
        <f>IF($B$10*$B$8&gt;AJ13,$B$4*$B$2/$B$8,IF($B$10*$B$8=AJ13,$B$4*$B$2/$B$8+$B$2,0))</f>
        <v>0</v>
      </c>
      <c r="AK15" s="66">
        <f>IF($B$10*$B$8&gt;AK13,$B$4*$B$2/$B$8,IF($B$10*$B$8=AK13,$B$4*$B$2/$B$8+$B$2,0))</f>
        <v>0</v>
      </c>
      <c r="AL15" s="66">
        <f>IF($B$10*$B$8&gt;AL13,$B$4*$B$2/$B$8,IF($B$10*$B$8=AL13,$B$4*$B$2/$B$8+$B$2,0))</f>
        <v>0</v>
      </c>
      <c r="AM15" s="66">
        <f>IF($B$10*$B$8&gt;AM13,$B$4*$B$2/$B$8,IF($B$10*$B$8=AM13,$B$4*$B$2/$B$8+$B$2,0))</f>
        <v>0</v>
      </c>
      <c r="AN15" s="66">
        <f>IF($B$10*$B$8&gt;AN13,$B$4*$B$2/$B$8,IF($B$10*$B$8=AN13,$B$4*$B$2/$B$8+$B$2,0))</f>
        <v>0</v>
      </c>
      <c r="AO15" s="66">
        <f>IF($B$10*$B$8&gt;AO13,$B$4*$B$2/$B$8,IF($B$10*$B$8=AO13,$B$4*$B$2/$B$8+$B$2,0))</f>
        <v>0</v>
      </c>
    </row>
    <row r="16" spans="1:41" s="50" customFormat="1" ht="13.5" thickBot="1">
      <c r="A16" s="57"/>
    </row>
    <row r="17" spans="1:41" s="50" customFormat="1" ht="13.5" thickBot="1">
      <c r="A17" s="55" t="s">
        <v>5</v>
      </c>
      <c r="B17" s="68">
        <f>1/(1+$B$6/$B$8)^B13</f>
        <v>0.94339622641509424</v>
      </c>
      <c r="C17" s="67">
        <f>1/(1+$B$6/$B$8)^C13</f>
        <v>0.88999644001423983</v>
      </c>
      <c r="D17" s="67">
        <f>1/(1+$B$6/$B$8)^D13</f>
        <v>0.8396192830323016</v>
      </c>
      <c r="E17" s="67">
        <f>1/(1+$B$6/$B$8)^E13</f>
        <v>0.79209366323802044</v>
      </c>
      <c r="F17" s="67">
        <f>1/(1+$B$6/$B$8)^F13</f>
        <v>0.74725817286605689</v>
      </c>
      <c r="G17" s="66">
        <f>1/(1+$B$6/$B$8)^G13</f>
        <v>0.70496054043967626</v>
      </c>
      <c r="H17" s="67">
        <f>1/(1+$B$6/$B$8)^H13</f>
        <v>0.66505711362233599</v>
      </c>
      <c r="I17" s="67">
        <f>1/(1+$B$6/$B$8)^I13</f>
        <v>0.62741237134182648</v>
      </c>
      <c r="J17" s="67">
        <f>1/(1+$B$6/$B$8)^J13</f>
        <v>0.59189846353002495</v>
      </c>
      <c r="K17" s="67">
        <f>1/(1+$B$6/$B$8)^K13</f>
        <v>0.55839477691511785</v>
      </c>
      <c r="L17" s="67">
        <f>1/(1+$B$6/$B$8)^L13</f>
        <v>0.52678752539162055</v>
      </c>
      <c r="M17" s="67">
        <f>1/(1+$B$6/$B$8)^M13</f>
        <v>0.4969693635770005</v>
      </c>
      <c r="N17" s="67">
        <f>1/(1+$B$6/$B$8)^N13</f>
        <v>0.46883902224245327</v>
      </c>
      <c r="O17" s="67">
        <f>1/(1+$B$6/$B$8)^O13</f>
        <v>0.44230096437967292</v>
      </c>
      <c r="P17" s="67">
        <f>1/(1+$B$6/$B$8)^P13</f>
        <v>0.41726506073554037</v>
      </c>
      <c r="Q17" s="67">
        <f>1/(1+$B$6/$B$8)^Q13</f>
        <v>0.39364628371277405</v>
      </c>
      <c r="R17" s="67">
        <f>1/(1+$B$6/$B$8)^R13</f>
        <v>0.37136441859695657</v>
      </c>
      <c r="S17" s="67">
        <f>1/(1+$B$6/$B$8)^S13</f>
        <v>0.35034379112920433</v>
      </c>
      <c r="T17" s="67">
        <f>1/(1+$B$6/$B$8)^T13</f>
        <v>0.3305130104992493</v>
      </c>
      <c r="U17" s="67">
        <f>1/(1+$B$6/$B$8)^U13</f>
        <v>0.31180472688608429</v>
      </c>
      <c r="V17" s="67">
        <f>1/(1+$B$6/$B$8)^V13</f>
        <v>0.29415540272272095</v>
      </c>
      <c r="W17" s="67">
        <f>1/(1+$B$6/$B$8)^W13</f>
        <v>0.27750509690822728</v>
      </c>
      <c r="X17" s="67">
        <f>1/(1+$B$6/$B$8)^X13</f>
        <v>0.26179726123417668</v>
      </c>
      <c r="Y17" s="67">
        <f>1/(1+$B$6/$B$8)^Y13</f>
        <v>0.24697854833412897</v>
      </c>
      <c r="Z17" s="67">
        <f>1/(1+$B$6/$B$8)^Z13</f>
        <v>0.23299863050389524</v>
      </c>
      <c r="AA17" s="67">
        <f>1/(1+$B$6/$B$8)^AA13</f>
        <v>0.21981002877725966</v>
      </c>
      <c r="AB17" s="67">
        <f>1/(1+$B$6/$B$8)^AB13</f>
        <v>0.20736795167666003</v>
      </c>
      <c r="AC17" s="67">
        <f>1/(1+$B$6/$B$8)^AC13</f>
        <v>0.1956301430911887</v>
      </c>
      <c r="AD17" s="67">
        <f>1/(1+$B$6/$B$8)^AD13</f>
        <v>0.18455673876527234</v>
      </c>
      <c r="AE17" s="67">
        <f>1/(1+$B$6/$B$8)^AE13</f>
        <v>0.17411013091063426</v>
      </c>
      <c r="AF17" s="67">
        <f>1/(1+$B$6/$B$8)^AF13</f>
        <v>0.16425484048173042</v>
      </c>
      <c r="AG17" s="67">
        <f>1/(1+$B$6/$B$8)^AG13</f>
        <v>0.15495739668087777</v>
      </c>
      <c r="AH17" s="67">
        <f>1/(1+$B$6/$B$8)^AH13</f>
        <v>0.14618622328384695</v>
      </c>
      <c r="AI17" s="67">
        <f>1/(1+$B$6/$B$8)^AI13</f>
        <v>0.1379115313998556</v>
      </c>
      <c r="AJ17" s="67">
        <f>1/(1+$B$6/$B$8)^AJ13</f>
        <v>0.13010521830175056</v>
      </c>
      <c r="AK17" s="67">
        <f>1/(1+$B$6/$B$8)^AK13</f>
        <v>0.12274077198278353</v>
      </c>
      <c r="AL17" s="67">
        <f>1/(1+$B$6/$B$8)^AL13</f>
        <v>0.11579318111583352</v>
      </c>
      <c r="AM17" s="67">
        <f>1/(1+$B$6/$B$8)^AM13</f>
        <v>0.10923885010927689</v>
      </c>
      <c r="AN17" s="67">
        <f>1/(1+$B$6/$B$8)^AN13</f>
        <v>0.10305551897101592</v>
      </c>
      <c r="AO17" s="67">
        <f>1/(1+$B$6/$B$8)^AO13</f>
        <v>9.7222187708505589E-2</v>
      </c>
    </row>
    <row r="18" spans="1:41" s="50" customFormat="1" ht="13.5" thickBot="1">
      <c r="A18" s="57"/>
    </row>
    <row r="19" spans="1:41" s="50" customFormat="1" ht="13.5" thickBot="1">
      <c r="A19" s="55" t="s">
        <v>6</v>
      </c>
      <c r="B19" s="59">
        <f>B15*B17</f>
        <v>7.5471698113207539</v>
      </c>
      <c r="C19" s="58">
        <f>C15*C17</f>
        <v>7.1199715201139187</v>
      </c>
      <c r="D19" s="58">
        <f>D15*D17</f>
        <v>6.7169542642584128</v>
      </c>
      <c r="E19" s="58">
        <f>E15*E17</f>
        <v>6.3367493059041635</v>
      </c>
      <c r="F19" s="58">
        <f>F15*F17</f>
        <v>5.9780653829284551</v>
      </c>
      <c r="G19" s="66">
        <f>G15*G17</f>
        <v>5.6396843235174101</v>
      </c>
      <c r="H19" s="58">
        <f>H15*H17</f>
        <v>5.3204569089786879</v>
      </c>
      <c r="I19" s="58">
        <f>I15*I17</f>
        <v>5.0192989707346118</v>
      </c>
      <c r="J19" s="58">
        <f>J15*J17</f>
        <v>4.7351877082401996</v>
      </c>
      <c r="K19" s="58">
        <f>K15*K17</f>
        <v>60.306635906832724</v>
      </c>
      <c r="L19" s="58">
        <f>L15*L17</f>
        <v>0</v>
      </c>
      <c r="M19" s="58">
        <f>M15*M17</f>
        <v>0</v>
      </c>
      <c r="N19" s="58">
        <f>N15*N17</f>
        <v>0</v>
      </c>
      <c r="O19" s="58">
        <f>O15*O17</f>
        <v>0</v>
      </c>
      <c r="P19" s="58">
        <f>P15*P17</f>
        <v>0</v>
      </c>
      <c r="Q19" s="58">
        <f>Q15*Q17</f>
        <v>0</v>
      </c>
      <c r="R19" s="58">
        <f>R15*R17</f>
        <v>0</v>
      </c>
      <c r="S19" s="58">
        <f>S15*S17</f>
        <v>0</v>
      </c>
      <c r="T19" s="58">
        <f>T15*T17</f>
        <v>0</v>
      </c>
      <c r="U19" s="58">
        <f>U15*U17</f>
        <v>0</v>
      </c>
      <c r="V19" s="58">
        <f>V15*V17</f>
        <v>0</v>
      </c>
      <c r="W19" s="58">
        <f>W15*W17</f>
        <v>0</v>
      </c>
      <c r="X19" s="58">
        <f>X15*X17</f>
        <v>0</v>
      </c>
      <c r="Y19" s="58">
        <f>Y15*Y17</f>
        <v>0</v>
      </c>
      <c r="Z19" s="58">
        <f>Z15*Z17</f>
        <v>0</v>
      </c>
      <c r="AA19" s="58">
        <f>AA15*AA17</f>
        <v>0</v>
      </c>
      <c r="AB19" s="58">
        <f>AB15*AB17</f>
        <v>0</v>
      </c>
      <c r="AC19" s="58">
        <f>AC15*AC17</f>
        <v>0</v>
      </c>
      <c r="AD19" s="58">
        <f>AD15*AD17</f>
        <v>0</v>
      </c>
      <c r="AE19" s="58">
        <f>AE15*AE17</f>
        <v>0</v>
      </c>
      <c r="AF19" s="58">
        <f>AF15*AF17</f>
        <v>0</v>
      </c>
      <c r="AG19" s="58">
        <f>AG15*AG17</f>
        <v>0</v>
      </c>
      <c r="AH19" s="58">
        <f>AH15*AH17</f>
        <v>0</v>
      </c>
      <c r="AI19" s="58">
        <f>AI15*AI17</f>
        <v>0</v>
      </c>
      <c r="AJ19" s="58">
        <f>AJ15*AJ17</f>
        <v>0</v>
      </c>
      <c r="AK19" s="58">
        <f>AK15*AK17</f>
        <v>0</v>
      </c>
      <c r="AL19" s="58">
        <f>AL15*AL17</f>
        <v>0</v>
      </c>
      <c r="AM19" s="58">
        <f>AM15*AM17</f>
        <v>0</v>
      </c>
      <c r="AN19" s="58">
        <f>AN15*AN17</f>
        <v>0</v>
      </c>
      <c r="AO19" s="58">
        <f>AO15*AO17</f>
        <v>0</v>
      </c>
    </row>
    <row r="20" spans="1:41" s="50" customFormat="1" ht="13.5">
      <c r="A20" s="57"/>
      <c r="B20" s="65" t="str">
        <f>REPT("|",B19)</f>
        <v>|||||||</v>
      </c>
      <c r="C20" s="65" t="str">
        <f>REPT("|",C19)</f>
        <v>|||||||</v>
      </c>
      <c r="D20" s="65" t="str">
        <f>REPT("|",D19)</f>
        <v>||||||</v>
      </c>
      <c r="E20" s="65" t="str">
        <f>REPT("|",E19)</f>
        <v>||||||</v>
      </c>
      <c r="F20" s="65" t="str">
        <f>REPT("|",F19)</f>
        <v>|||||</v>
      </c>
      <c r="G20" s="65" t="str">
        <f>REPT("|",G19)</f>
        <v>|||||</v>
      </c>
      <c r="H20" s="65" t="str">
        <f>REPT("|",H19)</f>
        <v>|||||</v>
      </c>
      <c r="I20" s="65" t="str">
        <f>REPT("|",I19)</f>
        <v>|||||</v>
      </c>
      <c r="J20" s="65" t="str">
        <f>REPT("|",J19)</f>
        <v>||||</v>
      </c>
      <c r="K20" s="65" t="str">
        <f>REPT("|",K19)</f>
        <v>||||||||||||||||||||||||||||||||||||||||||||||||||||||||||||</v>
      </c>
      <c r="L20" s="65" t="str">
        <f>REPT("|",L19)</f>
        <v/>
      </c>
      <c r="M20" s="65" t="str">
        <f>REPT("|",M19)</f>
        <v/>
      </c>
      <c r="N20" s="65" t="str">
        <f>REPT("|",N19)</f>
        <v/>
      </c>
      <c r="O20" s="65" t="str">
        <f>REPT("|",O19)</f>
        <v/>
      </c>
      <c r="P20" s="65" t="str">
        <f>REPT("|",P19)</f>
        <v/>
      </c>
      <c r="Q20" s="65" t="str">
        <f>REPT("|",Q19)</f>
        <v/>
      </c>
      <c r="R20" s="65" t="str">
        <f>REPT("|",R19)</f>
        <v/>
      </c>
      <c r="S20" s="65" t="str">
        <f>REPT("|",S19)</f>
        <v/>
      </c>
      <c r="T20" s="65" t="str">
        <f>REPT("|",T19)</f>
        <v/>
      </c>
      <c r="U20" s="65" t="str">
        <f>REPT("|",U19)</f>
        <v/>
      </c>
      <c r="V20" s="65" t="str">
        <f>REPT("|",V19)</f>
        <v/>
      </c>
      <c r="W20" s="65" t="str">
        <f>REPT("|",W19)</f>
        <v/>
      </c>
      <c r="X20" s="65" t="str">
        <f>REPT("|",X19)</f>
        <v/>
      </c>
      <c r="Y20" s="65" t="str">
        <f>REPT("|",Y19)</f>
        <v/>
      </c>
      <c r="Z20" s="65" t="str">
        <f>REPT("|",Z19)</f>
        <v/>
      </c>
      <c r="AA20" s="65" t="str">
        <f>REPT("|",AA19)</f>
        <v/>
      </c>
      <c r="AB20" s="65" t="str">
        <f>REPT("|",AB19)</f>
        <v/>
      </c>
      <c r="AC20" s="65" t="str">
        <f>REPT("|",AC19)</f>
        <v/>
      </c>
      <c r="AD20" s="65" t="str">
        <f>REPT("|",AD19)</f>
        <v/>
      </c>
      <c r="AE20" s="65" t="str">
        <f>REPT("|",AE19)</f>
        <v/>
      </c>
      <c r="AF20" s="65" t="str">
        <f>REPT("|",AF19)</f>
        <v/>
      </c>
      <c r="AG20" s="65" t="str">
        <f>REPT("|",AG19)</f>
        <v/>
      </c>
      <c r="AH20" s="65" t="str">
        <f>REPT("|",AH19)</f>
        <v/>
      </c>
      <c r="AI20" s="65" t="str">
        <f>REPT("|",AI19)</f>
        <v/>
      </c>
      <c r="AJ20" s="65" t="str">
        <f>REPT("|",AJ19)</f>
        <v/>
      </c>
      <c r="AK20" s="65" t="str">
        <f>REPT("|",AK19)</f>
        <v/>
      </c>
      <c r="AL20" s="65" t="str">
        <f>REPT("|",AL19)</f>
        <v/>
      </c>
      <c r="AM20" s="65" t="str">
        <f>REPT("|",AM19)</f>
        <v/>
      </c>
      <c r="AN20" s="65" t="str">
        <f>REPT("|",AN19)</f>
        <v/>
      </c>
      <c r="AO20" s="65" t="str">
        <f>REPT("|",AO19)</f>
        <v/>
      </c>
    </row>
    <row r="21" spans="1:41" s="50" customFormat="1" ht="14.25" thickBot="1">
      <c r="A21" s="61">
        <f>FV(B6,B26,,B22)</f>
        <v>-177.0282117192786</v>
      </c>
      <c r="B21" s="64">
        <f>FV($B$6,$B$26-B13,,-B15)</f>
        <v>11.646268720288557</v>
      </c>
      <c r="C21" s="64">
        <f>FV($B$6,$B$26-C13,,-C15)</f>
        <v>10.987045962536373</v>
      </c>
      <c r="D21" s="64">
        <f>FV($B$6,$B$26-D13,,-D15)</f>
        <v>10.365137700506011</v>
      </c>
      <c r="E21" s="64">
        <f>FV($B$6,$B$26-E13,,-E15)</f>
        <v>9.7784317929301992</v>
      </c>
      <c r="F21" s="64">
        <f>PV($B$6,F13-B26,,-F15)</f>
        <v>9.2249356537077354</v>
      </c>
    </row>
    <row r="22" spans="1:41" s="50" customFormat="1" ht="16.5" thickBot="1">
      <c r="A22" s="63" t="s">
        <v>9</v>
      </c>
      <c r="B22" s="62">
        <f>SUM(B19:AO19)</f>
        <v>114.72017410282933</v>
      </c>
      <c r="E22" s="61"/>
      <c r="F22" s="61">
        <f>+SUM(A21:F21)</f>
        <v>-125.02639188930972</v>
      </c>
    </row>
    <row r="23" spans="1:41" s="50" customFormat="1" ht="13.5" thickBot="1">
      <c r="D23" s="61"/>
    </row>
    <row r="24" spans="1:41" s="50" customFormat="1" ht="13.5" thickBot="1">
      <c r="A24" s="60" t="s">
        <v>2</v>
      </c>
      <c r="B24" s="59">
        <f>(B13/$B$8)*B19</f>
        <v>7.5471698113207539</v>
      </c>
      <c r="C24" s="58">
        <f>(C13/$B$8)*C19</f>
        <v>14.239943040227837</v>
      </c>
      <c r="D24" s="58">
        <f>(D13/$B$8)*D19</f>
        <v>20.150862792775239</v>
      </c>
      <c r="E24" s="58">
        <f>(E13/$B$8)*E19</f>
        <v>25.346997223616654</v>
      </c>
      <c r="F24" s="58">
        <f>(F13/$B$8)*F19</f>
        <v>29.890326914642277</v>
      </c>
      <c r="G24" s="58">
        <f>(G13/$B$8)*G19</f>
        <v>33.838105941104459</v>
      </c>
      <c r="H24" s="58">
        <f>(H13/$B$8)*H19</f>
        <v>37.243198362850819</v>
      </c>
      <c r="I24" s="58">
        <f>(I13/$B$8)*I19</f>
        <v>40.154391765876895</v>
      </c>
      <c r="J24" s="58">
        <f>(J13/$B$8)*J19</f>
        <v>42.616689374161794</v>
      </c>
      <c r="K24" s="58">
        <f>(K13/$B$8)*K19</f>
        <v>603.0663590683273</v>
      </c>
      <c r="L24" s="58">
        <f>(L13/$B$8)*L19</f>
        <v>0</v>
      </c>
      <c r="M24" s="58">
        <f>(M13/$B$8)*M19</f>
        <v>0</v>
      </c>
      <c r="N24" s="58">
        <f>(N13/$B$8)*N19</f>
        <v>0</v>
      </c>
      <c r="O24" s="58">
        <f>(O13/$B$8)*O19</f>
        <v>0</v>
      </c>
      <c r="P24" s="58">
        <f>(P13/$B$8)*P19</f>
        <v>0</v>
      </c>
      <c r="Q24" s="58">
        <f>(Q13/$B$8)*Q19</f>
        <v>0</v>
      </c>
      <c r="R24" s="58">
        <f>(R13/$B$8)*R19</f>
        <v>0</v>
      </c>
      <c r="S24" s="58">
        <f>(S13/$B$8)*S19</f>
        <v>0</v>
      </c>
      <c r="T24" s="58">
        <f>(T13/$B$8)*T19</f>
        <v>0</v>
      </c>
      <c r="U24" s="58">
        <f>(U13/$B$8)*U19</f>
        <v>0</v>
      </c>
      <c r="V24" s="58">
        <f>(V13/$B$8)*V19</f>
        <v>0</v>
      </c>
      <c r="W24" s="58">
        <f>(W13/$B$8)*W19</f>
        <v>0</v>
      </c>
      <c r="X24" s="58">
        <f>(X13/$B$8)*X19</f>
        <v>0</v>
      </c>
      <c r="Y24" s="58">
        <f>(Y13/$B$8)*Y19</f>
        <v>0</v>
      </c>
      <c r="Z24" s="58">
        <f>(Z13/$B$8)*Z19</f>
        <v>0</v>
      </c>
      <c r="AA24" s="58">
        <f>(AA13/$B$8)*AA19</f>
        <v>0</v>
      </c>
      <c r="AB24" s="58">
        <f>(AB13/$B$8)*AB19</f>
        <v>0</v>
      </c>
      <c r="AC24" s="58">
        <f>(AC13/$B$8)*AC19</f>
        <v>0</v>
      </c>
      <c r="AD24" s="58">
        <f>(AD13/$B$8)*AD19</f>
        <v>0</v>
      </c>
      <c r="AE24" s="58">
        <f>(AE13/$B$8)*AE19</f>
        <v>0</v>
      </c>
      <c r="AF24" s="58">
        <f>(AF13/$B$8)*AF19</f>
        <v>0</v>
      </c>
      <c r="AG24" s="58">
        <f>(AG13/$B$8)*AG19</f>
        <v>0</v>
      </c>
      <c r="AH24" s="58">
        <f>(AH13/$B$8)*AH19</f>
        <v>0</v>
      </c>
      <c r="AI24" s="58">
        <f>(AI13/$B$8)*AI19</f>
        <v>0</v>
      </c>
      <c r="AJ24" s="58">
        <f>(AJ13/$B$8)*AJ19</f>
        <v>0</v>
      </c>
      <c r="AK24" s="58">
        <f>(AK13/$B$8)*AK19</f>
        <v>0</v>
      </c>
      <c r="AL24" s="58">
        <f>(AL13/$B$8)*AL19</f>
        <v>0</v>
      </c>
      <c r="AM24" s="58">
        <f>(AM13/$B$8)*AM19</f>
        <v>0</v>
      </c>
      <c r="AN24" s="58">
        <f>(AN13/$B$8)*AN19</f>
        <v>0</v>
      </c>
      <c r="AO24" s="58">
        <f>(AO13/$B$8)*AO19</f>
        <v>0</v>
      </c>
    </row>
    <row r="25" spans="1:41" s="50" customFormat="1" ht="13.5" thickBot="1">
      <c r="A25" s="57"/>
    </row>
    <row r="26" spans="1:41" s="50" customFormat="1" ht="13.5" thickBot="1">
      <c r="A26" s="60" t="s">
        <v>2</v>
      </c>
      <c r="B26" s="54">
        <f>SUM(B24:AO24)/B22</f>
        <v>7.4450204680594156</v>
      </c>
    </row>
    <row r="27" spans="1:41" s="50" customFormat="1" ht="13.5" thickBot="1">
      <c r="A27" s="57"/>
    </row>
    <row r="28" spans="1:41" s="50" customFormat="1" ht="13.5" thickBot="1">
      <c r="A28" s="55" t="s">
        <v>3</v>
      </c>
      <c r="B28" s="54">
        <f>+B26*(1/(1+$B$6/$B$8))</f>
        <v>7.0236042151503915</v>
      </c>
      <c r="C28" s="52"/>
    </row>
    <row r="29" spans="1:41" s="50" customFormat="1">
      <c r="A29" s="57"/>
    </row>
    <row r="30" spans="1:41" s="50" customFormat="1" ht="13.5" thickBot="1">
      <c r="A30" s="57"/>
    </row>
    <row r="31" spans="1:41" s="50" customFormat="1" ht="13.5" thickBot="1">
      <c r="A31" s="56" t="s">
        <v>4</v>
      </c>
      <c r="B31" s="59">
        <f>B13*(B13+1)*B19</f>
        <v>15.094339622641508</v>
      </c>
      <c r="C31" s="58">
        <f>C13*(C13+1)*C19</f>
        <v>42.719829120683514</v>
      </c>
      <c r="D31" s="58">
        <f>D13*(D13+1)*D19</f>
        <v>80.603451171100957</v>
      </c>
      <c r="E31" s="58">
        <f>E13*(E13+1)*E19</f>
        <v>126.73498611808327</v>
      </c>
      <c r="F31" s="58">
        <f>F13*(F13+1)*F19</f>
        <v>179.34196148785367</v>
      </c>
      <c r="G31" s="58">
        <f>G13*(G13+1)*G19</f>
        <v>236.86674158773121</v>
      </c>
      <c r="H31" s="58">
        <f>H13*(H13+1)*H19</f>
        <v>297.94558690280655</v>
      </c>
      <c r="I31" s="58">
        <f>I13*(I13+1)*I19</f>
        <v>361.38952589289204</v>
      </c>
      <c r="J31" s="58">
        <f>J13*(J13+1)*J19</f>
        <v>426.16689374161797</v>
      </c>
      <c r="K31" s="58">
        <f>K13*(K13+1)*K19</f>
        <v>6633.7299497515996</v>
      </c>
      <c r="L31" s="58">
        <f>L13*(L13+1)*L19</f>
        <v>0</v>
      </c>
      <c r="M31" s="58">
        <f>M13*(M13+1)*M19</f>
        <v>0</v>
      </c>
      <c r="N31" s="58">
        <f>N13*(N13+1)*N19</f>
        <v>0</v>
      </c>
      <c r="O31" s="58">
        <f>O13*(O13+1)*O19</f>
        <v>0</v>
      </c>
      <c r="P31" s="58">
        <f>P13*(P13+1)*P19</f>
        <v>0</v>
      </c>
      <c r="Q31" s="58">
        <f>Q13*(Q13+1)*Q19</f>
        <v>0</v>
      </c>
      <c r="R31" s="58">
        <f>R13*(R13+1)*R19</f>
        <v>0</v>
      </c>
      <c r="S31" s="58">
        <f>S13*(S13+1)*S19</f>
        <v>0</v>
      </c>
      <c r="T31" s="58">
        <f>T13*(T13+1)*T19</f>
        <v>0</v>
      </c>
      <c r="U31" s="58">
        <f>U13*(U13+1)*U19</f>
        <v>0</v>
      </c>
      <c r="V31" s="58">
        <f>V13*(V13+1)*V19</f>
        <v>0</v>
      </c>
      <c r="W31" s="58">
        <f>W13*(W13+1)*W19</f>
        <v>0</v>
      </c>
      <c r="X31" s="58">
        <f>X13*(X13+1)*X19</f>
        <v>0</v>
      </c>
      <c r="Y31" s="58">
        <f>Y13*(Y13+1)*Y19</f>
        <v>0</v>
      </c>
      <c r="Z31" s="58">
        <f>Z13*(Z13+1)*Z19</f>
        <v>0</v>
      </c>
      <c r="AA31" s="58">
        <f>AA13*(AA13+1)*AA19</f>
        <v>0</v>
      </c>
      <c r="AB31" s="58">
        <f>AB13*(AB13+1)*AB19</f>
        <v>0</v>
      </c>
      <c r="AC31" s="58">
        <f>AC13*(AC13+1)*AC19</f>
        <v>0</v>
      </c>
      <c r="AD31" s="58">
        <f>AD13*(AD13+1)*AD19</f>
        <v>0</v>
      </c>
      <c r="AE31" s="58">
        <f>AE13*(AE13+1)*AE19</f>
        <v>0</v>
      </c>
      <c r="AF31" s="58">
        <f>AF13*(AF13+1)*AF19</f>
        <v>0</v>
      </c>
      <c r="AG31" s="58">
        <f>AG13*(AG13+1)*AG19</f>
        <v>0</v>
      </c>
      <c r="AH31" s="58">
        <f>AH13*(AH13+1)*AH19</f>
        <v>0</v>
      </c>
      <c r="AI31" s="58">
        <f>AI13*(AI13+1)*AI19</f>
        <v>0</v>
      </c>
      <c r="AJ31" s="58">
        <f>AJ13*(AJ13+1)*AJ19</f>
        <v>0</v>
      </c>
      <c r="AK31" s="58">
        <f>AK13*(AK13+1)*AK19</f>
        <v>0</v>
      </c>
      <c r="AL31" s="58">
        <f>AL13*(AL13+1)*AL19</f>
        <v>0</v>
      </c>
      <c r="AM31" s="58">
        <f>AM13*(AM13+1)*AM19</f>
        <v>0</v>
      </c>
      <c r="AN31" s="58">
        <f>AN13*(AN13+1)*AN19</f>
        <v>0</v>
      </c>
      <c r="AO31" s="58">
        <f>AO13*(AO13+1)*AO19</f>
        <v>0</v>
      </c>
    </row>
    <row r="32" spans="1:41" s="50" customFormat="1" ht="13.5" thickBot="1">
      <c r="A32" s="57"/>
    </row>
    <row r="33" spans="1:5" s="50" customFormat="1" ht="13.5" thickBot="1">
      <c r="A33" s="56" t="s">
        <v>4</v>
      </c>
      <c r="B33" s="54">
        <f>SUM(B31:U31)*((1/$B$8)^2)*(1/(1+$B$6/$B$8)^2)/B22</f>
        <v>65.171606987881518</v>
      </c>
    </row>
    <row r="34" spans="1:5" s="50" customFormat="1" ht="13.5" thickBot="1"/>
    <row r="35" spans="1:5" s="50" customFormat="1" ht="13.5" thickBot="1">
      <c r="A35" s="55" t="s">
        <v>21</v>
      </c>
      <c r="B35" s="54">
        <f>B2-B22</f>
        <v>-14.720174102829333</v>
      </c>
    </row>
    <row r="36" spans="1:5" s="50" customFormat="1">
      <c r="C36" s="52"/>
      <c r="D36" s="52"/>
    </row>
    <row r="37" spans="1:5" s="50" customFormat="1">
      <c r="C37" s="52"/>
      <c r="E37" s="53"/>
    </row>
    <row r="38" spans="1:5" s="50" customFormat="1">
      <c r="C38" s="52"/>
      <c r="E38" s="51"/>
    </row>
    <row r="39" spans="1:5" s="50" customFormat="1">
      <c r="E39" s="51"/>
    </row>
    <row r="109" spans="1:2" s="50" customFormat="1">
      <c r="A109" s="50">
        <v>1</v>
      </c>
      <c r="B109" s="50" t="s">
        <v>11</v>
      </c>
    </row>
    <row r="110" spans="1:2" s="50" customFormat="1">
      <c r="A110" s="50">
        <v>2</v>
      </c>
      <c r="B110" s="50" t="s">
        <v>12</v>
      </c>
    </row>
    <row r="111" spans="1:2" s="50" customFormat="1">
      <c r="A111" s="50">
        <v>4</v>
      </c>
      <c r="B111" s="50" t="s">
        <v>13</v>
      </c>
    </row>
  </sheetData>
  <conditionalFormatting sqref="B20:B21 C20:F20 I20:AO2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{37353318-CF56-4B2D-B0EC-4BCA36087D2C}</x14:id>
        </ext>
      </extLst>
    </cfRule>
  </conditionalFormatting>
  <conditionalFormatting sqref="B13:AO13">
    <cfRule type="expression" dxfId="63" priority="20">
      <formula>$B$8=4</formula>
    </cfRule>
    <cfRule type="expression" dxfId="62" priority="21">
      <formula>$B$8=1</formula>
    </cfRule>
    <cfRule type="expression" dxfId="61" priority="22">
      <formula>$B$8=2</formula>
    </cfRule>
  </conditionalFormatting>
  <conditionalFormatting sqref="C21:F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{59360321-C1F5-4FAF-B2C3-0F247F4A7C8D}</x14:id>
        </ext>
      </extLst>
    </cfRule>
  </conditionalFormatting>
  <conditionalFormatting sqref="C13:AO13">
    <cfRule type="expression" dxfId="60" priority="19">
      <formula>B13&gt;=$B$10*$B$8</formula>
    </cfRule>
  </conditionalFormatting>
  <conditionalFormatting sqref="G15:G31">
    <cfRule type="expression" dxfId="59" priority="18">
      <formula>$G$13&gt;$B$10*$B$8</formula>
    </cfRule>
  </conditionalFormatting>
  <conditionalFormatting sqref="H15:H31">
    <cfRule type="expression" dxfId="58" priority="17">
      <formula>$H$13&gt;$B$10*$B$8</formula>
    </cfRule>
  </conditionalFormatting>
  <conditionalFormatting sqref="I15:I24 I31">
    <cfRule type="expression" dxfId="57" priority="16">
      <formula>$I$13&gt;$B$10*$B$8</formula>
    </cfRule>
  </conditionalFormatting>
  <conditionalFormatting sqref="J15:J31">
    <cfRule type="expression" dxfId="56" priority="15">
      <formula>$J$13&gt;$B$10*$B$8</formula>
    </cfRule>
  </conditionalFormatting>
  <conditionalFormatting sqref="K15:K31">
    <cfRule type="expression" dxfId="55" priority="14">
      <formula>$K$13&gt;$B$10*$B$8</formula>
    </cfRule>
  </conditionalFormatting>
  <conditionalFormatting sqref="L15:L31">
    <cfRule type="expression" dxfId="54" priority="13">
      <formula>$L$13&gt;$B$10*$B$8</formula>
    </cfRule>
  </conditionalFormatting>
  <conditionalFormatting sqref="M15:M31">
    <cfRule type="expression" dxfId="53" priority="12">
      <formula>$M$13&gt;$B$10*$B$8</formula>
    </cfRule>
  </conditionalFormatting>
  <conditionalFormatting sqref="N15:N31">
    <cfRule type="expression" dxfId="52" priority="11">
      <formula>$N$13&gt;$B$10*$B$8</formula>
    </cfRule>
  </conditionalFormatting>
  <conditionalFormatting sqref="O15:O31">
    <cfRule type="expression" dxfId="51" priority="10">
      <formula>$O$13&gt;$B$10*$B$8</formula>
    </cfRule>
  </conditionalFormatting>
  <conditionalFormatting sqref="P15:P31">
    <cfRule type="expression" dxfId="50" priority="9">
      <formula>$P$13&gt;$B$10*$B$8</formula>
    </cfRule>
  </conditionalFormatting>
  <conditionalFormatting sqref="Q15:Q31">
    <cfRule type="expression" dxfId="49" priority="8">
      <formula>$Q$13&gt;$B$10*$B$8</formula>
    </cfRule>
  </conditionalFormatting>
  <conditionalFormatting sqref="R15:R31">
    <cfRule type="expression" dxfId="48" priority="7">
      <formula>$R$13&gt;$B$10*$B$8</formula>
    </cfRule>
  </conditionalFormatting>
  <conditionalFormatting sqref="S15:S31">
    <cfRule type="expression" dxfId="47" priority="6">
      <formula>$S$13&gt;$B$10*$B$8</formula>
    </cfRule>
  </conditionalFormatting>
  <conditionalFormatting sqref="T15:T31">
    <cfRule type="expression" dxfId="46" priority="5">
      <formula>$T$13&gt;$B$10*$B$8</formula>
    </cfRule>
  </conditionalFormatting>
  <conditionalFormatting sqref="U15:U31">
    <cfRule type="expression" dxfId="45" priority="4">
      <formula>$U$13&gt;$B$10*$B$8</formula>
    </cfRule>
  </conditionalFormatting>
  <conditionalFormatting sqref="V15:V31">
    <cfRule type="expression" dxfId="44" priority="3">
      <formula>$V$13&gt;$B$10*$B$8</formula>
    </cfRule>
  </conditionalFormatting>
  <conditionalFormatting sqref="W15:W31">
    <cfRule type="expression" dxfId="43" priority="2">
      <formula>$W$13&gt;$B$10*$B$8</formula>
    </cfRule>
  </conditionalFormatting>
  <dataValidations count="1">
    <dataValidation type="list" allowBlank="1" showInputMessage="1" showErrorMessage="1" sqref="B8" xr:uid="{C7E95FE3-A783-4B29-B3B1-343CE7145327}">
      <formula1>$A$109:$A$111</formula1>
    </dataValidation>
  </dataValidations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53318-CF56-4B2D-B0EC-4BCA36087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B20:B21 C20:F20 I20:AO20</xm:sqref>
        </x14:conditionalFormatting>
        <x14:conditionalFormatting xmlns:xm="http://schemas.microsoft.com/office/excel/2006/main">
          <x14:cfRule type="dataBar" id="{59360321-C1F5-4FAF-B2C3-0F247F4A7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C21:F21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8637-286A-41E8-9C75-9FD9BD219345}">
  <dimension ref="A1:AO111"/>
  <sheetViews>
    <sheetView zoomScale="130" zoomScaleNormal="130" workbookViewId="0">
      <selection activeCell="F27" sqref="F27"/>
    </sheetView>
  </sheetViews>
  <sheetFormatPr baseColWidth="10" defaultColWidth="8.7109375" defaultRowHeight="12.75"/>
  <cols>
    <col min="1" max="1" width="26.7109375" style="1" customWidth="1"/>
    <col min="2" max="2" width="14" style="1" customWidth="1"/>
    <col min="3" max="200" width="11.42578125" style="1" customWidth="1"/>
    <col min="201" max="16384" width="8.7109375" style="1"/>
  </cols>
  <sheetData>
    <row r="1" spans="1:41" ht="13.5" thickBot="1"/>
    <row r="2" spans="1:41" ht="13.5" thickBot="1">
      <c r="A2" s="2" t="s">
        <v>7</v>
      </c>
      <c r="B2" s="3">
        <v>80</v>
      </c>
    </row>
    <row r="3" spans="1:41" ht="13.5" thickBot="1"/>
    <row r="4" spans="1:41" ht="13.5" thickBot="1">
      <c r="A4" s="2" t="s">
        <v>8</v>
      </c>
      <c r="B4" s="4">
        <v>0.1</v>
      </c>
    </row>
    <row r="5" spans="1:41" ht="13.5" thickBot="1">
      <c r="B5" s="1" t="s">
        <v>20</v>
      </c>
    </row>
    <row r="6" spans="1:41" ht="13.5" thickBot="1">
      <c r="A6" s="21" t="str">
        <f>VLOOKUP(B8,A109:B111,2)</f>
        <v>TIR nominal anual Semestre Vencido</v>
      </c>
      <c r="B6" s="5">
        <v>0.105</v>
      </c>
    </row>
    <row r="7" spans="1:41" ht="13.5" thickBot="1"/>
    <row r="8" spans="1:41" ht="13.15" customHeight="1" thickBot="1">
      <c r="A8" s="6" t="s">
        <v>0</v>
      </c>
      <c r="B8" s="7">
        <v>2</v>
      </c>
    </row>
    <row r="9" spans="1:41" ht="13.5" thickBot="1"/>
    <row r="10" spans="1:41" ht="13.5" thickBot="1">
      <c r="A10" s="2" t="s">
        <v>10</v>
      </c>
      <c r="B10" s="8">
        <v>5</v>
      </c>
    </row>
    <row r="12" spans="1:41" ht="13.5" thickBot="1"/>
    <row r="13" spans="1:41" ht="13.5" thickBot="1"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9">
        <v>11</v>
      </c>
      <c r="M13" s="9">
        <v>12</v>
      </c>
      <c r="N13" s="9">
        <v>13</v>
      </c>
      <c r="O13" s="9">
        <v>14</v>
      </c>
      <c r="P13" s="9">
        <v>15</v>
      </c>
      <c r="Q13" s="9">
        <v>16</v>
      </c>
      <c r="R13" s="9">
        <v>17</v>
      </c>
      <c r="S13" s="9">
        <v>18</v>
      </c>
      <c r="T13" s="9">
        <v>19</v>
      </c>
      <c r="U13" s="9">
        <v>20</v>
      </c>
      <c r="V13" s="9">
        <v>21</v>
      </c>
      <c r="W13" s="9">
        <v>22</v>
      </c>
      <c r="X13" s="9">
        <v>23</v>
      </c>
      <c r="Y13" s="9">
        <v>24</v>
      </c>
      <c r="Z13" s="9">
        <v>25</v>
      </c>
      <c r="AA13" s="9">
        <v>26</v>
      </c>
      <c r="AB13" s="9">
        <v>27</v>
      </c>
      <c r="AC13" s="9">
        <v>28</v>
      </c>
      <c r="AD13" s="9">
        <v>29</v>
      </c>
      <c r="AE13" s="9">
        <v>30</v>
      </c>
      <c r="AF13" s="9">
        <v>31</v>
      </c>
      <c r="AG13" s="9">
        <v>32</v>
      </c>
      <c r="AH13" s="9">
        <v>33</v>
      </c>
      <c r="AI13" s="9">
        <v>34</v>
      </c>
      <c r="AJ13" s="9">
        <v>35</v>
      </c>
      <c r="AK13" s="9">
        <v>36</v>
      </c>
      <c r="AL13" s="9">
        <v>37</v>
      </c>
      <c r="AM13" s="9">
        <v>38</v>
      </c>
      <c r="AN13" s="9">
        <v>39</v>
      </c>
      <c r="AO13" s="9">
        <v>40</v>
      </c>
    </row>
    <row r="14" spans="1:41" ht="13.5" thickBot="1"/>
    <row r="15" spans="1:41" ht="13.5" thickBot="1">
      <c r="A15" s="10" t="s">
        <v>1</v>
      </c>
      <c r="B15" s="11">
        <f>IF($B$10*$B$8&gt;B13,$B$4*$B$2/$B$8,IF($B$10*$B$8=B13,$B$4*$B$2/$B$8+$B$2,0))</f>
        <v>4</v>
      </c>
      <c r="C15" s="12">
        <f t="shared" ref="C15:AO15" si="0">IF($B$10*$B$8&gt;C13,$B$4*$B$2/$B$8,IF($B$10*$B$8=C13,$B$4*$B$2/$B$8+$B$2,0))</f>
        <v>4</v>
      </c>
      <c r="D15" s="12">
        <f t="shared" si="0"/>
        <v>4</v>
      </c>
      <c r="E15" s="12">
        <f t="shared" si="0"/>
        <v>4</v>
      </c>
      <c r="F15" s="12">
        <f t="shared" si="0"/>
        <v>4</v>
      </c>
      <c r="G15" s="12">
        <f t="shared" si="0"/>
        <v>4</v>
      </c>
      <c r="H15" s="12">
        <f t="shared" si="0"/>
        <v>4</v>
      </c>
      <c r="I15" s="12">
        <f t="shared" si="0"/>
        <v>4</v>
      </c>
      <c r="J15" s="12">
        <f t="shared" si="0"/>
        <v>4</v>
      </c>
      <c r="K15" s="12">
        <f t="shared" si="0"/>
        <v>84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2">
        <f t="shared" si="0"/>
        <v>0</v>
      </c>
      <c r="Q15" s="12">
        <f t="shared" si="0"/>
        <v>0</v>
      </c>
      <c r="R15" s="12">
        <f t="shared" si="0"/>
        <v>0</v>
      </c>
      <c r="S15" s="12">
        <f t="shared" si="0"/>
        <v>0</v>
      </c>
      <c r="T15" s="12">
        <f t="shared" si="0"/>
        <v>0</v>
      </c>
      <c r="U15" s="12">
        <f t="shared" si="0"/>
        <v>0</v>
      </c>
      <c r="V15" s="12">
        <f t="shared" si="0"/>
        <v>0</v>
      </c>
      <c r="W15" s="12">
        <f t="shared" si="0"/>
        <v>0</v>
      </c>
      <c r="X15" s="12">
        <f t="shared" si="0"/>
        <v>0</v>
      </c>
      <c r="Y15" s="12">
        <f t="shared" si="0"/>
        <v>0</v>
      </c>
      <c r="Z15" s="12">
        <f t="shared" si="0"/>
        <v>0</v>
      </c>
      <c r="AA15" s="12">
        <f t="shared" si="0"/>
        <v>0</v>
      </c>
      <c r="AB15" s="12">
        <f t="shared" si="0"/>
        <v>0</v>
      </c>
      <c r="AC15" s="12">
        <f t="shared" si="0"/>
        <v>0</v>
      </c>
      <c r="AD15" s="12">
        <f t="shared" si="0"/>
        <v>0</v>
      </c>
      <c r="AE15" s="12">
        <f t="shared" si="0"/>
        <v>0</v>
      </c>
      <c r="AF15" s="12">
        <f t="shared" si="0"/>
        <v>0</v>
      </c>
      <c r="AG15" s="12">
        <f t="shared" si="0"/>
        <v>0</v>
      </c>
      <c r="AH15" s="12">
        <f t="shared" si="0"/>
        <v>0</v>
      </c>
      <c r="AI15" s="12">
        <f t="shared" si="0"/>
        <v>0</v>
      </c>
      <c r="AJ15" s="12">
        <f t="shared" si="0"/>
        <v>0</v>
      </c>
      <c r="AK15" s="12">
        <f t="shared" si="0"/>
        <v>0</v>
      </c>
      <c r="AL15" s="12">
        <f t="shared" si="0"/>
        <v>0</v>
      </c>
      <c r="AM15" s="12">
        <f t="shared" si="0"/>
        <v>0</v>
      </c>
      <c r="AN15" s="12">
        <f t="shared" si="0"/>
        <v>0</v>
      </c>
      <c r="AO15" s="12">
        <f t="shared" si="0"/>
        <v>0</v>
      </c>
    </row>
    <row r="16" spans="1:41" ht="13.5" thickBot="1">
      <c r="A16" s="13"/>
    </row>
    <row r="17" spans="1:41" ht="13.5" thickBot="1">
      <c r="A17" s="10" t="s">
        <v>5</v>
      </c>
      <c r="B17" s="25">
        <f>1/(1+$B$6/$B$8)^B13</f>
        <v>0.95011876484560576</v>
      </c>
      <c r="C17" s="26">
        <f t="shared" ref="C17:AO17" si="1">1/(1+$B$6/$B$8)^C13</f>
        <v>0.90272566731173942</v>
      </c>
      <c r="D17" s="26">
        <f t="shared" si="1"/>
        <v>0.85769659602065507</v>
      </c>
      <c r="E17" s="26">
        <f t="shared" si="1"/>
        <v>0.81491363042342524</v>
      </c>
      <c r="F17" s="26">
        <f t="shared" si="1"/>
        <v>0.77426473199375323</v>
      </c>
      <c r="G17" s="12">
        <f t="shared" si="1"/>
        <v>0.73564345082541871</v>
      </c>
      <c r="H17" s="26">
        <f t="shared" si="1"/>
        <v>0.69894864686500591</v>
      </c>
      <c r="I17" s="26">
        <f t="shared" si="1"/>
        <v>0.66408422504988684</v>
      </c>
      <c r="J17" s="26">
        <f t="shared" si="1"/>
        <v>0.63095888365784969</v>
      </c>
      <c r="K17" s="26">
        <f t="shared" si="1"/>
        <v>0.59948587520935848</v>
      </c>
      <c r="L17" s="26">
        <f t="shared" si="1"/>
        <v>0.56958277929630252</v>
      </c>
      <c r="M17" s="26">
        <f t="shared" si="1"/>
        <v>0.54117128674233017</v>
      </c>
      <c r="N17" s="26">
        <f t="shared" si="1"/>
        <v>0.51417699452952992</v>
      </c>
      <c r="O17" s="26">
        <f t="shared" si="1"/>
        <v>0.4885292109544227</v>
      </c>
      <c r="P17" s="26">
        <f t="shared" si="1"/>
        <v>0.46416077050301446</v>
      </c>
      <c r="Q17" s="26">
        <f t="shared" si="1"/>
        <v>0.44100785796010877</v>
      </c>
      <c r="R17" s="26">
        <f t="shared" si="1"/>
        <v>0.41900984129226487</v>
      </c>
      <c r="S17" s="26">
        <f t="shared" si="1"/>
        <v>0.39810911286675998</v>
      </c>
      <c r="T17" s="26">
        <f t="shared" si="1"/>
        <v>0.37825093859074577</v>
      </c>
      <c r="U17" s="26">
        <f t="shared" si="1"/>
        <v>0.35938331457553047</v>
      </c>
      <c r="V17" s="26">
        <f t="shared" si="1"/>
        <v>0.34145683095062279</v>
      </c>
      <c r="W17" s="26">
        <f t="shared" si="1"/>
        <v>0.32442454247090052</v>
      </c>
      <c r="X17" s="26">
        <f t="shared" si="1"/>
        <v>0.30824184557805273</v>
      </c>
      <c r="Y17" s="26">
        <f t="shared" si="1"/>
        <v>0.29286636159434942</v>
      </c>
      <c r="Z17" s="26">
        <f t="shared" si="1"/>
        <v>0.2782578257428498</v>
      </c>
      <c r="AA17" s="26">
        <f t="shared" si="1"/>
        <v>0.2643779817034202</v>
      </c>
      <c r="AB17" s="26">
        <f t="shared" si="1"/>
        <v>0.25119048142842776</v>
      </c>
      <c r="AC17" s="26">
        <f t="shared" si="1"/>
        <v>0.23866078995575085</v>
      </c>
      <c r="AD17" s="26">
        <f t="shared" si="1"/>
        <v>0.22675609496983457</v>
      </c>
      <c r="AE17" s="26">
        <f t="shared" si="1"/>
        <v>0.21544522087395204</v>
      </c>
      <c r="AF17" s="26">
        <f t="shared" si="1"/>
        <v>0.20469854714864805</v>
      </c>
      <c r="AG17" s="26">
        <f t="shared" si="1"/>
        <v>0.19448793078256346</v>
      </c>
      <c r="AH17" s="26">
        <f t="shared" si="1"/>
        <v>0.18478663257250685</v>
      </c>
      <c r="AI17" s="26">
        <f t="shared" si="1"/>
        <v>0.17556924709976898</v>
      </c>
      <c r="AJ17" s="26">
        <f t="shared" si="1"/>
        <v>0.16681163619930545</v>
      </c>
      <c r="AK17" s="26">
        <f t="shared" si="1"/>
        <v>0.15849086574755861</v>
      </c>
      <c r="AL17" s="26">
        <f t="shared" si="1"/>
        <v>0.1505851456033811</v>
      </c>
      <c r="AM17" s="26">
        <f t="shared" si="1"/>
        <v>0.14307377254478015</v>
      </c>
      <c r="AN17" s="26">
        <f t="shared" si="1"/>
        <v>0.13593707605204766</v>
      </c>
      <c r="AO17" s="26">
        <f t="shared" si="1"/>
        <v>0.12915636679529469</v>
      </c>
    </row>
    <row r="18" spans="1:41" ht="13.5" thickBot="1">
      <c r="A18" s="13"/>
    </row>
    <row r="19" spans="1:41" ht="13.5" thickBot="1">
      <c r="A19" s="10" t="s">
        <v>6</v>
      </c>
      <c r="B19" s="23">
        <f>B15*B17</f>
        <v>3.800475059382423</v>
      </c>
      <c r="C19" s="24">
        <f t="shared" ref="C19:AO19" si="2">C15*C17</f>
        <v>3.6109026692469577</v>
      </c>
      <c r="D19" s="24">
        <f t="shared" si="2"/>
        <v>3.4307863840826203</v>
      </c>
      <c r="E19" s="24">
        <f t="shared" si="2"/>
        <v>3.259654521693701</v>
      </c>
      <c r="F19" s="24">
        <f t="shared" si="2"/>
        <v>3.0970589279750129</v>
      </c>
      <c r="G19" s="12">
        <f t="shared" si="2"/>
        <v>2.9425738033016748</v>
      </c>
      <c r="H19" s="24">
        <f t="shared" si="2"/>
        <v>2.7957945874600236</v>
      </c>
      <c r="I19" s="24">
        <f t="shared" si="2"/>
        <v>2.6563369001995474</v>
      </c>
      <c r="J19" s="24">
        <f t="shared" si="2"/>
        <v>2.5238355346313988</v>
      </c>
      <c r="K19" s="24">
        <f t="shared" si="2"/>
        <v>50.356813517586112</v>
      </c>
      <c r="L19" s="24">
        <f t="shared" si="2"/>
        <v>0</v>
      </c>
      <c r="M19" s="24">
        <f t="shared" si="2"/>
        <v>0</v>
      </c>
      <c r="N19" s="24">
        <f t="shared" si="2"/>
        <v>0</v>
      </c>
      <c r="O19" s="24">
        <f t="shared" si="2"/>
        <v>0</v>
      </c>
      <c r="P19" s="24">
        <f t="shared" si="2"/>
        <v>0</v>
      </c>
      <c r="Q19" s="24">
        <f t="shared" si="2"/>
        <v>0</v>
      </c>
      <c r="R19" s="24">
        <f t="shared" si="2"/>
        <v>0</v>
      </c>
      <c r="S19" s="24">
        <f t="shared" si="2"/>
        <v>0</v>
      </c>
      <c r="T19" s="24">
        <f t="shared" si="2"/>
        <v>0</v>
      </c>
      <c r="U19" s="24">
        <f t="shared" si="2"/>
        <v>0</v>
      </c>
      <c r="V19" s="24">
        <f t="shared" si="2"/>
        <v>0</v>
      </c>
      <c r="W19" s="24">
        <f t="shared" si="2"/>
        <v>0</v>
      </c>
      <c r="X19" s="24">
        <f t="shared" si="2"/>
        <v>0</v>
      </c>
      <c r="Y19" s="24">
        <f t="shared" si="2"/>
        <v>0</v>
      </c>
      <c r="Z19" s="24">
        <f t="shared" si="2"/>
        <v>0</v>
      </c>
      <c r="AA19" s="24">
        <f t="shared" si="2"/>
        <v>0</v>
      </c>
      <c r="AB19" s="24">
        <f t="shared" si="2"/>
        <v>0</v>
      </c>
      <c r="AC19" s="24">
        <f t="shared" si="2"/>
        <v>0</v>
      </c>
      <c r="AD19" s="24">
        <f t="shared" si="2"/>
        <v>0</v>
      </c>
      <c r="AE19" s="24">
        <f t="shared" si="2"/>
        <v>0</v>
      </c>
      <c r="AF19" s="24">
        <f t="shared" si="2"/>
        <v>0</v>
      </c>
      <c r="AG19" s="24">
        <f t="shared" si="2"/>
        <v>0</v>
      </c>
      <c r="AH19" s="24">
        <f t="shared" si="2"/>
        <v>0</v>
      </c>
      <c r="AI19" s="24">
        <f t="shared" si="2"/>
        <v>0</v>
      </c>
      <c r="AJ19" s="24">
        <f t="shared" si="2"/>
        <v>0</v>
      </c>
      <c r="AK19" s="24">
        <f t="shared" si="2"/>
        <v>0</v>
      </c>
      <c r="AL19" s="24">
        <f t="shared" si="2"/>
        <v>0</v>
      </c>
      <c r="AM19" s="24">
        <f t="shared" si="2"/>
        <v>0</v>
      </c>
      <c r="AN19" s="24">
        <f t="shared" si="2"/>
        <v>0</v>
      </c>
      <c r="AO19" s="24">
        <f t="shared" si="2"/>
        <v>0</v>
      </c>
    </row>
    <row r="20" spans="1:41" ht="13.5">
      <c r="A20" s="13"/>
      <c r="B20" s="22" t="str">
        <f>REPT("|",B19)</f>
        <v>|||</v>
      </c>
      <c r="C20" s="22" t="str">
        <f t="shared" ref="C20:AO20" si="3">REPT("|",C19)</f>
        <v>|||</v>
      </c>
      <c r="D20" s="22" t="str">
        <f t="shared" si="3"/>
        <v>|||</v>
      </c>
      <c r="E20" s="22" t="str">
        <f t="shared" si="3"/>
        <v>|||</v>
      </c>
      <c r="F20" s="22" t="str">
        <f t="shared" si="3"/>
        <v>|||</v>
      </c>
      <c r="G20" s="22" t="str">
        <f t="shared" si="3"/>
        <v>||</v>
      </c>
      <c r="H20" s="22" t="str">
        <f t="shared" si="3"/>
        <v>||</v>
      </c>
      <c r="I20" s="22" t="str">
        <f t="shared" si="3"/>
        <v>||</v>
      </c>
      <c r="J20" s="22" t="str">
        <f t="shared" si="3"/>
        <v>||</v>
      </c>
      <c r="K20" s="22" t="str">
        <f t="shared" si="3"/>
        <v>||||||||||||||||||||||||||||||||||||||||||||||||||</v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2" t="str">
        <f t="shared" si="3"/>
        <v/>
      </c>
      <c r="P20" s="22" t="str">
        <f t="shared" si="3"/>
        <v/>
      </c>
      <c r="Q20" s="22" t="str">
        <f t="shared" si="3"/>
        <v/>
      </c>
      <c r="R20" s="22" t="str">
        <f t="shared" si="3"/>
        <v/>
      </c>
      <c r="S20" s="22" t="str">
        <f t="shared" si="3"/>
        <v/>
      </c>
      <c r="T20" s="22" t="str">
        <f t="shared" si="3"/>
        <v/>
      </c>
      <c r="U20" s="22" t="str">
        <f t="shared" si="3"/>
        <v/>
      </c>
      <c r="V20" s="22" t="str">
        <f t="shared" si="3"/>
        <v/>
      </c>
      <c r="W20" s="22" t="str">
        <f t="shared" si="3"/>
        <v/>
      </c>
      <c r="X20" s="22" t="str">
        <f t="shared" si="3"/>
        <v/>
      </c>
      <c r="Y20" s="22" t="str">
        <f t="shared" si="3"/>
        <v/>
      </c>
      <c r="Z20" s="22" t="str">
        <f t="shared" si="3"/>
        <v/>
      </c>
      <c r="AA20" s="22" t="str">
        <f t="shared" si="3"/>
        <v/>
      </c>
      <c r="AB20" s="22" t="str">
        <f t="shared" si="3"/>
        <v/>
      </c>
      <c r="AC20" s="22" t="str">
        <f t="shared" si="3"/>
        <v/>
      </c>
      <c r="AD20" s="22" t="str">
        <f t="shared" si="3"/>
        <v/>
      </c>
      <c r="AE20" s="22" t="str">
        <f t="shared" si="3"/>
        <v/>
      </c>
      <c r="AF20" s="22" t="str">
        <f t="shared" si="3"/>
        <v/>
      </c>
      <c r="AG20" s="22" t="str">
        <f t="shared" si="3"/>
        <v/>
      </c>
      <c r="AH20" s="22" t="str">
        <f t="shared" si="3"/>
        <v/>
      </c>
      <c r="AI20" s="22" t="str">
        <f t="shared" si="3"/>
        <v/>
      </c>
      <c r="AJ20" s="22" t="str">
        <f t="shared" si="3"/>
        <v/>
      </c>
      <c r="AK20" s="22" t="str">
        <f t="shared" si="3"/>
        <v/>
      </c>
      <c r="AL20" s="22" t="str">
        <f t="shared" si="3"/>
        <v/>
      </c>
      <c r="AM20" s="22" t="str">
        <f t="shared" si="3"/>
        <v/>
      </c>
      <c r="AN20" s="22" t="str">
        <f t="shared" si="3"/>
        <v/>
      </c>
      <c r="AO20" s="22" t="str">
        <f t="shared" si="3"/>
        <v/>
      </c>
    </row>
    <row r="21" spans="1:41" ht="14.25" thickBot="1">
      <c r="A21" s="44">
        <f>FV(B6,B26,,B22)</f>
        <v>-117.50491517424028</v>
      </c>
      <c r="B21" s="43">
        <f>FV($B$6,$B$26-B13,,-B15)</f>
        <v>5.4203417946629262</v>
      </c>
      <c r="C21" s="43">
        <f>FV($B$6,$B$26-C13,,-C15)</f>
        <v>4.9052866920026483</v>
      </c>
      <c r="D21" s="43">
        <f t="shared" ref="D21:E21" si="4">FV($B$6,$B$26-D13,,-D15)</f>
        <v>4.4391734769254736</v>
      </c>
      <c r="E21" s="43">
        <f t="shared" si="4"/>
        <v>4.017351562828483</v>
      </c>
      <c r="F21" s="43">
        <f>PV($B$6,F13-B26,,-F15)</f>
        <v>3.6356122740529258</v>
      </c>
    </row>
    <row r="22" spans="1:41" ht="16.5" thickBot="1">
      <c r="A22" s="14" t="s">
        <v>9</v>
      </c>
      <c r="B22" s="15">
        <f>SUM(B19:AO19)</f>
        <v>78.474231905559463</v>
      </c>
      <c r="E22" s="44"/>
      <c r="F22" s="44">
        <f>+SUM(A21:F21)</f>
        <v>-95.087149373767815</v>
      </c>
    </row>
    <row r="23" spans="1:41" ht="13.5" thickBot="1">
      <c r="D23" s="44"/>
    </row>
    <row r="24" spans="1:41" ht="13.5" thickBot="1">
      <c r="A24" s="16" t="s">
        <v>2</v>
      </c>
      <c r="B24" s="23">
        <f>(B13/$B$8)*B19</f>
        <v>1.9002375296912115</v>
      </c>
      <c r="C24" s="24">
        <f t="shared" ref="C24:AO24" si="5">(C13/$B$8)*C19</f>
        <v>3.6109026692469577</v>
      </c>
      <c r="D24" s="24">
        <f t="shared" si="5"/>
        <v>5.1461795761239308</v>
      </c>
      <c r="E24" s="24">
        <f t="shared" si="5"/>
        <v>6.5193090433874019</v>
      </c>
      <c r="F24" s="24">
        <f t="shared" si="5"/>
        <v>7.7426473199375323</v>
      </c>
      <c r="G24" s="24">
        <f t="shared" si="5"/>
        <v>8.8277214099050241</v>
      </c>
      <c r="H24" s="24">
        <f t="shared" si="5"/>
        <v>9.7852810561100831</v>
      </c>
      <c r="I24" s="24">
        <f t="shared" si="5"/>
        <v>10.62534760079819</v>
      </c>
      <c r="J24" s="24">
        <f t="shared" si="5"/>
        <v>11.357259905841294</v>
      </c>
      <c r="K24" s="24">
        <f t="shared" si="5"/>
        <v>251.78406758793056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24">
        <f t="shared" si="5"/>
        <v>0</v>
      </c>
      <c r="P24" s="24">
        <f t="shared" si="5"/>
        <v>0</v>
      </c>
      <c r="Q24" s="24">
        <f t="shared" si="5"/>
        <v>0</v>
      </c>
      <c r="R24" s="24">
        <f t="shared" si="5"/>
        <v>0</v>
      </c>
      <c r="S24" s="24">
        <f t="shared" si="5"/>
        <v>0</v>
      </c>
      <c r="T24" s="24">
        <f t="shared" si="5"/>
        <v>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24">
        <f t="shared" si="5"/>
        <v>0</v>
      </c>
      <c r="AH24" s="24">
        <f t="shared" si="5"/>
        <v>0</v>
      </c>
      <c r="AI24" s="24">
        <f t="shared" si="5"/>
        <v>0</v>
      </c>
      <c r="AJ24" s="24">
        <f t="shared" si="5"/>
        <v>0</v>
      </c>
      <c r="AK24" s="24">
        <f t="shared" si="5"/>
        <v>0</v>
      </c>
      <c r="AL24" s="24">
        <f t="shared" si="5"/>
        <v>0</v>
      </c>
      <c r="AM24" s="24">
        <f t="shared" si="5"/>
        <v>0</v>
      </c>
      <c r="AN24" s="24">
        <f t="shared" si="5"/>
        <v>0</v>
      </c>
      <c r="AO24" s="24">
        <f t="shared" si="5"/>
        <v>0</v>
      </c>
    </row>
    <row r="25" spans="1:41" ht="13.5" thickBot="1">
      <c r="A25" s="13"/>
    </row>
    <row r="26" spans="1:41" ht="13.5" thickBot="1">
      <c r="A26" s="16" t="s">
        <v>2</v>
      </c>
      <c r="B26" s="20">
        <f>SUM(B24:AO24)/B22</f>
        <v>4.0433521424055288</v>
      </c>
    </row>
    <row r="27" spans="1:41" ht="13.5" thickBot="1">
      <c r="A27" s="13"/>
    </row>
    <row r="28" spans="1:41" ht="13.5" thickBot="1">
      <c r="A28" s="10" t="s">
        <v>3</v>
      </c>
      <c r="B28" s="20">
        <f>+B26*(1/(1+$B$6/$B$8))</f>
        <v>3.8416647433781748</v>
      </c>
      <c r="C28" s="45"/>
    </row>
    <row r="29" spans="1:41">
      <c r="A29" s="13"/>
    </row>
    <row r="30" spans="1:41" ht="13.5" thickBot="1">
      <c r="A30" s="13"/>
    </row>
    <row r="31" spans="1:41" ht="13.5" thickBot="1">
      <c r="A31" s="17" t="s">
        <v>4</v>
      </c>
      <c r="B31" s="23">
        <f>B13*(B13+1)*B19</f>
        <v>7.6009501187648461</v>
      </c>
      <c r="C31" s="24">
        <f t="shared" ref="C31:AO31" si="6">C13*(C13+1)*C19</f>
        <v>21.665416015481746</v>
      </c>
      <c r="D31" s="24">
        <f t="shared" si="6"/>
        <v>41.169436608991447</v>
      </c>
      <c r="E31" s="24">
        <f t="shared" si="6"/>
        <v>65.193090433874019</v>
      </c>
      <c r="F31" s="24">
        <f t="shared" si="6"/>
        <v>92.911767839250388</v>
      </c>
      <c r="G31" s="24">
        <f t="shared" si="6"/>
        <v>123.58809973867034</v>
      </c>
      <c r="H31" s="24">
        <f t="shared" si="6"/>
        <v>156.56449689776133</v>
      </c>
      <c r="I31" s="24">
        <f t="shared" si="6"/>
        <v>191.25625681436742</v>
      </c>
      <c r="J31" s="24">
        <f t="shared" si="6"/>
        <v>227.1451981168259</v>
      </c>
      <c r="K31" s="24">
        <f t="shared" si="6"/>
        <v>5539.2494869344719</v>
      </c>
      <c r="L31" s="24">
        <f t="shared" si="6"/>
        <v>0</v>
      </c>
      <c r="M31" s="24">
        <f t="shared" si="6"/>
        <v>0</v>
      </c>
      <c r="N31" s="24">
        <f t="shared" si="6"/>
        <v>0</v>
      </c>
      <c r="O31" s="24">
        <f t="shared" si="6"/>
        <v>0</v>
      </c>
      <c r="P31" s="24">
        <f t="shared" si="6"/>
        <v>0</v>
      </c>
      <c r="Q31" s="24">
        <f t="shared" si="6"/>
        <v>0</v>
      </c>
      <c r="R31" s="24">
        <f t="shared" si="6"/>
        <v>0</v>
      </c>
      <c r="S31" s="24">
        <f t="shared" si="6"/>
        <v>0</v>
      </c>
      <c r="T31" s="24">
        <f t="shared" si="6"/>
        <v>0</v>
      </c>
      <c r="U31" s="24">
        <f t="shared" si="6"/>
        <v>0</v>
      </c>
      <c r="V31" s="24">
        <f t="shared" si="6"/>
        <v>0</v>
      </c>
      <c r="W31" s="24">
        <f t="shared" si="6"/>
        <v>0</v>
      </c>
      <c r="X31" s="24">
        <f t="shared" si="6"/>
        <v>0</v>
      </c>
      <c r="Y31" s="24">
        <f t="shared" si="6"/>
        <v>0</v>
      </c>
      <c r="Z31" s="24">
        <f t="shared" si="6"/>
        <v>0</v>
      </c>
      <c r="AA31" s="24">
        <f t="shared" si="6"/>
        <v>0</v>
      </c>
      <c r="AB31" s="24">
        <f t="shared" si="6"/>
        <v>0</v>
      </c>
      <c r="AC31" s="24">
        <f t="shared" si="6"/>
        <v>0</v>
      </c>
      <c r="AD31" s="24">
        <f t="shared" si="6"/>
        <v>0</v>
      </c>
      <c r="AE31" s="24">
        <f t="shared" si="6"/>
        <v>0</v>
      </c>
      <c r="AF31" s="24">
        <f t="shared" si="6"/>
        <v>0</v>
      </c>
      <c r="AG31" s="24">
        <f t="shared" si="6"/>
        <v>0</v>
      </c>
      <c r="AH31" s="24">
        <f t="shared" si="6"/>
        <v>0</v>
      </c>
      <c r="AI31" s="24">
        <f t="shared" si="6"/>
        <v>0</v>
      </c>
      <c r="AJ31" s="24">
        <f t="shared" si="6"/>
        <v>0</v>
      </c>
      <c r="AK31" s="24">
        <f t="shared" si="6"/>
        <v>0</v>
      </c>
      <c r="AL31" s="24">
        <f t="shared" si="6"/>
        <v>0</v>
      </c>
      <c r="AM31" s="24">
        <f t="shared" si="6"/>
        <v>0</v>
      </c>
      <c r="AN31" s="24">
        <f t="shared" si="6"/>
        <v>0</v>
      </c>
      <c r="AO31" s="24">
        <f t="shared" si="6"/>
        <v>0</v>
      </c>
    </row>
    <row r="32" spans="1:41" ht="13.5" thickBot="1">
      <c r="A32" s="13"/>
    </row>
    <row r="33" spans="1:5" ht="13.5" thickBot="1">
      <c r="A33" s="17" t="s">
        <v>4</v>
      </c>
      <c r="B33" s="20">
        <f>SUM(B31:U31)*((1/$B$8)^2)*(1/(1+$B$6/$B$8)^2)/B22</f>
        <v>18.596342840292756</v>
      </c>
    </row>
    <row r="34" spans="1:5" ht="13.5" thickBot="1"/>
    <row r="35" spans="1:5" ht="13.5" thickBot="1">
      <c r="A35" s="10" t="s">
        <v>21</v>
      </c>
      <c r="B35" s="20">
        <f>B2-B22</f>
        <v>1.5257680944405365</v>
      </c>
    </row>
    <row r="36" spans="1:5">
      <c r="C36" s="45"/>
      <c r="D36" s="45"/>
    </row>
    <row r="37" spans="1:5">
      <c r="C37" s="45"/>
      <c r="E37" s="18"/>
    </row>
    <row r="38" spans="1:5">
      <c r="C38" s="45"/>
      <c r="E38" s="19"/>
    </row>
    <row r="39" spans="1:5">
      <c r="B39" s="46">
        <f>(112.4*10^6)/3.76</f>
        <v>29893617.021276597</v>
      </c>
      <c r="E39" s="19"/>
    </row>
    <row r="109" spans="1:2">
      <c r="A109" s="1">
        <v>1</v>
      </c>
      <c r="B109" s="1" t="s">
        <v>11</v>
      </c>
    </row>
    <row r="110" spans="1:2">
      <c r="A110" s="1">
        <v>2</v>
      </c>
      <c r="B110" s="1" t="s">
        <v>12</v>
      </c>
    </row>
    <row r="111" spans="1:2">
      <c r="A111" s="1">
        <v>4</v>
      </c>
      <c r="B111" s="1" t="s">
        <v>13</v>
      </c>
    </row>
  </sheetData>
  <conditionalFormatting sqref="B20:B21 C20:F20 I20:AO2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{22196D32-130D-405E-8BE5-565465CB59F6}</x14:id>
        </ext>
      </extLst>
    </cfRule>
  </conditionalFormatting>
  <conditionalFormatting sqref="B13:AO13">
    <cfRule type="expression" dxfId="42" priority="21">
      <formula>$B$8=4</formula>
    </cfRule>
    <cfRule type="expression" dxfId="41" priority="22">
      <formula>$B$8=1</formula>
    </cfRule>
    <cfRule type="expression" dxfId="40" priority="23">
      <formula>$B$8=2</formula>
    </cfRule>
  </conditionalFormatting>
  <conditionalFormatting sqref="C21:F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{6310AD20-737D-4938-B937-2821D63A4A62}</x14:id>
        </ext>
      </extLst>
    </cfRule>
  </conditionalFormatting>
  <conditionalFormatting sqref="C13:AO13">
    <cfRule type="expression" dxfId="39" priority="20">
      <formula>B13&gt;=$B$10*$B$8</formula>
    </cfRule>
  </conditionalFormatting>
  <conditionalFormatting sqref="G15:G31">
    <cfRule type="expression" dxfId="38" priority="19">
      <formula>$G$13&gt;$B$10*$B$8</formula>
    </cfRule>
  </conditionalFormatting>
  <conditionalFormatting sqref="H15:H31">
    <cfRule type="expression" dxfId="37" priority="18">
      <formula>$H$13&gt;$B$10*$B$8</formula>
    </cfRule>
  </conditionalFormatting>
  <conditionalFormatting sqref="I15:I24">
    <cfRule type="expression" dxfId="36" priority="17">
      <formula>$I$13&gt;$B$10*$B$8</formula>
    </cfRule>
  </conditionalFormatting>
  <conditionalFormatting sqref="I31">
    <cfRule type="expression" dxfId="35" priority="16">
      <formula>$I$13&gt;$B$10*$B$8</formula>
    </cfRule>
  </conditionalFormatting>
  <conditionalFormatting sqref="J15:J31">
    <cfRule type="expression" dxfId="34" priority="15">
      <formula>$J$13&gt;$B$10*$B$8</formula>
    </cfRule>
  </conditionalFormatting>
  <conditionalFormatting sqref="K15:K31">
    <cfRule type="expression" dxfId="33" priority="14">
      <formula>$K$13&gt;$B$10*$B$8</formula>
    </cfRule>
  </conditionalFormatting>
  <conditionalFormatting sqref="L15:L31">
    <cfRule type="expression" dxfId="32" priority="13">
      <formula>$L$13&gt;$B$10*$B$8</formula>
    </cfRule>
  </conditionalFormatting>
  <conditionalFormatting sqref="M15:M31">
    <cfRule type="expression" dxfId="31" priority="12">
      <formula>$M$13&gt;$B$10*$B$8</formula>
    </cfRule>
  </conditionalFormatting>
  <conditionalFormatting sqref="N15:N31">
    <cfRule type="expression" dxfId="30" priority="11">
      <formula>$N$13&gt;$B$10*$B$8</formula>
    </cfRule>
  </conditionalFormatting>
  <conditionalFormatting sqref="O15:O31">
    <cfRule type="expression" dxfId="29" priority="10">
      <formula>$O$13&gt;$B$10*$B$8</formula>
    </cfRule>
  </conditionalFormatting>
  <conditionalFormatting sqref="P15:P31">
    <cfRule type="expression" dxfId="28" priority="9">
      <formula>$P$13&gt;$B$10*$B$8</formula>
    </cfRule>
  </conditionalFormatting>
  <conditionalFormatting sqref="Q15:Q31">
    <cfRule type="expression" dxfId="27" priority="8">
      <formula>$Q$13&gt;$B$10*$B$8</formula>
    </cfRule>
  </conditionalFormatting>
  <conditionalFormatting sqref="R15:R31">
    <cfRule type="expression" dxfId="26" priority="7">
      <formula>$R$13&gt;$B$10*$B$8</formula>
    </cfRule>
  </conditionalFormatting>
  <conditionalFormatting sqref="S15:S31">
    <cfRule type="expression" dxfId="25" priority="6">
      <formula>$S$13&gt;$B$10*$B$8</formula>
    </cfRule>
  </conditionalFormatting>
  <conditionalFormatting sqref="T15:T31">
    <cfRule type="expression" dxfId="24" priority="5">
      <formula>$T$13&gt;$B$10*$B$8</formula>
    </cfRule>
  </conditionalFormatting>
  <conditionalFormatting sqref="U15:U31">
    <cfRule type="expression" dxfId="23" priority="4">
      <formula>$U$13&gt;$B$10*$B$8</formula>
    </cfRule>
  </conditionalFormatting>
  <conditionalFormatting sqref="V15:V31">
    <cfRule type="expression" dxfId="22" priority="3">
      <formula>$V$13&gt;$B$10*$B$8</formula>
    </cfRule>
  </conditionalFormatting>
  <conditionalFormatting sqref="W15:W31">
    <cfRule type="expression" dxfId="21" priority="2">
      <formula>$W$13&gt;$B$10*$B$8</formula>
    </cfRule>
  </conditionalFormatting>
  <dataValidations count="1">
    <dataValidation type="list" allowBlank="1" showInputMessage="1" showErrorMessage="1" sqref="B8" xr:uid="{8FBEB7B0-8C66-4872-AAE4-30170AD5E55E}">
      <formula1>$A$109:$A$111</formula1>
    </dataValidation>
  </dataValidations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196D32-130D-405E-8BE5-565465CB5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B20:B21 C20:F20 I20:AO20</xm:sqref>
        </x14:conditionalFormatting>
        <x14:conditionalFormatting xmlns:xm="http://schemas.microsoft.com/office/excel/2006/main">
          <x14:cfRule type="dataBar" id="{6310AD20-737D-4938-B937-2821D63A4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C74E-4022-4E5D-B908-9EA771F286F0}">
  <dimension ref="A1:BC108"/>
  <sheetViews>
    <sheetView topLeftCell="A29" zoomScale="120" zoomScaleNormal="120" workbookViewId="0">
      <selection activeCell="B11" sqref="B11"/>
    </sheetView>
  </sheetViews>
  <sheetFormatPr baseColWidth="10" defaultColWidth="8.7109375" defaultRowHeight="12.75"/>
  <cols>
    <col min="1" max="1" width="29.85546875" style="1" bestFit="1" customWidth="1"/>
    <col min="2" max="200" width="11.42578125" style="1" customWidth="1"/>
    <col min="201" max="16384" width="8.7109375" style="1"/>
  </cols>
  <sheetData>
    <row r="1" spans="1:41" ht="13.5" thickBot="1"/>
    <row r="2" spans="1:41" ht="13.5" thickBot="1">
      <c r="A2" s="2" t="s">
        <v>7</v>
      </c>
      <c r="B2" s="3">
        <v>100</v>
      </c>
    </row>
    <row r="3" spans="1:41" ht="13.5" thickBot="1"/>
    <row r="4" spans="1:41" ht="13.5" thickBot="1">
      <c r="A4" s="2" t="s">
        <v>8</v>
      </c>
      <c r="B4" s="4">
        <f>Bono!B4</f>
        <v>0.08</v>
      </c>
    </row>
    <row r="5" spans="1:41" ht="13.5" thickBot="1"/>
    <row r="6" spans="1:41" ht="13.5" thickBot="1">
      <c r="A6" s="21" t="str">
        <f>VLOOKUP(B8,A106:B108,2)</f>
        <v>TIR anual</v>
      </c>
      <c r="B6" s="5">
        <f>Bono!B6</f>
        <v>0.06</v>
      </c>
    </row>
    <row r="7" spans="1:41" ht="13.5" thickBot="1"/>
    <row r="8" spans="1:41" ht="13.15" customHeight="1" thickBot="1">
      <c r="A8" s="6" t="s">
        <v>0</v>
      </c>
      <c r="B8" s="7">
        <f>Bono!B8</f>
        <v>1</v>
      </c>
    </row>
    <row r="9" spans="1:41" ht="13.5" thickBot="1"/>
    <row r="10" spans="1:41" ht="13.5" thickBot="1">
      <c r="A10" s="2" t="s">
        <v>10</v>
      </c>
      <c r="B10" s="8">
        <f>Bono!B10</f>
        <v>10</v>
      </c>
    </row>
    <row r="12" spans="1:41" ht="13.5" thickBot="1"/>
    <row r="13" spans="1:41" ht="13.5" thickBot="1"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9">
        <v>11</v>
      </c>
      <c r="M13" s="9">
        <v>12</v>
      </c>
      <c r="N13" s="9">
        <v>13</v>
      </c>
      <c r="O13" s="9">
        <v>14</v>
      </c>
      <c r="P13" s="9">
        <v>15</v>
      </c>
      <c r="Q13" s="9">
        <v>16</v>
      </c>
      <c r="R13" s="9">
        <v>17</v>
      </c>
      <c r="S13" s="9">
        <v>18</v>
      </c>
      <c r="T13" s="9">
        <v>19</v>
      </c>
      <c r="U13" s="9">
        <v>20</v>
      </c>
      <c r="V13" s="9">
        <v>21</v>
      </c>
      <c r="W13" s="9">
        <v>22</v>
      </c>
      <c r="X13" s="9">
        <v>23</v>
      </c>
      <c r="Y13" s="9">
        <v>24</v>
      </c>
      <c r="Z13" s="9">
        <v>25</v>
      </c>
      <c r="AA13" s="9">
        <v>26</v>
      </c>
      <c r="AB13" s="9">
        <v>27</v>
      </c>
      <c r="AC13" s="9">
        <v>28</v>
      </c>
      <c r="AD13" s="9">
        <v>29</v>
      </c>
      <c r="AE13" s="9">
        <v>30</v>
      </c>
      <c r="AF13" s="9">
        <v>31</v>
      </c>
      <c r="AG13" s="9">
        <v>32</v>
      </c>
      <c r="AH13" s="9">
        <v>33</v>
      </c>
      <c r="AI13" s="9">
        <v>34</v>
      </c>
      <c r="AJ13" s="9">
        <v>35</v>
      </c>
      <c r="AK13" s="9">
        <v>36</v>
      </c>
      <c r="AL13" s="9">
        <v>37</v>
      </c>
      <c r="AM13" s="9">
        <v>38</v>
      </c>
      <c r="AN13" s="9">
        <v>39</v>
      </c>
      <c r="AO13" s="9">
        <v>40</v>
      </c>
    </row>
    <row r="14" spans="1:41" ht="13.5" thickBot="1"/>
    <row r="15" spans="1:41" ht="13.5" thickBot="1">
      <c r="A15" s="10" t="s">
        <v>1</v>
      </c>
      <c r="B15" s="11">
        <f>IF($B$10*$B$8&gt;B13,$B$4*$B$2/$B$8,IF($B$10*$B$8=B13,$B$4*$B$2/$B$8+$B$2,0))</f>
        <v>8</v>
      </c>
      <c r="C15" s="12">
        <f t="shared" ref="C15:AO15" si="0">IF($B$10*$B$8&gt;C13,$B$4*$B$2/$B$8,IF($B$10*$B$8=C13,$B$4*$B$2/$B$8+$B$2,0))</f>
        <v>8</v>
      </c>
      <c r="D15" s="12">
        <f t="shared" si="0"/>
        <v>8</v>
      </c>
      <c r="E15" s="12">
        <f t="shared" si="0"/>
        <v>8</v>
      </c>
      <c r="F15" s="12">
        <f t="shared" si="0"/>
        <v>8</v>
      </c>
      <c r="G15" s="12">
        <f t="shared" si="0"/>
        <v>8</v>
      </c>
      <c r="H15" s="12">
        <f t="shared" si="0"/>
        <v>8</v>
      </c>
      <c r="I15" s="12">
        <f t="shared" si="0"/>
        <v>8</v>
      </c>
      <c r="J15" s="12">
        <f t="shared" si="0"/>
        <v>8</v>
      </c>
      <c r="K15" s="12">
        <f t="shared" si="0"/>
        <v>108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2">
        <f t="shared" si="0"/>
        <v>0</v>
      </c>
      <c r="Q15" s="12">
        <f t="shared" si="0"/>
        <v>0</v>
      </c>
      <c r="R15" s="12">
        <f t="shared" si="0"/>
        <v>0</v>
      </c>
      <c r="S15" s="12">
        <f t="shared" si="0"/>
        <v>0</v>
      </c>
      <c r="T15" s="12">
        <f t="shared" si="0"/>
        <v>0</v>
      </c>
      <c r="U15" s="12">
        <f t="shared" si="0"/>
        <v>0</v>
      </c>
      <c r="V15" s="12">
        <f t="shared" si="0"/>
        <v>0</v>
      </c>
      <c r="W15" s="12">
        <f t="shared" si="0"/>
        <v>0</v>
      </c>
      <c r="X15" s="12">
        <f t="shared" si="0"/>
        <v>0</v>
      </c>
      <c r="Y15" s="12">
        <f t="shared" si="0"/>
        <v>0</v>
      </c>
      <c r="Z15" s="12">
        <f t="shared" si="0"/>
        <v>0</v>
      </c>
      <c r="AA15" s="12">
        <f t="shared" si="0"/>
        <v>0</v>
      </c>
      <c r="AB15" s="12">
        <f t="shared" si="0"/>
        <v>0</v>
      </c>
      <c r="AC15" s="12">
        <f t="shared" si="0"/>
        <v>0</v>
      </c>
      <c r="AD15" s="12">
        <f t="shared" si="0"/>
        <v>0</v>
      </c>
      <c r="AE15" s="12">
        <f t="shared" si="0"/>
        <v>0</v>
      </c>
      <c r="AF15" s="12">
        <f t="shared" si="0"/>
        <v>0</v>
      </c>
      <c r="AG15" s="12">
        <f t="shared" si="0"/>
        <v>0</v>
      </c>
      <c r="AH15" s="12">
        <f t="shared" si="0"/>
        <v>0</v>
      </c>
      <c r="AI15" s="12">
        <f t="shared" si="0"/>
        <v>0</v>
      </c>
      <c r="AJ15" s="12">
        <f t="shared" si="0"/>
        <v>0</v>
      </c>
      <c r="AK15" s="12">
        <f t="shared" si="0"/>
        <v>0</v>
      </c>
      <c r="AL15" s="12">
        <f t="shared" si="0"/>
        <v>0</v>
      </c>
      <c r="AM15" s="12">
        <f t="shared" si="0"/>
        <v>0</v>
      </c>
      <c r="AN15" s="12">
        <f t="shared" si="0"/>
        <v>0</v>
      </c>
      <c r="AO15" s="12">
        <f t="shared" si="0"/>
        <v>0</v>
      </c>
    </row>
    <row r="16" spans="1:41" ht="13.5" thickBot="1">
      <c r="A16" s="13"/>
    </row>
    <row r="17" spans="1:55" ht="13.5" thickBot="1">
      <c r="A17" s="10" t="s">
        <v>5</v>
      </c>
      <c r="B17" s="25">
        <f>1/(1+$B$6/$B$8)^B13</f>
        <v>0.94339622641509424</v>
      </c>
      <c r="C17" s="26">
        <f t="shared" ref="C17:AO17" si="1">1/(1+$B$6/$B$8)^C13</f>
        <v>0.88999644001423983</v>
      </c>
      <c r="D17" s="26">
        <f t="shared" si="1"/>
        <v>0.8396192830323016</v>
      </c>
      <c r="E17" s="26">
        <f t="shared" si="1"/>
        <v>0.79209366323802044</v>
      </c>
      <c r="F17" s="26">
        <f t="shared" si="1"/>
        <v>0.74725817286605689</v>
      </c>
      <c r="G17" s="12">
        <f t="shared" si="1"/>
        <v>0.70496054043967626</v>
      </c>
      <c r="H17" s="26">
        <f t="shared" si="1"/>
        <v>0.66505711362233599</v>
      </c>
      <c r="I17" s="26">
        <f t="shared" si="1"/>
        <v>0.62741237134182648</v>
      </c>
      <c r="J17" s="26">
        <f t="shared" si="1"/>
        <v>0.59189846353002495</v>
      </c>
      <c r="K17" s="26">
        <f t="shared" si="1"/>
        <v>0.55839477691511785</v>
      </c>
      <c r="L17" s="26">
        <f t="shared" si="1"/>
        <v>0.52678752539162055</v>
      </c>
      <c r="M17" s="26">
        <f t="shared" si="1"/>
        <v>0.4969693635770005</v>
      </c>
      <c r="N17" s="26">
        <f t="shared" si="1"/>
        <v>0.46883902224245327</v>
      </c>
      <c r="O17" s="26">
        <f t="shared" si="1"/>
        <v>0.44230096437967292</v>
      </c>
      <c r="P17" s="26">
        <f t="shared" si="1"/>
        <v>0.41726506073554037</v>
      </c>
      <c r="Q17" s="26">
        <f t="shared" si="1"/>
        <v>0.39364628371277405</v>
      </c>
      <c r="R17" s="26">
        <f t="shared" si="1"/>
        <v>0.37136441859695657</v>
      </c>
      <c r="S17" s="26">
        <f t="shared" si="1"/>
        <v>0.35034379112920433</v>
      </c>
      <c r="T17" s="26">
        <f t="shared" si="1"/>
        <v>0.3305130104992493</v>
      </c>
      <c r="U17" s="26">
        <f t="shared" si="1"/>
        <v>0.31180472688608429</v>
      </c>
      <c r="V17" s="26">
        <f t="shared" si="1"/>
        <v>0.29415540272272095</v>
      </c>
      <c r="W17" s="26">
        <f t="shared" si="1"/>
        <v>0.27750509690822728</v>
      </c>
      <c r="X17" s="26">
        <f t="shared" si="1"/>
        <v>0.26179726123417668</v>
      </c>
      <c r="Y17" s="26">
        <f t="shared" si="1"/>
        <v>0.24697854833412897</v>
      </c>
      <c r="Z17" s="26">
        <f t="shared" si="1"/>
        <v>0.23299863050389524</v>
      </c>
      <c r="AA17" s="26">
        <f t="shared" si="1"/>
        <v>0.21981002877725966</v>
      </c>
      <c r="AB17" s="26">
        <f t="shared" si="1"/>
        <v>0.20736795167666003</v>
      </c>
      <c r="AC17" s="26">
        <f t="shared" si="1"/>
        <v>0.1956301430911887</v>
      </c>
      <c r="AD17" s="26">
        <f t="shared" si="1"/>
        <v>0.18455673876527234</v>
      </c>
      <c r="AE17" s="26">
        <f t="shared" si="1"/>
        <v>0.17411013091063426</v>
      </c>
      <c r="AF17" s="26">
        <f t="shared" si="1"/>
        <v>0.16425484048173042</v>
      </c>
      <c r="AG17" s="26">
        <f t="shared" si="1"/>
        <v>0.15495739668087777</v>
      </c>
      <c r="AH17" s="26">
        <f t="shared" si="1"/>
        <v>0.14618622328384695</v>
      </c>
      <c r="AI17" s="26">
        <f t="shared" si="1"/>
        <v>0.1379115313998556</v>
      </c>
      <c r="AJ17" s="26">
        <f t="shared" si="1"/>
        <v>0.13010521830175056</v>
      </c>
      <c r="AK17" s="26">
        <f t="shared" si="1"/>
        <v>0.12274077198278353</v>
      </c>
      <c r="AL17" s="26">
        <f t="shared" si="1"/>
        <v>0.11579318111583352</v>
      </c>
      <c r="AM17" s="26">
        <f t="shared" si="1"/>
        <v>0.10923885010927689</v>
      </c>
      <c r="AN17" s="26">
        <f t="shared" si="1"/>
        <v>0.10305551897101592</v>
      </c>
      <c r="AO17" s="26">
        <f t="shared" si="1"/>
        <v>9.7222187708505589E-2</v>
      </c>
    </row>
    <row r="18" spans="1:55" ht="13.5" thickBot="1">
      <c r="A18" s="13"/>
    </row>
    <row r="19" spans="1:55" ht="13.5" thickBot="1">
      <c r="A19" s="10" t="s">
        <v>6</v>
      </c>
      <c r="B19" s="23">
        <f>B15*B17</f>
        <v>7.5471698113207539</v>
      </c>
      <c r="C19" s="24">
        <f t="shared" ref="C19:AO19" si="2">C15*C17</f>
        <v>7.1199715201139187</v>
      </c>
      <c r="D19" s="24">
        <f t="shared" si="2"/>
        <v>6.7169542642584128</v>
      </c>
      <c r="E19" s="24">
        <f t="shared" si="2"/>
        <v>6.3367493059041635</v>
      </c>
      <c r="F19" s="24">
        <f t="shared" si="2"/>
        <v>5.9780653829284551</v>
      </c>
      <c r="G19" s="12">
        <f t="shared" si="2"/>
        <v>5.6396843235174101</v>
      </c>
      <c r="H19" s="24">
        <f t="shared" si="2"/>
        <v>5.3204569089786879</v>
      </c>
      <c r="I19" s="24">
        <f t="shared" si="2"/>
        <v>5.0192989707346118</v>
      </c>
      <c r="J19" s="24">
        <f t="shared" si="2"/>
        <v>4.7351877082401996</v>
      </c>
      <c r="K19" s="24">
        <f t="shared" si="2"/>
        <v>60.306635906832724</v>
      </c>
      <c r="L19" s="24">
        <f t="shared" si="2"/>
        <v>0</v>
      </c>
      <c r="M19" s="24">
        <f t="shared" si="2"/>
        <v>0</v>
      </c>
      <c r="N19" s="24">
        <f t="shared" si="2"/>
        <v>0</v>
      </c>
      <c r="O19" s="24">
        <f t="shared" si="2"/>
        <v>0</v>
      </c>
      <c r="P19" s="24">
        <f t="shared" si="2"/>
        <v>0</v>
      </c>
      <c r="Q19" s="24">
        <f t="shared" si="2"/>
        <v>0</v>
      </c>
      <c r="R19" s="24">
        <f t="shared" si="2"/>
        <v>0</v>
      </c>
      <c r="S19" s="24">
        <f t="shared" si="2"/>
        <v>0</v>
      </c>
      <c r="T19" s="24">
        <f t="shared" si="2"/>
        <v>0</v>
      </c>
      <c r="U19" s="24">
        <f t="shared" si="2"/>
        <v>0</v>
      </c>
      <c r="V19" s="24">
        <f t="shared" si="2"/>
        <v>0</v>
      </c>
      <c r="W19" s="24">
        <f t="shared" si="2"/>
        <v>0</v>
      </c>
      <c r="X19" s="24">
        <f t="shared" si="2"/>
        <v>0</v>
      </c>
      <c r="Y19" s="24">
        <f t="shared" si="2"/>
        <v>0</v>
      </c>
      <c r="Z19" s="24">
        <f t="shared" si="2"/>
        <v>0</v>
      </c>
      <c r="AA19" s="24">
        <f t="shared" si="2"/>
        <v>0</v>
      </c>
      <c r="AB19" s="24">
        <f t="shared" si="2"/>
        <v>0</v>
      </c>
      <c r="AC19" s="24">
        <f t="shared" si="2"/>
        <v>0</v>
      </c>
      <c r="AD19" s="24">
        <f t="shared" si="2"/>
        <v>0</v>
      </c>
      <c r="AE19" s="24">
        <f t="shared" si="2"/>
        <v>0</v>
      </c>
      <c r="AF19" s="24">
        <f t="shared" si="2"/>
        <v>0</v>
      </c>
      <c r="AG19" s="24">
        <f t="shared" si="2"/>
        <v>0</v>
      </c>
      <c r="AH19" s="24">
        <f t="shared" si="2"/>
        <v>0</v>
      </c>
      <c r="AI19" s="24">
        <f t="shared" si="2"/>
        <v>0</v>
      </c>
      <c r="AJ19" s="24">
        <f t="shared" si="2"/>
        <v>0</v>
      </c>
      <c r="AK19" s="24">
        <f t="shared" si="2"/>
        <v>0</v>
      </c>
      <c r="AL19" s="24">
        <f t="shared" si="2"/>
        <v>0</v>
      </c>
      <c r="AM19" s="24">
        <f t="shared" si="2"/>
        <v>0</v>
      </c>
      <c r="AN19" s="24">
        <f t="shared" si="2"/>
        <v>0</v>
      </c>
      <c r="AO19" s="24">
        <f t="shared" si="2"/>
        <v>0</v>
      </c>
    </row>
    <row r="20" spans="1:55" ht="13.5">
      <c r="A20" s="13"/>
      <c r="B20" s="22" t="str">
        <f>REPT("|",B19)</f>
        <v>|||||||</v>
      </c>
      <c r="C20" s="22" t="str">
        <f t="shared" ref="C20:AO20" si="3">REPT("|",C19)</f>
        <v>|||||||</v>
      </c>
      <c r="D20" s="22" t="str">
        <f t="shared" si="3"/>
        <v>||||||</v>
      </c>
      <c r="E20" s="22" t="str">
        <f t="shared" si="3"/>
        <v>||||||</v>
      </c>
      <c r="F20" s="22" t="str">
        <f t="shared" si="3"/>
        <v>|||||</v>
      </c>
      <c r="G20" s="22" t="str">
        <f t="shared" si="3"/>
        <v>|||||</v>
      </c>
      <c r="H20" s="22" t="str">
        <f t="shared" si="3"/>
        <v>|||||</v>
      </c>
      <c r="I20" s="22" t="str">
        <f t="shared" si="3"/>
        <v>|||||</v>
      </c>
      <c r="J20" s="22" t="str">
        <f t="shared" si="3"/>
        <v>||||</v>
      </c>
      <c r="K20" s="22" t="str">
        <f t="shared" si="3"/>
        <v>||||||||||||||||||||||||||||||||||||||||||||||||||||||||||||</v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2" t="str">
        <f t="shared" si="3"/>
        <v/>
      </c>
      <c r="P20" s="22" t="str">
        <f t="shared" si="3"/>
        <v/>
      </c>
      <c r="Q20" s="22" t="str">
        <f t="shared" si="3"/>
        <v/>
      </c>
      <c r="R20" s="22" t="str">
        <f t="shared" si="3"/>
        <v/>
      </c>
      <c r="S20" s="22" t="str">
        <f t="shared" si="3"/>
        <v/>
      </c>
      <c r="T20" s="22" t="str">
        <f t="shared" si="3"/>
        <v/>
      </c>
      <c r="U20" s="22" t="str">
        <f t="shared" si="3"/>
        <v/>
      </c>
      <c r="V20" s="22" t="str">
        <f t="shared" si="3"/>
        <v/>
      </c>
      <c r="W20" s="22" t="str">
        <f t="shared" si="3"/>
        <v/>
      </c>
      <c r="X20" s="22" t="str">
        <f t="shared" si="3"/>
        <v/>
      </c>
      <c r="Y20" s="22" t="str">
        <f t="shared" si="3"/>
        <v/>
      </c>
      <c r="Z20" s="22" t="str">
        <f t="shared" si="3"/>
        <v/>
      </c>
      <c r="AA20" s="22" t="str">
        <f t="shared" si="3"/>
        <v/>
      </c>
      <c r="AB20" s="22" t="str">
        <f t="shared" si="3"/>
        <v/>
      </c>
      <c r="AC20" s="22" t="str">
        <f t="shared" si="3"/>
        <v/>
      </c>
      <c r="AD20" s="22" t="str">
        <f t="shared" si="3"/>
        <v/>
      </c>
      <c r="AE20" s="22" t="str">
        <f t="shared" si="3"/>
        <v/>
      </c>
      <c r="AF20" s="22" t="str">
        <f t="shared" si="3"/>
        <v/>
      </c>
      <c r="AG20" s="22" t="str">
        <f t="shared" si="3"/>
        <v/>
      </c>
      <c r="AH20" s="22" t="str">
        <f t="shared" si="3"/>
        <v/>
      </c>
      <c r="AI20" s="22" t="str">
        <f t="shared" si="3"/>
        <v/>
      </c>
      <c r="AJ20" s="22" t="str">
        <f t="shared" si="3"/>
        <v/>
      </c>
      <c r="AK20" s="22" t="str">
        <f t="shared" si="3"/>
        <v/>
      </c>
      <c r="AL20" s="22" t="str">
        <f t="shared" si="3"/>
        <v/>
      </c>
      <c r="AM20" s="22" t="str">
        <f t="shared" si="3"/>
        <v/>
      </c>
      <c r="AN20" s="22" t="str">
        <f t="shared" si="3"/>
        <v/>
      </c>
      <c r="AO20" s="22" t="str">
        <f t="shared" si="3"/>
        <v/>
      </c>
    </row>
    <row r="21" spans="1:55" ht="14.25" thickBot="1">
      <c r="A21" s="13"/>
      <c r="B21" s="22"/>
      <c r="E21" s="22"/>
    </row>
    <row r="22" spans="1:55" ht="16.5" thickBot="1">
      <c r="A22" s="14" t="s">
        <v>9</v>
      </c>
      <c r="B22" s="15">
        <f>SUM(B19:AO19)</f>
        <v>114.72017410282933</v>
      </c>
    </row>
    <row r="23" spans="1:55" ht="13.5" thickBot="1"/>
    <row r="24" spans="1:55" ht="13.5" thickBot="1">
      <c r="A24" s="16" t="s">
        <v>2</v>
      </c>
      <c r="B24" s="23">
        <f>(B13/$B$8)*B19</f>
        <v>7.5471698113207539</v>
      </c>
      <c r="C24" s="24">
        <f t="shared" ref="C24:AO24" si="4">(C13/$B$8)*C19</f>
        <v>14.239943040227837</v>
      </c>
      <c r="D24" s="24">
        <f t="shared" si="4"/>
        <v>20.150862792775239</v>
      </c>
      <c r="E24" s="24">
        <f t="shared" si="4"/>
        <v>25.346997223616654</v>
      </c>
      <c r="F24" s="24">
        <f t="shared" si="4"/>
        <v>29.890326914642277</v>
      </c>
      <c r="G24" s="24">
        <f t="shared" si="4"/>
        <v>33.838105941104459</v>
      </c>
      <c r="H24" s="24">
        <f t="shared" si="4"/>
        <v>37.243198362850819</v>
      </c>
      <c r="I24" s="24">
        <f t="shared" si="4"/>
        <v>40.154391765876895</v>
      </c>
      <c r="J24" s="24">
        <f t="shared" si="4"/>
        <v>42.616689374161794</v>
      </c>
      <c r="K24" s="24">
        <f t="shared" si="4"/>
        <v>603.0663590683273</v>
      </c>
      <c r="L24" s="24">
        <f t="shared" si="4"/>
        <v>0</v>
      </c>
      <c r="M24" s="24">
        <f t="shared" si="4"/>
        <v>0</v>
      </c>
      <c r="N24" s="24">
        <f t="shared" si="4"/>
        <v>0</v>
      </c>
      <c r="O24" s="24">
        <f t="shared" si="4"/>
        <v>0</v>
      </c>
      <c r="P24" s="24">
        <f t="shared" si="4"/>
        <v>0</v>
      </c>
      <c r="Q24" s="24">
        <f t="shared" si="4"/>
        <v>0</v>
      </c>
      <c r="R24" s="24">
        <f t="shared" si="4"/>
        <v>0</v>
      </c>
      <c r="S24" s="24">
        <f t="shared" si="4"/>
        <v>0</v>
      </c>
      <c r="T24" s="24">
        <f t="shared" si="4"/>
        <v>0</v>
      </c>
      <c r="U24" s="24">
        <f t="shared" si="4"/>
        <v>0</v>
      </c>
      <c r="V24" s="24">
        <f t="shared" si="4"/>
        <v>0</v>
      </c>
      <c r="W24" s="24">
        <f t="shared" si="4"/>
        <v>0</v>
      </c>
      <c r="X24" s="24">
        <f t="shared" si="4"/>
        <v>0</v>
      </c>
      <c r="Y24" s="24">
        <f t="shared" si="4"/>
        <v>0</v>
      </c>
      <c r="Z24" s="24">
        <f t="shared" si="4"/>
        <v>0</v>
      </c>
      <c r="AA24" s="24">
        <f t="shared" si="4"/>
        <v>0</v>
      </c>
      <c r="AB24" s="24">
        <f t="shared" si="4"/>
        <v>0</v>
      </c>
      <c r="AC24" s="24">
        <f t="shared" si="4"/>
        <v>0</v>
      </c>
      <c r="AD24" s="24">
        <f t="shared" si="4"/>
        <v>0</v>
      </c>
      <c r="AE24" s="24">
        <f t="shared" si="4"/>
        <v>0</v>
      </c>
      <c r="AF24" s="24">
        <f t="shared" si="4"/>
        <v>0</v>
      </c>
      <c r="AG24" s="24">
        <f t="shared" si="4"/>
        <v>0</v>
      </c>
      <c r="AH24" s="24">
        <f t="shared" si="4"/>
        <v>0</v>
      </c>
      <c r="AI24" s="24">
        <f t="shared" si="4"/>
        <v>0</v>
      </c>
      <c r="AJ24" s="24">
        <f t="shared" si="4"/>
        <v>0</v>
      </c>
      <c r="AK24" s="24">
        <f t="shared" si="4"/>
        <v>0</v>
      </c>
      <c r="AL24" s="24">
        <f t="shared" si="4"/>
        <v>0</v>
      </c>
      <c r="AM24" s="24">
        <f t="shared" si="4"/>
        <v>0</v>
      </c>
      <c r="AN24" s="24">
        <f t="shared" si="4"/>
        <v>0</v>
      </c>
      <c r="AO24" s="24">
        <f t="shared" si="4"/>
        <v>0</v>
      </c>
    </row>
    <row r="25" spans="1:55" ht="13.5" thickBot="1">
      <c r="A25" s="13"/>
    </row>
    <row r="26" spans="1:55" ht="13.5" thickBot="1">
      <c r="A26" s="16" t="s">
        <v>2</v>
      </c>
      <c r="B26" s="20">
        <f>SUM(B24:AO24)/B22</f>
        <v>7.4450204680594156</v>
      </c>
    </row>
    <row r="27" spans="1:55" ht="13.5" thickBot="1">
      <c r="A27" s="13"/>
    </row>
    <row r="28" spans="1:55" ht="13.5" thickBot="1">
      <c r="A28" s="10" t="s">
        <v>3</v>
      </c>
      <c r="B28" s="20">
        <f>+B26*(1/(1+$B$6/$B$8))</f>
        <v>7.0236042151503915</v>
      </c>
    </row>
    <row r="29" spans="1:55" ht="13.5" thickBot="1">
      <c r="A29" s="13"/>
    </row>
    <row r="30" spans="1:55" ht="27.75" thickBot="1">
      <c r="A30" s="27" t="s">
        <v>14</v>
      </c>
      <c r="B30" s="30">
        <f>IF(B13/$B$8&lt;=$B$26,B15*(1+$B$6/$B$8)^(($B$26-B13/$B$8)*$B$8),0)</f>
        <v>11.646268720288557</v>
      </c>
      <c r="C30" s="31">
        <f t="shared" ref="C30:BC30" si="5">IF(C13/$B$8&lt;=$B$26,C15*(1+$B$6/$B$8)^(($B$26-C13/$B$8)*$B$8),0)</f>
        <v>10.987045962536373</v>
      </c>
      <c r="D30" s="31">
        <f t="shared" si="5"/>
        <v>10.365137700506011</v>
      </c>
      <c r="E30" s="31">
        <f t="shared" si="5"/>
        <v>9.7784317929301992</v>
      </c>
      <c r="F30" s="31">
        <f t="shared" si="5"/>
        <v>9.2249356537077354</v>
      </c>
      <c r="G30" s="31">
        <f t="shared" si="5"/>
        <v>8.7027694846299379</v>
      </c>
      <c r="H30" s="31">
        <f t="shared" si="5"/>
        <v>8.210159891160318</v>
      </c>
      <c r="I30" s="31">
        <f t="shared" si="5"/>
        <v>0</v>
      </c>
      <c r="J30" s="31">
        <f t="shared" si="5"/>
        <v>0</v>
      </c>
      <c r="K30" s="31">
        <f t="shared" si="5"/>
        <v>0</v>
      </c>
      <c r="L30" s="31">
        <f t="shared" si="5"/>
        <v>0</v>
      </c>
      <c r="M30" s="31">
        <f t="shared" si="5"/>
        <v>0</v>
      </c>
      <c r="N30" s="31">
        <f t="shared" si="5"/>
        <v>0</v>
      </c>
      <c r="O30" s="31">
        <f t="shared" si="5"/>
        <v>0</v>
      </c>
      <c r="P30" s="31">
        <f t="shared" si="5"/>
        <v>0</v>
      </c>
      <c r="Q30" s="31">
        <f t="shared" si="5"/>
        <v>0</v>
      </c>
      <c r="R30" s="31">
        <f t="shared" si="5"/>
        <v>0</v>
      </c>
      <c r="S30" s="31">
        <f t="shared" si="5"/>
        <v>0</v>
      </c>
      <c r="T30" s="31">
        <f t="shared" si="5"/>
        <v>0</v>
      </c>
      <c r="U30" s="31">
        <f t="shared" si="5"/>
        <v>0</v>
      </c>
      <c r="V30" s="31">
        <f t="shared" si="5"/>
        <v>0</v>
      </c>
      <c r="W30" s="31">
        <f t="shared" si="5"/>
        <v>0</v>
      </c>
      <c r="X30" s="31">
        <f t="shared" si="5"/>
        <v>0</v>
      </c>
      <c r="Y30" s="31">
        <f t="shared" si="5"/>
        <v>0</v>
      </c>
      <c r="Z30" s="31">
        <f t="shared" si="5"/>
        <v>0</v>
      </c>
      <c r="AA30" s="31">
        <f t="shared" si="5"/>
        <v>0</v>
      </c>
      <c r="AB30" s="31">
        <f t="shared" si="5"/>
        <v>0</v>
      </c>
      <c r="AC30" s="31">
        <f t="shared" si="5"/>
        <v>0</v>
      </c>
      <c r="AD30" s="31">
        <f t="shared" si="5"/>
        <v>0</v>
      </c>
      <c r="AE30" s="31">
        <f t="shared" si="5"/>
        <v>0</v>
      </c>
      <c r="AF30" s="31">
        <f t="shared" si="5"/>
        <v>0</v>
      </c>
      <c r="AG30" s="31">
        <f t="shared" si="5"/>
        <v>0</v>
      </c>
      <c r="AH30" s="31">
        <f t="shared" si="5"/>
        <v>0</v>
      </c>
      <c r="AI30" s="31">
        <f t="shared" si="5"/>
        <v>0</v>
      </c>
      <c r="AJ30" s="31">
        <f t="shared" si="5"/>
        <v>0</v>
      </c>
      <c r="AK30" s="31">
        <f t="shared" si="5"/>
        <v>0</v>
      </c>
      <c r="AL30" s="31">
        <f t="shared" si="5"/>
        <v>0</v>
      </c>
      <c r="AM30" s="31">
        <f t="shared" si="5"/>
        <v>0</v>
      </c>
      <c r="AN30" s="31">
        <f t="shared" si="5"/>
        <v>0</v>
      </c>
      <c r="AO30" s="32">
        <f t="shared" si="5"/>
        <v>0</v>
      </c>
      <c r="AP30" s="28">
        <f t="shared" si="5"/>
        <v>0</v>
      </c>
      <c r="AQ30" s="28">
        <f t="shared" si="5"/>
        <v>0</v>
      </c>
      <c r="AR30" s="28">
        <f t="shared" si="5"/>
        <v>0</v>
      </c>
      <c r="AS30" s="28">
        <f t="shared" si="5"/>
        <v>0</v>
      </c>
      <c r="AT30" s="28">
        <f t="shared" si="5"/>
        <v>0</v>
      </c>
      <c r="AU30" s="28">
        <f t="shared" si="5"/>
        <v>0</v>
      </c>
      <c r="AV30" s="28">
        <f t="shared" si="5"/>
        <v>0</v>
      </c>
      <c r="AW30" s="28">
        <f t="shared" si="5"/>
        <v>0</v>
      </c>
      <c r="AX30" s="28">
        <f t="shared" si="5"/>
        <v>0</v>
      </c>
      <c r="AY30" s="28">
        <f t="shared" si="5"/>
        <v>0</v>
      </c>
      <c r="AZ30" s="28">
        <f t="shared" si="5"/>
        <v>0</v>
      </c>
      <c r="BA30" s="28">
        <f t="shared" si="5"/>
        <v>0</v>
      </c>
      <c r="BB30" s="28">
        <f t="shared" si="5"/>
        <v>0</v>
      </c>
      <c r="BC30" s="28">
        <f t="shared" si="5"/>
        <v>0</v>
      </c>
    </row>
    <row r="31" spans="1:55" ht="13.5" thickBot="1"/>
    <row r="32" spans="1:55" ht="16.5" thickBot="1">
      <c r="A32" s="29" t="s">
        <v>15</v>
      </c>
      <c r="B32" s="33">
        <f>SUM(B30:BC30)</f>
        <v>68.914749205759136</v>
      </c>
    </row>
    <row r="33" spans="1:55" ht="13.5" thickBot="1"/>
    <row r="34" spans="1:55" ht="29.65" customHeight="1" thickBot="1">
      <c r="A34" s="34" t="s">
        <v>16</v>
      </c>
      <c r="B34" s="35">
        <f>IF(B13/$B$8&gt;$B$26,B15/(1+$B$6/$B$8)^((B13/$B$8-$B$26)*$B$8),0)</f>
        <v>0</v>
      </c>
      <c r="C34" s="36">
        <f t="shared" ref="C34:BC34" si="6">IF(C13/$B$8&gt;$B$26,C15/(1+$B$6/$B$8)^((C13/$B$8-$B$26)*$B$8),0)</f>
        <v>0</v>
      </c>
      <c r="D34" s="36">
        <f t="shared" si="6"/>
        <v>0</v>
      </c>
      <c r="E34" s="36">
        <f t="shared" si="6"/>
        <v>0</v>
      </c>
      <c r="F34" s="36">
        <f t="shared" si="6"/>
        <v>0</v>
      </c>
      <c r="G34" s="36">
        <f t="shared" si="6"/>
        <v>0</v>
      </c>
      <c r="H34" s="36">
        <f t="shared" si="6"/>
        <v>0</v>
      </c>
      <c r="I34" s="36">
        <f t="shared" si="6"/>
        <v>7.745433859585205</v>
      </c>
      <c r="J34" s="36">
        <f t="shared" si="6"/>
        <v>7.3070130750803823</v>
      </c>
      <c r="K34" s="36">
        <f t="shared" si="6"/>
        <v>93.061015578853926</v>
      </c>
      <c r="L34" s="36">
        <f t="shared" si="6"/>
        <v>0</v>
      </c>
      <c r="M34" s="36">
        <f t="shared" si="6"/>
        <v>0</v>
      </c>
      <c r="N34" s="36">
        <f t="shared" si="6"/>
        <v>0</v>
      </c>
      <c r="O34" s="36">
        <f t="shared" si="6"/>
        <v>0</v>
      </c>
      <c r="P34" s="36">
        <f t="shared" si="6"/>
        <v>0</v>
      </c>
      <c r="Q34" s="36">
        <f t="shared" si="6"/>
        <v>0</v>
      </c>
      <c r="R34" s="36">
        <f t="shared" si="6"/>
        <v>0</v>
      </c>
      <c r="S34" s="36">
        <f t="shared" si="6"/>
        <v>0</v>
      </c>
      <c r="T34" s="36">
        <f t="shared" si="6"/>
        <v>0</v>
      </c>
      <c r="U34" s="36">
        <f t="shared" si="6"/>
        <v>0</v>
      </c>
      <c r="V34" s="36">
        <f t="shared" si="6"/>
        <v>0</v>
      </c>
      <c r="W34" s="36">
        <f t="shared" si="6"/>
        <v>0</v>
      </c>
      <c r="X34" s="36">
        <f t="shared" si="6"/>
        <v>0</v>
      </c>
      <c r="Y34" s="36">
        <f t="shared" si="6"/>
        <v>0</v>
      </c>
      <c r="Z34" s="36">
        <f t="shared" si="6"/>
        <v>0</v>
      </c>
      <c r="AA34" s="36">
        <f t="shared" si="6"/>
        <v>0</v>
      </c>
      <c r="AB34" s="36">
        <f t="shared" si="6"/>
        <v>0</v>
      </c>
      <c r="AC34" s="36">
        <f t="shared" si="6"/>
        <v>0</v>
      </c>
      <c r="AD34" s="36">
        <f t="shared" si="6"/>
        <v>0</v>
      </c>
      <c r="AE34" s="36">
        <f t="shared" si="6"/>
        <v>0</v>
      </c>
      <c r="AF34" s="36">
        <f t="shared" si="6"/>
        <v>0</v>
      </c>
      <c r="AG34" s="36">
        <f t="shared" si="6"/>
        <v>0</v>
      </c>
      <c r="AH34" s="36">
        <f t="shared" si="6"/>
        <v>0</v>
      </c>
      <c r="AI34" s="36">
        <f t="shared" si="6"/>
        <v>0</v>
      </c>
      <c r="AJ34" s="36">
        <f t="shared" si="6"/>
        <v>0</v>
      </c>
      <c r="AK34" s="36">
        <f t="shared" si="6"/>
        <v>0</v>
      </c>
      <c r="AL34" s="36">
        <f t="shared" si="6"/>
        <v>0</v>
      </c>
      <c r="AM34" s="36">
        <f t="shared" si="6"/>
        <v>0</v>
      </c>
      <c r="AN34" s="36">
        <f t="shared" si="6"/>
        <v>0</v>
      </c>
      <c r="AO34" s="37">
        <f t="shared" si="6"/>
        <v>0</v>
      </c>
      <c r="AP34" s="28">
        <f t="shared" si="6"/>
        <v>0</v>
      </c>
      <c r="AQ34" s="28">
        <f t="shared" si="6"/>
        <v>0</v>
      </c>
      <c r="AR34" s="28">
        <f t="shared" si="6"/>
        <v>0</v>
      </c>
      <c r="AS34" s="28">
        <f t="shared" si="6"/>
        <v>0</v>
      </c>
      <c r="AT34" s="28">
        <f t="shared" si="6"/>
        <v>0</v>
      </c>
      <c r="AU34" s="28">
        <f t="shared" si="6"/>
        <v>0</v>
      </c>
      <c r="AV34" s="28">
        <f t="shared" si="6"/>
        <v>0</v>
      </c>
      <c r="AW34" s="28">
        <f t="shared" si="6"/>
        <v>0</v>
      </c>
      <c r="AX34" s="28">
        <f t="shared" si="6"/>
        <v>0</v>
      </c>
      <c r="AY34" s="28">
        <f t="shared" si="6"/>
        <v>0</v>
      </c>
      <c r="AZ34" s="28">
        <f t="shared" si="6"/>
        <v>0</v>
      </c>
      <c r="BA34" s="28">
        <f t="shared" si="6"/>
        <v>0</v>
      </c>
      <c r="BB34" s="28">
        <f t="shared" si="6"/>
        <v>0</v>
      </c>
      <c r="BC34" s="28">
        <f t="shared" si="6"/>
        <v>0</v>
      </c>
    </row>
    <row r="35" spans="1:55" ht="13.5" thickBot="1">
      <c r="E35" s="19"/>
    </row>
    <row r="36" spans="1:55" ht="16.5" thickBot="1">
      <c r="A36" s="34" t="s">
        <v>17</v>
      </c>
      <c r="B36" s="38">
        <f>SUM(B34:BC34)</f>
        <v>108.11346251351951</v>
      </c>
      <c r="E36" s="19"/>
    </row>
    <row r="37" spans="1:55" ht="13.5" thickBot="1"/>
    <row r="38" spans="1:55" ht="26.25" thickBot="1">
      <c r="A38" s="39" t="s">
        <v>18</v>
      </c>
      <c r="B38" s="40">
        <f>B32+B36</f>
        <v>177.02821171927866</v>
      </c>
    </row>
    <row r="39" spans="1:55" ht="13.5" thickBot="1"/>
    <row r="40" spans="1:55" ht="27.75" thickBot="1">
      <c r="A40" s="41" t="s">
        <v>19</v>
      </c>
      <c r="B40" s="42">
        <f>B22*(1+B6/B8)^(B26*B8)</f>
        <v>177.0282117192786</v>
      </c>
    </row>
    <row r="106" spans="1:2">
      <c r="A106" s="1">
        <v>1</v>
      </c>
      <c r="B106" s="1" t="s">
        <v>11</v>
      </c>
    </row>
    <row r="107" spans="1:2">
      <c r="A107" s="1">
        <v>2</v>
      </c>
      <c r="B107" s="1" t="s">
        <v>12</v>
      </c>
    </row>
    <row r="108" spans="1:2">
      <c r="A108" s="1">
        <v>4</v>
      </c>
      <c r="B108" s="1" t="s">
        <v>13</v>
      </c>
    </row>
  </sheetData>
  <conditionalFormatting sqref="B20:B21 C20:F20 I20:AO2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{753DC675-4263-44C5-BEF9-1392BA7E2B79}</x14:id>
        </ext>
      </extLst>
    </cfRule>
  </conditionalFormatting>
  <conditionalFormatting sqref="B13:AO13">
    <cfRule type="expression" dxfId="20" priority="20">
      <formula>$B$8=4</formula>
    </cfRule>
    <cfRule type="expression" dxfId="19" priority="21">
      <formula>$B$8=1</formula>
    </cfRule>
    <cfRule type="expression" dxfId="18" priority="22">
      <formula>$B$8=2</formula>
    </cfRule>
  </conditionalFormatting>
  <conditionalFormatting sqref="C13:AO13">
    <cfRule type="expression" dxfId="17" priority="19">
      <formula>B13&gt;=$B$10*$B$8</formula>
    </cfRule>
  </conditionalFormatting>
  <conditionalFormatting sqref="E2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{B60AC96C-DB46-4950-8754-B6E261A35FFF}</x14:id>
        </ext>
      </extLst>
    </cfRule>
  </conditionalFormatting>
  <conditionalFormatting sqref="G15:G29">
    <cfRule type="expression" dxfId="16" priority="18">
      <formula>$G$13&gt;$B$10*$B$8</formula>
    </cfRule>
  </conditionalFormatting>
  <conditionalFormatting sqref="H15:H29">
    <cfRule type="expression" dxfId="15" priority="17">
      <formula>$H$13&gt;$B$10*$B$8</formula>
    </cfRule>
  </conditionalFormatting>
  <conditionalFormatting sqref="I15:I24">
    <cfRule type="expression" dxfId="14" priority="16">
      <formula>$I$13&gt;$B$10*$B$8</formula>
    </cfRule>
  </conditionalFormatting>
  <conditionalFormatting sqref="J15:J29">
    <cfRule type="expression" dxfId="13" priority="14">
      <formula>$J$13&gt;$B$10*$B$8</formula>
    </cfRule>
  </conditionalFormatting>
  <conditionalFormatting sqref="K15:K29">
    <cfRule type="expression" dxfId="12" priority="13">
      <formula>$K$13&gt;$B$10*$B$8</formula>
    </cfRule>
  </conditionalFormatting>
  <conditionalFormatting sqref="L15:L29">
    <cfRule type="expression" dxfId="11" priority="12">
      <formula>$L$13&gt;$B$10*$B$8</formula>
    </cfRule>
  </conditionalFormatting>
  <conditionalFormatting sqref="M15:M29">
    <cfRule type="expression" dxfId="10" priority="11">
      <formula>$M$13&gt;$B$10*$B$8</formula>
    </cfRule>
  </conditionalFormatting>
  <conditionalFormatting sqref="N15:N29">
    <cfRule type="expression" dxfId="9" priority="10">
      <formula>$N$13&gt;$B$10*$B$8</formula>
    </cfRule>
  </conditionalFormatting>
  <conditionalFormatting sqref="O15:O29">
    <cfRule type="expression" dxfId="8" priority="9">
      <formula>$O$13&gt;$B$10*$B$8</formula>
    </cfRule>
  </conditionalFormatting>
  <conditionalFormatting sqref="P15:P29">
    <cfRule type="expression" dxfId="7" priority="8">
      <formula>$P$13&gt;$B$10*$B$8</formula>
    </cfRule>
  </conditionalFormatting>
  <conditionalFormatting sqref="Q15:Q29">
    <cfRule type="expression" dxfId="6" priority="7">
      <formula>$Q$13&gt;$B$10*$B$8</formula>
    </cfRule>
  </conditionalFormatting>
  <conditionalFormatting sqref="R15:R29">
    <cfRule type="expression" dxfId="5" priority="6">
      <formula>$R$13&gt;$B$10*$B$8</formula>
    </cfRule>
  </conditionalFormatting>
  <conditionalFormatting sqref="S15:S29">
    <cfRule type="expression" dxfId="4" priority="5">
      <formula>$S$13&gt;$B$10*$B$8</formula>
    </cfRule>
  </conditionalFormatting>
  <conditionalFormatting sqref="T15:T29">
    <cfRule type="expression" dxfId="3" priority="4">
      <formula>$T$13&gt;$B$10*$B$8</formula>
    </cfRule>
  </conditionalFormatting>
  <conditionalFormatting sqref="U15:U29">
    <cfRule type="expression" dxfId="2" priority="3">
      <formula>$U$13&gt;$B$10*$B$8</formula>
    </cfRule>
  </conditionalFormatting>
  <conditionalFormatting sqref="V15:V29">
    <cfRule type="expression" dxfId="1" priority="2">
      <formula>$V$13&gt;$B$10*$B$8</formula>
    </cfRule>
  </conditionalFormatting>
  <conditionalFormatting sqref="W15:W29">
    <cfRule type="expression" dxfId="0" priority="1">
      <formula>$W$13&gt;$B$10*$B$8</formula>
    </cfRule>
  </conditionalFormatting>
  <dataValidations count="1">
    <dataValidation type="list" allowBlank="1" showInputMessage="1" showErrorMessage="1" sqref="B8" xr:uid="{3B3F2353-ED29-47C1-ABEF-D5D150D46BF0}">
      <formula1>$A$106:$A$108</formula1>
    </dataValidation>
  </dataValidations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3DC675-4263-44C5-BEF9-1392BA7E2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B20:B21 C20:F20 I20:AO20</xm:sqref>
        </x14:conditionalFormatting>
        <x14:conditionalFormatting xmlns:xm="http://schemas.microsoft.com/office/excel/2006/main">
          <x14:cfRule type="dataBar" id="{B60AC96C-DB46-4950-8754-B6E261A35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5"/>
  <sheetViews>
    <sheetView tabSelected="1" workbookViewId="0">
      <selection activeCell="B4" sqref="B4:F4"/>
    </sheetView>
  </sheetViews>
  <sheetFormatPr baseColWidth="10" defaultColWidth="8.85546875" defaultRowHeight="12.75"/>
  <cols>
    <col min="1" max="1" width="11.42578125" customWidth="1"/>
    <col min="2" max="2" width="16.28515625" bestFit="1" customWidth="1"/>
    <col min="3" max="3" width="10.28515625" bestFit="1" customWidth="1"/>
    <col min="4" max="4" width="5.28515625" bestFit="1" customWidth="1"/>
    <col min="5" max="6" width="10.28515625" bestFit="1" customWidth="1"/>
    <col min="7" max="7" width="11.7109375" bestFit="1" customWidth="1"/>
    <col min="8" max="8" width="9.5703125" customWidth="1"/>
    <col min="9" max="9" width="8" bestFit="1" customWidth="1"/>
    <col min="10" max="256" width="11.42578125" customWidth="1"/>
  </cols>
  <sheetData>
    <row r="3" spans="2:7">
      <c r="B3" t="s">
        <v>22</v>
      </c>
      <c r="C3" t="s">
        <v>23</v>
      </c>
      <c r="D3" t="s">
        <v>30</v>
      </c>
      <c r="E3" t="s">
        <v>24</v>
      </c>
      <c r="F3" t="s">
        <v>25</v>
      </c>
    </row>
    <row r="4" spans="2:7">
      <c r="B4" t="s">
        <v>26</v>
      </c>
      <c r="C4">
        <v>88.495599999999996</v>
      </c>
      <c r="D4" s="48">
        <v>-0.94740242518896933</v>
      </c>
      <c r="E4">
        <v>0.88500000000000001</v>
      </c>
      <c r="F4">
        <v>1.5663</v>
      </c>
    </row>
    <row r="5" spans="2:7">
      <c r="B5" t="s">
        <v>27</v>
      </c>
      <c r="C5">
        <v>100</v>
      </c>
      <c r="D5" s="48">
        <v>1.4465791247326982</v>
      </c>
      <c r="E5">
        <v>2.3612000000000002</v>
      </c>
      <c r="F5" s="47">
        <v>8.0183999999999997</v>
      </c>
    </row>
    <row r="6" spans="2:7">
      <c r="B6" t="s">
        <v>28</v>
      </c>
      <c r="C6">
        <v>100</v>
      </c>
      <c r="D6" s="49">
        <v>1</v>
      </c>
      <c r="E6">
        <v>5.4261999999999997</v>
      </c>
      <c r="F6">
        <v>43.3733</v>
      </c>
    </row>
    <row r="7" spans="2:7">
      <c r="B7" t="s">
        <v>29</v>
      </c>
      <c r="C7">
        <v>100</v>
      </c>
      <c r="D7" s="48">
        <v>0.39183033585288551</v>
      </c>
      <c r="E7">
        <v>7.0247999999999999</v>
      </c>
      <c r="F7">
        <v>84.442800000000005</v>
      </c>
    </row>
    <row r="10" spans="2:7">
      <c r="B10">
        <f>C4*D4+C5*D5+C7*D7</f>
        <v>100.00000000000543</v>
      </c>
      <c r="C10" t="s">
        <v>31</v>
      </c>
    </row>
    <row r="11" spans="2:7">
      <c r="B11">
        <f>E4*C4*D4+C5*D5*E5+C7*D7*E7</f>
        <v>542.62000000000035</v>
      </c>
      <c r="C11" t="s">
        <v>32</v>
      </c>
    </row>
    <row r="12" spans="2:7">
      <c r="B12">
        <f>C7*D7*F7+C4*D4*F4+C5*D5*F5</f>
        <v>4337.329999999959</v>
      </c>
      <c r="C12" t="s">
        <v>33</v>
      </c>
    </row>
    <row r="15" spans="2:7">
      <c r="G15" t="s">
        <v>34</v>
      </c>
    </row>
  </sheetData>
  <phoneticPr fontId="0" type="noConversion"/>
  <pageMargins left="0.75" right="0.75" top="1" bottom="1" header="0" footer="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9987FB-ADFC-48BF-870A-1A10DE576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51D5C-F1BD-49CA-AD44-AE709415A2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6AC267-E146-458C-B1F1-437768BDB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Bono</vt:lpstr>
      <vt:lpstr>Deuda</vt:lpstr>
      <vt:lpstr>Hoja1 (2)</vt:lpstr>
      <vt:lpstr>Hoja3</vt:lpstr>
    </vt:vector>
  </TitlesOfParts>
  <Company>CORFINSURA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jubotero</dc:creator>
  <cp:lastModifiedBy>NICOLÁS GONZÁLEZ</cp:lastModifiedBy>
  <dcterms:created xsi:type="dcterms:W3CDTF">2002-07-03T19:27:27Z</dcterms:created>
  <dcterms:modified xsi:type="dcterms:W3CDTF">2023-12-03T17:16:01Z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