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Inversiones en Mercado de Capitales\Archivos Excel\"/>
    </mc:Choice>
  </mc:AlternateContent>
  <xr:revisionPtr revIDLastSave="0" documentId="13_ncr:1_{07E49D76-1697-4656-9F33-AEDA3FA55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Hoja1!$A$1:$C$12</definedName>
    <definedName name="MatVarCovar">Hoja1!$B$34:$H$40</definedName>
    <definedName name="Retorno">Hoja1!$6:$6</definedName>
    <definedName name="Retorno2">Hoja1!$C$6:$C$12</definedName>
    <definedName name="solver_adj" localSheetId="0" hidden="1">Hoja1!$B$42:$B$48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Hoja1!$B$49</definedName>
    <definedName name="solver_lhs2" localSheetId="0" hidden="1">Hoja1!$E$45</definedName>
    <definedName name="solver_lhs3" localSheetId="0" hidden="1">Hoja1!#REF!</definedName>
    <definedName name="solver_lhs4" localSheetId="0" hidden="1">Hoja1!#REF!</definedName>
    <definedName name="solver_lhs5" localSheetId="0" hidden="1">Hoja1!#REF!</definedName>
    <definedName name="solver_lhs6" localSheetId="0" hidden="1">Hoja1!#REF!</definedName>
    <definedName name="solver_lhs7" localSheetId="0" hidden="1">Hoja1!#REF!</definedName>
    <definedName name="solver_lhs8" localSheetId="0" hidden="1">Hoja1!#REF!</definedName>
    <definedName name="solver_lhs9" localSheetId="0" hidden="1">Hoja1!#REF!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Hoja1!$B$51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2</definedName>
    <definedName name="solver_rhs1" localSheetId="0" hidden="1">1</definedName>
    <definedName name="solver_rhs2" localSheetId="0" hidden="1">Hoja1!$A$55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0.16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w">Hoja1!$B$42:$B$48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4" i="1" l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53" i="1"/>
  <c r="P54" i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A135" i="1" l="1"/>
  <c r="A136" i="1" s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B35" i="1"/>
  <c r="C89" i="1"/>
  <c r="C90" i="1"/>
  <c r="C91" i="1"/>
  <c r="C92" i="1"/>
  <c r="C93" i="1"/>
  <c r="C94" i="1"/>
  <c r="C95" i="1"/>
  <c r="C88" i="1"/>
  <c r="H40" i="1"/>
  <c r="G40" i="1"/>
  <c r="F40" i="1"/>
  <c r="E40" i="1"/>
  <c r="D40" i="1"/>
  <c r="C40" i="1"/>
  <c r="B40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H34" i="1"/>
  <c r="G34" i="1"/>
  <c r="F34" i="1"/>
  <c r="E34" i="1"/>
  <c r="D34" i="1"/>
  <c r="C34" i="1"/>
  <c r="B34" i="1"/>
  <c r="E49" i="1" s="1" a="1"/>
  <c r="E49" i="1" s="1"/>
  <c r="E50" i="1" s="1"/>
  <c r="A40" i="1"/>
  <c r="H33" i="1" s="1"/>
  <c r="A39" i="1"/>
  <c r="G33" i="1" s="1"/>
  <c r="A38" i="1"/>
  <c r="F33" i="1" s="1"/>
  <c r="A37" i="1"/>
  <c r="E33" i="1" s="1"/>
  <c r="A36" i="1"/>
  <c r="D33" i="1" s="1"/>
  <c r="A35" i="1"/>
  <c r="C33" i="1" s="1"/>
  <c r="A34" i="1"/>
  <c r="B33" i="1" s="1"/>
  <c r="H19" i="1"/>
  <c r="G19" i="1"/>
  <c r="F19" i="1"/>
  <c r="E19" i="1"/>
  <c r="D19" i="1"/>
  <c r="C19" i="1"/>
  <c r="B19" i="1"/>
  <c r="E45" i="1" l="1" a="1"/>
  <c r="E45" i="1" s="1"/>
  <c r="A137" i="1"/>
  <c r="F45" i="1"/>
  <c r="B49" i="1"/>
  <c r="XFD1048531" i="1"/>
  <c r="XFD1048532" i="1"/>
  <c r="XFD1048533" i="1"/>
  <c r="XFD1048534" i="1"/>
  <c r="XFD1048535" i="1"/>
  <c r="XFD1048536" i="1"/>
  <c r="XFD1048537" i="1"/>
  <c r="XFD1048538" i="1"/>
  <c r="XFD1048539" i="1"/>
  <c r="XFD1048540" i="1"/>
  <c r="XFD1048541" i="1"/>
  <c r="XFD1048542" i="1"/>
  <c r="XFD1048543" i="1"/>
  <c r="XFD1048544" i="1"/>
  <c r="XFD1048545" i="1"/>
  <c r="XFD1048546" i="1"/>
  <c r="XFD1048547" i="1"/>
  <c r="XFD1048548" i="1"/>
  <c r="XFD1048549" i="1"/>
  <c r="XFD1048550" i="1"/>
  <c r="XFD1048551" i="1"/>
  <c r="XFD1048552" i="1"/>
  <c r="XFD1048553" i="1"/>
  <c r="XFD1048554" i="1"/>
  <c r="XFD1048555" i="1"/>
  <c r="XFD1048556" i="1"/>
  <c r="B51" i="1" l="1"/>
  <c r="F86" i="1"/>
  <c r="B121" i="1"/>
  <c r="A138" i="1"/>
  <c r="B126" i="1" l="1"/>
  <c r="B122" i="1"/>
  <c r="B124" i="1" s="1"/>
  <c r="B102" i="1"/>
  <c r="B106" i="1"/>
  <c r="B110" i="1"/>
  <c r="B114" i="1"/>
  <c r="B101" i="1"/>
  <c r="B103" i="1"/>
  <c r="B107" i="1"/>
  <c r="B111" i="1"/>
  <c r="B115" i="1"/>
  <c r="B104" i="1"/>
  <c r="B108" i="1"/>
  <c r="B112" i="1"/>
  <c r="B116" i="1"/>
  <c r="B105" i="1"/>
  <c r="B109" i="1"/>
  <c r="B113" i="1"/>
  <c r="B117" i="1"/>
  <c r="A139" i="1"/>
  <c r="B129" i="1" l="1"/>
  <c r="B138" i="1" s="1"/>
  <c r="A140" i="1"/>
  <c r="B141" i="1" l="1"/>
  <c r="B137" i="1"/>
  <c r="B140" i="1"/>
  <c r="B136" i="1"/>
  <c r="B134" i="1"/>
  <c r="B139" i="1"/>
  <c r="B135" i="1"/>
  <c r="A141" i="1"/>
  <c r="A142" i="1" l="1"/>
  <c r="B142" i="1" s="1"/>
  <c r="A143" i="1" l="1"/>
  <c r="B143" i="1" s="1"/>
  <c r="A144" i="1" l="1"/>
  <c r="B144" i="1" s="1"/>
  <c r="A145" i="1" l="1"/>
  <c r="B145" i="1" s="1"/>
  <c r="A146" i="1" l="1"/>
  <c r="B146" i="1" s="1"/>
  <c r="A147" i="1" l="1"/>
  <c r="B147" i="1" s="1"/>
  <c r="A148" i="1" l="1"/>
  <c r="B148" i="1" s="1"/>
  <c r="A149" i="1" l="1"/>
  <c r="B149" i="1" s="1"/>
  <c r="A150" i="1" l="1"/>
  <c r="B1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<sst xmlns="http://schemas.openxmlformats.org/spreadsheetml/2006/main" count="63" uniqueCount="50">
  <si>
    <t>Dólares</t>
  </si>
  <si>
    <t>Bancolombia</t>
  </si>
  <si>
    <t>CDT</t>
  </si>
  <si>
    <t>Éxito</t>
  </si>
  <si>
    <t>Acciones USA</t>
  </si>
  <si>
    <t>Desv Est.</t>
  </si>
  <si>
    <r>
      <t>w</t>
    </r>
    <r>
      <rPr>
        <vertAlign val="subscript"/>
        <sz val="10"/>
        <rFont val="Arial"/>
        <family val="2"/>
      </rPr>
      <t>Dólares</t>
    </r>
  </si>
  <si>
    <r>
      <t>w</t>
    </r>
    <r>
      <rPr>
        <vertAlign val="subscript"/>
        <sz val="10"/>
        <rFont val="Arial"/>
        <family val="2"/>
      </rPr>
      <t>Bancolombia</t>
    </r>
  </si>
  <si>
    <r>
      <t>w</t>
    </r>
    <r>
      <rPr>
        <vertAlign val="subscript"/>
        <sz val="10"/>
        <rFont val="Arial"/>
        <family val="2"/>
      </rPr>
      <t>Exito</t>
    </r>
  </si>
  <si>
    <r>
      <t>w</t>
    </r>
    <r>
      <rPr>
        <vertAlign val="subscript"/>
        <sz val="10"/>
        <rFont val="Arial"/>
        <family val="2"/>
      </rPr>
      <t>CDT</t>
    </r>
  </si>
  <si>
    <r>
      <t>w</t>
    </r>
    <r>
      <rPr>
        <vertAlign val="subscript"/>
        <sz val="10"/>
        <rFont val="Arial"/>
        <family val="2"/>
      </rPr>
      <t>Acciones USA</t>
    </r>
  </si>
  <si>
    <t>Radio de Sharpe</t>
  </si>
  <si>
    <r>
      <t>r</t>
    </r>
    <r>
      <rPr>
        <b/>
        <i/>
        <vertAlign val="subscript"/>
        <sz val="12"/>
        <color indexed="9"/>
        <rFont val="Arial"/>
        <family val="2"/>
      </rPr>
      <t>f</t>
    </r>
    <r>
      <rPr>
        <b/>
        <i/>
        <sz val="12"/>
        <color indexed="9"/>
        <rFont val="Arial"/>
        <family val="2"/>
      </rPr>
      <t xml:space="preserve"> =</t>
    </r>
  </si>
  <si>
    <t>MATRIZ DE CORRELACIONES</t>
  </si>
  <si>
    <t>MATRIZ DE VARIANZA-COVARIANZA</t>
  </si>
  <si>
    <t>Rentabilidad Esperada</t>
  </si>
  <si>
    <r>
      <rPr>
        <i/>
        <sz val="11"/>
        <rFont val="Times New Roman"/>
        <family val="1"/>
      </rPr>
      <t>E</t>
    </r>
    <r>
      <rPr>
        <sz val="10"/>
        <rFont val="Calibri"/>
        <family val="2"/>
        <scheme val="minor"/>
      </rPr>
      <t>[r</t>
    </r>
    <r>
      <rPr>
        <vertAlign val="subscript"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>]</t>
    </r>
  </si>
  <si>
    <r>
      <rPr>
        <i/>
        <sz val="11"/>
        <rFont val="Times New Roman"/>
        <family val="1"/>
      </rPr>
      <t>σ</t>
    </r>
    <r>
      <rPr>
        <vertAlign val="subscript"/>
        <sz val="10"/>
        <rFont val="Calibri"/>
        <family val="2"/>
      </rPr>
      <t>p</t>
    </r>
  </si>
  <si>
    <r>
      <rPr>
        <i/>
        <sz val="11"/>
        <rFont val="Times New Roman"/>
        <family val="1"/>
      </rPr>
      <t>σ</t>
    </r>
    <r>
      <rPr>
        <vertAlign val="subscript"/>
        <sz val="10"/>
        <rFont val="Calibri"/>
        <family val="2"/>
      </rPr>
      <t>y</t>
    </r>
  </si>
  <si>
    <r>
      <rPr>
        <i/>
        <sz val="11"/>
        <rFont val="Times New Roman"/>
        <family val="1"/>
      </rPr>
      <t>E</t>
    </r>
    <r>
      <rPr>
        <sz val="10"/>
        <rFont val="Calibri"/>
        <family val="2"/>
        <scheme val="minor"/>
      </rPr>
      <t>[r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>]</t>
    </r>
  </si>
  <si>
    <t>Grupo Argos</t>
  </si>
  <si>
    <t>Ecopetrol</t>
  </si>
  <si>
    <r>
      <t>w</t>
    </r>
    <r>
      <rPr>
        <vertAlign val="subscript"/>
        <sz val="10"/>
        <rFont val="Arial"/>
        <family val="2"/>
      </rPr>
      <t>Ecopetrol</t>
    </r>
  </si>
  <si>
    <r>
      <t>w</t>
    </r>
    <r>
      <rPr>
        <vertAlign val="subscript"/>
        <sz val="10"/>
        <rFont val="Arial"/>
        <family val="2"/>
      </rPr>
      <t>Grupo Argos</t>
    </r>
  </si>
  <si>
    <t>w =</t>
  </si>
  <si>
    <t>Radio de Sharpe =</t>
  </si>
  <si>
    <r>
      <t>σ²</t>
    </r>
    <r>
      <rPr>
        <vertAlign val="subscript"/>
        <sz val="10"/>
        <rFont val="Calibri"/>
        <family val="2"/>
      </rPr>
      <t>p</t>
    </r>
    <r>
      <rPr>
        <sz val="10"/>
        <rFont val="Calibri"/>
        <family val="2"/>
      </rPr>
      <t xml:space="preserve"> =</t>
    </r>
  </si>
  <si>
    <r>
      <t>E[r</t>
    </r>
    <r>
      <rPr>
        <vertAlign val="subscript"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>] = [w]</t>
    </r>
    <r>
      <rPr>
        <vertAlign val="superscript"/>
        <sz val="10"/>
        <rFont val="Calibri"/>
        <family val="2"/>
        <scheme val="minor"/>
      </rPr>
      <t>T</t>
    </r>
    <r>
      <rPr>
        <sz val="10"/>
        <rFont val="Calibri"/>
        <family val="2"/>
        <scheme val="minor"/>
      </rPr>
      <t>[retornos]</t>
    </r>
  </si>
  <si>
    <r>
      <t>E[r</t>
    </r>
    <r>
      <rPr>
        <vertAlign val="subscript"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>] =</t>
    </r>
  </si>
  <si>
    <r>
      <t>σ²</t>
    </r>
    <r>
      <rPr>
        <vertAlign val="subscript"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 xml:space="preserve"> = [w]</t>
    </r>
    <r>
      <rPr>
        <vertAlign val="superscript"/>
        <sz val="10"/>
        <rFont val="Calibri"/>
        <family val="2"/>
        <scheme val="minor"/>
      </rPr>
      <t>T</t>
    </r>
    <r>
      <rPr>
        <sz val="10"/>
        <rFont val="Calibri"/>
        <family val="2"/>
        <scheme val="minor"/>
      </rPr>
      <t>[COV][w]</t>
    </r>
  </si>
  <si>
    <r>
      <t>σ</t>
    </r>
    <r>
      <rPr>
        <vertAlign val="subscript"/>
        <sz val="10"/>
        <rFont val="Calibri"/>
        <family val="2"/>
      </rPr>
      <t>p</t>
    </r>
    <r>
      <rPr>
        <sz val="10"/>
        <rFont val="Calibri"/>
        <family val="2"/>
      </rPr>
      <t xml:space="preserve"> =</t>
    </r>
  </si>
  <si>
    <r>
      <t>E[r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>] = RS*.σ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 xml:space="preserve"> + r</t>
    </r>
    <r>
      <rPr>
        <vertAlign val="subscript"/>
        <sz val="10"/>
        <rFont val="Calibri"/>
        <family val="2"/>
        <scheme val="minor"/>
      </rPr>
      <t>f</t>
    </r>
  </si>
  <si>
    <t>A =</t>
  </si>
  <si>
    <t>y* =</t>
  </si>
  <si>
    <t>1-y* =</t>
  </si>
  <si>
    <r>
      <t>E[r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>] =</t>
    </r>
  </si>
  <si>
    <r>
      <t>σ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 xml:space="preserve"> =</t>
    </r>
  </si>
  <si>
    <r>
      <t>y*.σ</t>
    </r>
    <r>
      <rPr>
        <vertAlign val="subscript"/>
        <sz val="10"/>
        <rFont val="Calibri"/>
        <family val="2"/>
        <scheme val="minor"/>
      </rPr>
      <t>p</t>
    </r>
  </si>
  <si>
    <t>U* =</t>
  </si>
  <si>
    <r>
      <t>E[r</t>
    </r>
    <r>
      <rPr>
        <vertAlign val="subscript"/>
        <sz val="10"/>
        <rFont val="Calibri"/>
        <family val="2"/>
        <scheme val="minor"/>
      </rPr>
      <t>y</t>
    </r>
    <r>
      <rPr>
        <sz val="10"/>
        <rFont val="Calibri"/>
        <family val="2"/>
        <scheme val="minor"/>
      </rPr>
      <t>] = U* + ½Aσ²</t>
    </r>
    <r>
      <rPr>
        <vertAlign val="subscript"/>
        <sz val="10"/>
        <rFont val="Calibri"/>
        <family val="2"/>
        <scheme val="minor"/>
      </rPr>
      <t>y</t>
    </r>
  </si>
  <si>
    <r>
      <t>w</t>
    </r>
    <r>
      <rPr>
        <vertAlign val="subscript"/>
        <sz val="10"/>
        <rFont val="Calibri"/>
        <family val="2"/>
        <scheme val="minor"/>
      </rPr>
      <t>Dolares</t>
    </r>
  </si>
  <si>
    <r>
      <t>w</t>
    </r>
    <r>
      <rPr>
        <vertAlign val="subscript"/>
        <sz val="10"/>
        <rFont val="Calibri"/>
        <family val="2"/>
        <scheme val="minor"/>
      </rPr>
      <t>Ecopetrol</t>
    </r>
  </si>
  <si>
    <r>
      <rPr>
        <sz val="10"/>
        <rFont val="Calibri"/>
        <family val="2"/>
      </rPr>
      <t>Σ</t>
    </r>
    <r>
      <rPr>
        <sz val="10"/>
        <rFont val="Arial"/>
        <family val="2"/>
      </rPr>
      <t>w =</t>
    </r>
  </si>
  <si>
    <r>
      <t>w</t>
    </r>
    <r>
      <rPr>
        <vertAlign val="subscript"/>
        <sz val="10"/>
        <rFont val="Calibri"/>
        <family val="2"/>
        <scheme val="minor"/>
      </rPr>
      <t>GrupoArgos</t>
    </r>
  </si>
  <si>
    <r>
      <t>w</t>
    </r>
    <r>
      <rPr>
        <vertAlign val="subscript"/>
        <sz val="10"/>
        <rFont val="Calibri"/>
        <family val="2"/>
        <scheme val="minor"/>
      </rPr>
      <t>Bancolombia</t>
    </r>
  </si>
  <si>
    <r>
      <t>w</t>
    </r>
    <r>
      <rPr>
        <vertAlign val="subscript"/>
        <sz val="10"/>
        <rFont val="Calibri"/>
        <family val="2"/>
        <scheme val="minor"/>
      </rPr>
      <t>Exito</t>
    </r>
  </si>
  <si>
    <r>
      <t>w</t>
    </r>
    <r>
      <rPr>
        <vertAlign val="subscript"/>
        <sz val="10"/>
        <rFont val="Calibri"/>
        <family val="2"/>
        <scheme val="minor"/>
      </rPr>
      <t>CDT</t>
    </r>
  </si>
  <si>
    <r>
      <t>w</t>
    </r>
    <r>
      <rPr>
        <vertAlign val="subscript"/>
        <sz val="10"/>
        <rFont val="Calibri"/>
        <family val="2"/>
        <scheme val="minor"/>
      </rPr>
      <t>AccionesUSA</t>
    </r>
  </si>
  <si>
    <t>Riesgo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</si>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</sst>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9" x14ac:knownFonts="1">
    <font>
      <sz val="10"/>
      <name val="Arial"/>
    </font>
    <font>
      <sz val="10"/>
      <name val="Arial"/>
      <family val="2"/>
    </font>
    <font>
      <i/>
      <sz val="12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i/>
      <sz val="12"/>
      <color indexed="9"/>
      <name val="Arial"/>
      <family val="2"/>
    </font>
    <font>
      <b/>
      <i/>
      <vertAlign val="subscript"/>
      <sz val="12"/>
      <color indexed="9"/>
      <name val="Arial"/>
      <family val="2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i/>
      <sz val="11"/>
      <name val="Times New Roman"/>
      <family val="1"/>
    </font>
    <font>
      <sz val="10"/>
      <name val="Calibri"/>
      <family val="1"/>
      <scheme val="minor"/>
    </font>
    <font>
      <vertAlign val="subscript"/>
      <sz val="10"/>
      <name val="Calibri"/>
      <family val="2"/>
    </font>
    <font>
      <sz val="10"/>
      <name val="Calibri"/>
      <family val="1"/>
    </font>
    <font>
      <sz val="10"/>
      <name val="Arial"/>
      <family val="2"/>
    </font>
    <font>
      <sz val="10"/>
      <name val="Calibri"/>
      <family val="2"/>
    </font>
    <font>
      <vertAlign val="superscript"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81">
    <xf numFmtId="0" fontId="0" fillId="0" borderId="0" xfId="0"/>
    <xf numFmtId="10" fontId="0" fillId="0" borderId="9" xfId="0" applyNumberFormat="1" applyBorder="1" applyAlignment="1">
      <alignment horizontal="center" vertical="center" wrapText="1"/>
    </xf>
    <xf numFmtId="0" fontId="5" fillId="2" borderId="9" xfId="0" applyFont="1" applyFill="1" applyBorder="1"/>
    <xf numFmtId="0" fontId="7" fillId="0" borderId="0" xfId="0" applyFont="1"/>
    <xf numFmtId="0" fontId="8" fillId="2" borderId="10" xfId="0" applyFont="1" applyFill="1" applyBorder="1"/>
    <xf numFmtId="0" fontId="8" fillId="2" borderId="11" xfId="0" applyFont="1" applyFill="1" applyBorder="1"/>
    <xf numFmtId="0" fontId="8" fillId="2" borderId="12" xfId="0" applyFont="1" applyFill="1" applyBorder="1"/>
    <xf numFmtId="0" fontId="8" fillId="2" borderId="13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4" fontId="9" fillId="3" borderId="2" xfId="0" applyNumberFormat="1" applyFont="1" applyFill="1" applyBorder="1" applyAlignment="1">
      <alignment horizontal="center"/>
    </xf>
    <xf numFmtId="4" fontId="9" fillId="3" borderId="3" xfId="0" applyNumberFormat="1" applyFont="1" applyFill="1" applyBorder="1" applyAlignment="1">
      <alignment horizontal="center"/>
    </xf>
    <xf numFmtId="4" fontId="9" fillId="3" borderId="4" xfId="0" applyNumberFormat="1" applyFont="1" applyFill="1" applyBorder="1" applyAlignment="1">
      <alignment horizontal="center"/>
    </xf>
    <xf numFmtId="4" fontId="9" fillId="3" borderId="0" xfId="0" applyNumberFormat="1" applyFont="1" applyFill="1" applyAlignment="1">
      <alignment horizontal="center"/>
    </xf>
    <xf numFmtId="4" fontId="9" fillId="3" borderId="5" xfId="0" applyNumberFormat="1" applyFont="1" applyFill="1" applyBorder="1" applyAlignment="1">
      <alignment horizontal="center"/>
    </xf>
    <xf numFmtId="4" fontId="9" fillId="3" borderId="6" xfId="0" applyNumberFormat="1" applyFont="1" applyFill="1" applyBorder="1" applyAlignment="1">
      <alignment horizontal="center"/>
    </xf>
    <xf numFmtId="4" fontId="9" fillId="3" borderId="7" xfId="0" applyNumberFormat="1" applyFont="1" applyFill="1" applyBorder="1" applyAlignment="1">
      <alignment horizontal="center"/>
    </xf>
    <xf numFmtId="0" fontId="10" fillId="0" borderId="0" xfId="0" applyFont="1"/>
    <xf numFmtId="10" fontId="9" fillId="3" borderId="1" xfId="0" applyNumberFormat="1" applyFont="1" applyFill="1" applyBorder="1" applyAlignment="1">
      <alignment horizontal="center" vertical="center" wrapText="1"/>
    </xf>
    <xf numFmtId="10" fontId="9" fillId="3" borderId="3" xfId="0" applyNumberFormat="1" applyFont="1" applyFill="1" applyBorder="1" applyAlignment="1">
      <alignment horizontal="center" vertical="center" wrapText="1"/>
    </xf>
    <xf numFmtId="10" fontId="9" fillId="3" borderId="4" xfId="0" applyNumberFormat="1" applyFont="1" applyFill="1" applyBorder="1" applyAlignment="1">
      <alignment horizontal="center" vertical="center" wrapText="1"/>
    </xf>
    <xf numFmtId="10" fontId="9" fillId="3" borderId="5" xfId="0" applyNumberFormat="1" applyFont="1" applyFill="1" applyBorder="1" applyAlignment="1">
      <alignment horizontal="center" vertical="center" wrapText="1"/>
    </xf>
    <xf numFmtId="10" fontId="9" fillId="3" borderId="6" xfId="0" applyNumberFormat="1" applyFont="1" applyFill="1" applyBorder="1" applyAlignment="1">
      <alignment horizontal="center" vertical="center" wrapText="1"/>
    </xf>
    <xf numFmtId="10" fontId="9" fillId="3" borderId="8" xfId="0" applyNumberFormat="1" applyFont="1" applyFill="1" applyBorder="1" applyAlignment="1">
      <alignment horizontal="center" vertical="center" wrapText="1"/>
    </xf>
    <xf numFmtId="9" fontId="10" fillId="0" borderId="4" xfId="0" applyNumberFormat="1" applyFont="1" applyBorder="1" applyAlignment="1">
      <alignment horizontal="center"/>
    </xf>
    <xf numFmtId="9" fontId="10" fillId="0" borderId="6" xfId="0" applyNumberFormat="1" applyFont="1" applyBorder="1" applyAlignment="1">
      <alignment horizont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165" fontId="10" fillId="0" borderId="24" xfId="1" applyNumberFormat="1" applyFont="1" applyBorder="1" applyAlignment="1">
      <alignment horizontal="center"/>
    </xf>
    <xf numFmtId="0" fontId="10" fillId="4" borderId="20" xfId="0" applyFont="1" applyFill="1" applyBorder="1" applyAlignment="1">
      <alignment horizontal="center" vertical="center"/>
    </xf>
    <xf numFmtId="9" fontId="10" fillId="0" borderId="17" xfId="0" applyNumberFormat="1" applyFont="1" applyBorder="1" applyAlignment="1">
      <alignment horizontal="center"/>
    </xf>
    <xf numFmtId="10" fontId="10" fillId="0" borderId="18" xfId="1" applyNumberFormat="1" applyFont="1" applyBorder="1" applyAlignment="1">
      <alignment horizontal="center"/>
    </xf>
    <xf numFmtId="9" fontId="10" fillId="0" borderId="19" xfId="0" applyNumberFormat="1" applyFont="1" applyBorder="1" applyAlignment="1">
      <alignment horizontal="center"/>
    </xf>
    <xf numFmtId="0" fontId="13" fillId="4" borderId="21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 wrapText="1"/>
    </xf>
    <xf numFmtId="10" fontId="10" fillId="0" borderId="4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10" fillId="0" borderId="5" xfId="0" applyNumberFormat="1" applyFont="1" applyBorder="1" applyAlignment="1">
      <alignment horizontal="center" vertical="center" wrapText="1"/>
    </xf>
    <xf numFmtId="10" fontId="10" fillId="0" borderId="6" xfId="0" applyNumberFormat="1" applyFont="1" applyBorder="1" applyAlignment="1">
      <alignment horizontal="center" vertical="center" wrapText="1"/>
    </xf>
    <xf numFmtId="10" fontId="10" fillId="0" borderId="7" xfId="0" applyNumberFormat="1" applyFont="1" applyBorder="1" applyAlignment="1">
      <alignment horizontal="center" vertical="center" wrapText="1"/>
    </xf>
    <xf numFmtId="10" fontId="10" fillId="0" borderId="8" xfId="0" applyNumberFormat="1" applyFont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0" fontId="0" fillId="7" borderId="0" xfId="1" applyNumberFormat="1" applyFont="1" applyFill="1" applyAlignment="1">
      <alignment horizontal="center" vertical="center"/>
    </xf>
    <xf numFmtId="10" fontId="0" fillId="8" borderId="0" xfId="1" applyNumberFormat="1" applyFont="1" applyFill="1" applyAlignment="1">
      <alignment horizontal="center" vertical="center"/>
    </xf>
    <xf numFmtId="10" fontId="0" fillId="9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10" fontId="10" fillId="0" borderId="0" xfId="1" applyNumberFormat="1" applyFont="1" applyBorder="1"/>
    <xf numFmtId="10" fontId="10" fillId="0" borderId="0" xfId="0" applyNumberFormat="1" applyFont="1"/>
    <xf numFmtId="10" fontId="10" fillId="0" borderId="7" xfId="1" applyNumberFormat="1" applyFont="1" applyBorder="1"/>
    <xf numFmtId="164" fontId="0" fillId="0" borderId="0" xfId="2" applyFont="1"/>
    <xf numFmtId="10" fontId="10" fillId="0" borderId="17" xfId="0" applyNumberFormat="1" applyFont="1" applyBorder="1" applyAlignment="1">
      <alignment horizontal="center"/>
    </xf>
    <xf numFmtId="4" fontId="9" fillId="6" borderId="1" xfId="0" applyNumberFormat="1" applyFont="1" applyFill="1" applyBorder="1" applyAlignment="1">
      <alignment horizontal="center"/>
    </xf>
    <xf numFmtId="4" fontId="9" fillId="6" borderId="0" xfId="0" applyNumberFormat="1" applyFont="1" applyFill="1" applyAlignment="1">
      <alignment horizontal="center"/>
    </xf>
    <xf numFmtId="4" fontId="9" fillId="10" borderId="4" xfId="0" applyNumberFormat="1" applyFont="1" applyFill="1" applyBorder="1" applyAlignment="1">
      <alignment horizontal="center"/>
    </xf>
    <xf numFmtId="4" fontId="9" fillId="10" borderId="2" xfId="0" applyNumberFormat="1" applyFont="1" applyFill="1" applyBorder="1" applyAlignment="1">
      <alignment horizontal="center"/>
    </xf>
    <xf numFmtId="4" fontId="9" fillId="11" borderId="2" xfId="0" applyNumberFormat="1" applyFont="1" applyFill="1" applyBorder="1" applyAlignment="1">
      <alignment horizontal="center"/>
    </xf>
    <xf numFmtId="4" fontId="9" fillId="11" borderId="4" xfId="0" applyNumberFormat="1" applyFont="1" applyFill="1" applyBorder="1" applyAlignment="1">
      <alignment horizontal="center"/>
    </xf>
    <xf numFmtId="4" fontId="9" fillId="12" borderId="4" xfId="0" applyNumberFormat="1" applyFont="1" applyFill="1" applyBorder="1" applyAlignment="1">
      <alignment horizontal="center"/>
    </xf>
    <xf numFmtId="4" fontId="9" fillId="12" borderId="2" xfId="0" applyNumberFormat="1" applyFont="1" applyFill="1" applyBorder="1" applyAlignment="1">
      <alignment horizontal="center"/>
    </xf>
    <xf numFmtId="0" fontId="17" fillId="0" borderId="0" xfId="0" applyFont="1"/>
    <xf numFmtId="165" fontId="10" fillId="0" borderId="0" xfId="1" applyNumberFormat="1" applyFont="1"/>
    <xf numFmtId="165" fontId="10" fillId="0" borderId="0" xfId="1" applyNumberFormat="1" applyFont="1" applyAlignment="1">
      <alignment horizontal="center" vertical="center"/>
    </xf>
    <xf numFmtId="165" fontId="10" fillId="0" borderId="0" xfId="1" applyNumberFormat="1" applyFont="1" applyAlignment="1">
      <alignment horizontal="left" vertical="center"/>
    </xf>
    <xf numFmtId="10" fontId="10" fillId="0" borderId="25" xfId="1" applyNumberFormat="1" applyFont="1" applyFill="1" applyBorder="1" applyAlignment="1">
      <alignment horizontal="center" vertical="center"/>
    </xf>
    <xf numFmtId="10" fontId="7" fillId="0" borderId="25" xfId="1" applyNumberFormat="1" applyFont="1" applyFill="1" applyBorder="1" applyAlignment="1">
      <alignment horizontal="center" vertical="center"/>
    </xf>
    <xf numFmtId="10" fontId="10" fillId="0" borderId="0" xfId="1" applyNumberFormat="1" applyFont="1" applyAlignment="1">
      <alignment horizontal="left" vertical="center"/>
    </xf>
    <xf numFmtId="4" fontId="10" fillId="0" borderId="0" xfId="0" applyNumberFormat="1" applyFont="1" applyAlignment="1">
      <alignment horizontal="center" vertical="center"/>
    </xf>
    <xf numFmtId="9" fontId="10" fillId="0" borderId="16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3" fontId="10" fillId="0" borderId="0" xfId="1" applyNumberFormat="1" applyFont="1" applyBorder="1" applyAlignment="1">
      <alignment horizontal="center"/>
    </xf>
    <xf numFmtId="165" fontId="10" fillId="0" borderId="0" xfId="1" applyNumberFormat="1" applyFont="1" applyAlignment="1">
      <alignment horizontal="left"/>
    </xf>
    <xf numFmtId="4" fontId="0" fillId="0" borderId="0" xfId="2" applyNumberFormat="1" applyFont="1" applyAlignment="1">
      <alignment horizontal="center" vertical="center"/>
    </xf>
    <xf numFmtId="4" fontId="9" fillId="6" borderId="8" xfId="0" applyNumberFormat="1" applyFont="1" applyFill="1" applyBorder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6279069767441"/>
          <c:y val="5.7228915662650599E-2"/>
          <c:w val="0.82558139534883723"/>
          <c:h val="0.69277108433734935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xVal>
            <c:numRef>
              <c:f>Hoja1!$B$54:$B$61</c:f>
              <c:numCache>
                <c:formatCode>0.00%</c:formatCode>
                <c:ptCount val="8"/>
                <c:pt idx="0">
                  <c:v>9.5731285353140169E-2</c:v>
                </c:pt>
                <c:pt idx="1">
                  <c:v>9.2469939784613778E-2</c:v>
                </c:pt>
                <c:pt idx="2">
                  <c:v>9.3667552981643656E-2</c:v>
                </c:pt>
                <c:pt idx="3">
                  <c:v>9.9099999999999994E-2</c:v>
                </c:pt>
                <c:pt idx="4">
                  <c:v>0.1081</c:v>
                </c:pt>
                <c:pt idx="5">
                  <c:v>0.11990000000000001</c:v>
                </c:pt>
                <c:pt idx="6">
                  <c:v>0.1343</c:v>
                </c:pt>
                <c:pt idx="7">
                  <c:v>0.154</c:v>
                </c:pt>
              </c:numCache>
            </c:numRef>
          </c:xVal>
          <c:yVal>
            <c:numRef>
              <c:f>Hoja1!$A$54:$A$61</c:f>
              <c:numCache>
                <c:formatCode>0%</c:formatCode>
                <c:ptCount val="8"/>
                <c:pt idx="0">
                  <c:v>0.09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0.15</c:v>
                </c:pt>
                <c:pt idx="7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01-42CD-9BCE-7580A103C122}"/>
            </c:ext>
          </c:extLst>
        </c:ser>
        <c:ser>
          <c:idx val="1"/>
          <c:order val="1"/>
          <c:marker>
            <c:symbol val="none"/>
          </c:marker>
          <c:xVal>
            <c:numRef>
              <c:f>Hoja1!$F$91</c:f>
              <c:numCache>
                <c:formatCode>0.0%</c:formatCode>
                <c:ptCount val="1"/>
              </c:numCache>
            </c:numRef>
          </c:xVal>
          <c:yVal>
            <c:numRef>
              <c:f>Hoja1!$F$90</c:f>
              <c:numCache>
                <c:formatCode>0.0%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01-42CD-9BCE-7580A103C122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Hoja1!$E$50</c:f>
              <c:numCache>
                <c:formatCode>0.00%</c:formatCode>
                <c:ptCount val="1"/>
                <c:pt idx="0">
                  <c:v>0.14095876623038428</c:v>
                </c:pt>
              </c:numCache>
            </c:numRef>
          </c:xVal>
          <c:yVal>
            <c:numRef>
              <c:f>Hoja1!$E$45</c:f>
              <c:numCache>
                <c:formatCode>0.0%</c:formatCode>
                <c:ptCount val="1"/>
                <c:pt idx="0">
                  <c:v>0.15369210147497281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9-4102-A1DD-21623480F5A3}"/>
            </c:ext>
          </c:extLst>
        </c:ser>
        <c:ser>
          <c:idx val="4"/>
          <c:order val="4"/>
          <c:spPr>
            <a:ln w="19050">
              <a:noFill/>
            </a:ln>
          </c:spPr>
          <c:xVal>
            <c:numRef>
              <c:f>Hoja1!$B$126</c:f>
              <c:numCache>
                <c:formatCode>0.0%</c:formatCode>
                <c:ptCount val="1"/>
                <c:pt idx="0">
                  <c:v>0.10455838036284988</c:v>
                </c:pt>
              </c:numCache>
            </c:numRef>
          </c:xVal>
          <c:yVal>
            <c:numRef>
              <c:f>Hoja1!$B$124</c:f>
              <c:numCache>
                <c:formatCode>0.0%</c:formatCode>
                <c:ptCount val="1"/>
                <c:pt idx="0">
                  <c:v>0.13466227452051197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F9-4102-A1DD-21623480F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23192"/>
        <c:axId val="1"/>
      </c:scatterChart>
      <c:scatterChart>
        <c:scatterStyle val="smoothMarker"/>
        <c:varyColors val="0"/>
        <c:ser>
          <c:idx val="3"/>
          <c:order val="3"/>
          <c:marker>
            <c:symbol val="none"/>
          </c:marker>
          <c:xVal>
            <c:numRef>
              <c:f>Hoja1!$A$101:$A$117</c:f>
              <c:numCache>
                <c:formatCode>0.00%</c:formatCode>
                <c:ptCount val="17"/>
                <c:pt idx="0" formatCode="0%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</c:numCache>
            </c:numRef>
          </c:xVal>
          <c:yVal>
            <c:numRef>
              <c:f>Hoja1!$B$101:$B$117</c:f>
              <c:numCache>
                <c:formatCode>0.0%</c:formatCode>
                <c:ptCount val="17"/>
                <c:pt idx="0">
                  <c:v>0.08</c:v>
                </c:pt>
                <c:pt idx="1">
                  <c:v>8.5227919018142501E-2</c:v>
                </c:pt>
                <c:pt idx="2">
                  <c:v>9.0455838036284986E-2</c:v>
                </c:pt>
                <c:pt idx="3">
                  <c:v>9.5683757054427485E-2</c:v>
                </c:pt>
                <c:pt idx="4">
                  <c:v>0.10091167607256998</c:v>
                </c:pt>
                <c:pt idx="5">
                  <c:v>0.10613959509071248</c:v>
                </c:pt>
                <c:pt idx="6">
                  <c:v>0.11136751410885498</c:v>
                </c:pt>
                <c:pt idx="7">
                  <c:v>0.11659543312699747</c:v>
                </c:pt>
                <c:pt idx="8">
                  <c:v>0.12182335214513997</c:v>
                </c:pt>
                <c:pt idx="9">
                  <c:v>0.12705127116328246</c:v>
                </c:pt>
                <c:pt idx="10">
                  <c:v>0.13227919018142495</c:v>
                </c:pt>
                <c:pt idx="11">
                  <c:v>0.13750710919956743</c:v>
                </c:pt>
                <c:pt idx="12">
                  <c:v>0.14273502821770995</c:v>
                </c:pt>
                <c:pt idx="13">
                  <c:v>0.1479629472358524</c:v>
                </c:pt>
                <c:pt idx="14">
                  <c:v>0.15319086625399492</c:v>
                </c:pt>
                <c:pt idx="15">
                  <c:v>0.15841878527213743</c:v>
                </c:pt>
                <c:pt idx="16">
                  <c:v>0.16364670429027994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9-4102-A1DD-21623480F5A3}"/>
            </c:ext>
          </c:extLst>
        </c:ser>
        <c:ser>
          <c:idx val="5"/>
          <c:order val="5"/>
          <c:marker>
            <c:symbol val="none"/>
          </c:marker>
          <c:xVal>
            <c:numRef>
              <c:f>Hoja1!$A$134:$A$150</c:f>
              <c:numCache>
                <c:formatCode>0.00%</c:formatCode>
                <c:ptCount val="17"/>
                <c:pt idx="0" formatCode="0%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</c:numCache>
            </c:numRef>
          </c:xVal>
          <c:yVal>
            <c:numRef>
              <c:f>Hoja1!$B$134:$B$150</c:f>
              <c:numCache>
                <c:formatCode>0.0%</c:formatCode>
                <c:ptCount val="17"/>
                <c:pt idx="0">
                  <c:v>0.10733113726025599</c:v>
                </c:pt>
                <c:pt idx="1">
                  <c:v>0.10758113726025599</c:v>
                </c:pt>
                <c:pt idx="2">
                  <c:v>0.10833113726025599</c:v>
                </c:pt>
                <c:pt idx="3">
                  <c:v>0.10958113726025599</c:v>
                </c:pt>
                <c:pt idx="4">
                  <c:v>0.11133113726025599</c:v>
                </c:pt>
                <c:pt idx="5">
                  <c:v>0.113581137260256</c:v>
                </c:pt>
                <c:pt idx="6">
                  <c:v>0.11633113726025598</c:v>
                </c:pt>
                <c:pt idx="7">
                  <c:v>0.11958113726025599</c:v>
                </c:pt>
                <c:pt idx="8">
                  <c:v>0.12333113726025599</c:v>
                </c:pt>
                <c:pt idx="9">
                  <c:v>0.12758113726025599</c:v>
                </c:pt>
                <c:pt idx="10">
                  <c:v>0.13233113726025597</c:v>
                </c:pt>
                <c:pt idx="11">
                  <c:v>0.13758113726025598</c:v>
                </c:pt>
                <c:pt idx="12">
                  <c:v>0.14333113726025598</c:v>
                </c:pt>
                <c:pt idx="13">
                  <c:v>0.14958113726025599</c:v>
                </c:pt>
                <c:pt idx="14">
                  <c:v>0.15633113726025599</c:v>
                </c:pt>
                <c:pt idx="15">
                  <c:v>0.16358113726025597</c:v>
                </c:pt>
                <c:pt idx="16">
                  <c:v>0.17133113726025601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F9-4102-A1DD-21623480F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23192"/>
        <c:axId val="1"/>
      </c:scatterChart>
      <c:valAx>
        <c:axId val="28282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1" u="none" strike="noStrike" baseline="0">
                    <a:solidFill>
                      <a:srgbClr val="FFFFFF"/>
                    </a:solidFill>
                    <a:latin typeface="Symbol"/>
                    <a:ea typeface="Symbol"/>
                    <a:cs typeface="Symbol"/>
                  </a:defRPr>
                </a:pPr>
                <a:r>
                  <a:rPr lang="en-US"/>
                  <a:t>s</a:t>
                </a:r>
              </a:p>
            </c:rich>
          </c:tx>
          <c:layout>
            <c:manualLayout>
              <c:xMode val="edge"/>
              <c:yMode val="edge"/>
              <c:x val="0.53820598006644516"/>
              <c:y val="0.8945783132530120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25400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FFFFFF"/>
                </a:solidFill>
                <a:latin typeface="+mn-lt"/>
                <a:ea typeface="Arial"/>
                <a:cs typeface="Arial"/>
              </a:defRPr>
            </a:pPr>
            <a:endParaRPr lang="es-CO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FFFFFF"/>
                    </a:solidFill>
                    <a:latin typeface="Arial"/>
                    <a:cs typeface="Arial"/>
                  </a:rPr>
                  <a:t>r</a:t>
                </a:r>
                <a:r>
                  <a:rPr lang="en-US" sz="1200" b="1" i="0" u="none" strike="noStrike" baseline="-25000">
                    <a:solidFill>
                      <a:srgbClr val="FFFFFF"/>
                    </a:solidFill>
                    <a:latin typeface="Arial"/>
                    <a:cs typeface="Arial"/>
                  </a:rPr>
                  <a:t>p</a:t>
                </a:r>
              </a:p>
            </c:rich>
          </c:tx>
          <c:layout>
            <c:manualLayout>
              <c:xMode val="edge"/>
              <c:yMode val="edge"/>
              <c:x val="1.3289036544850499E-2"/>
              <c:y val="0.4307228915662650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25400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FFFFFF"/>
                </a:solidFill>
                <a:latin typeface="+mn-lt"/>
                <a:ea typeface="Arial"/>
                <a:cs typeface="Arial"/>
              </a:defRPr>
            </a:pPr>
            <a:endParaRPr lang="es-CO"/>
          </a:p>
        </c:txPr>
        <c:crossAx val="2828231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0000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2"/>
          <c:tx>
            <c:v>Punto Optimo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Hoja1!$E$50</c:f>
              <c:numCache>
                <c:formatCode>0.00%</c:formatCode>
                <c:ptCount val="1"/>
                <c:pt idx="0">
                  <c:v>0.14095876623038428</c:v>
                </c:pt>
              </c:numCache>
            </c:numRef>
          </c:xVal>
          <c:yVal>
            <c:numRef>
              <c:f>Hoja1!$E$45</c:f>
              <c:numCache>
                <c:formatCode>0.0%</c:formatCode>
                <c:ptCount val="1"/>
                <c:pt idx="0">
                  <c:v>0.15369210147497281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8F-4394-ABEE-C72FD93D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01632"/>
        <c:axId val="756302288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Hoja1!$B$54:$B$61</c:f>
              <c:numCache>
                <c:formatCode>0.00%</c:formatCode>
                <c:ptCount val="8"/>
                <c:pt idx="0">
                  <c:v>9.5731285353140169E-2</c:v>
                </c:pt>
                <c:pt idx="1">
                  <c:v>9.2469939784613778E-2</c:v>
                </c:pt>
                <c:pt idx="2">
                  <c:v>9.3667552981643656E-2</c:v>
                </c:pt>
                <c:pt idx="3">
                  <c:v>9.9099999999999994E-2</c:v>
                </c:pt>
                <c:pt idx="4">
                  <c:v>0.1081</c:v>
                </c:pt>
                <c:pt idx="5">
                  <c:v>0.11990000000000001</c:v>
                </c:pt>
                <c:pt idx="6">
                  <c:v>0.1343</c:v>
                </c:pt>
                <c:pt idx="7">
                  <c:v>0.154</c:v>
                </c:pt>
              </c:numCache>
            </c:numRef>
          </c:xVal>
          <c:yVal>
            <c:numRef>
              <c:f>Hoja1!$A$54:$A$61</c:f>
              <c:numCache>
                <c:formatCode>0%</c:formatCode>
                <c:ptCount val="8"/>
                <c:pt idx="0">
                  <c:v>0.09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0.15</c:v>
                </c:pt>
                <c:pt idx="7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D2-4515-A04F-A7BFD30A343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Hoja1!$P$53:$P$73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</c:numCache>
            </c:numRef>
          </c:xVal>
          <c:yVal>
            <c:numRef>
              <c:f>Hoja1!$Q$53:$Q$73</c:f>
              <c:numCache>
                <c:formatCode>0.00%</c:formatCode>
                <c:ptCount val="21"/>
                <c:pt idx="0">
                  <c:v>0.08</c:v>
                </c:pt>
                <c:pt idx="1">
                  <c:v>8.5227919018142501E-2</c:v>
                </c:pt>
                <c:pt idx="2">
                  <c:v>9.0455838036284986E-2</c:v>
                </c:pt>
                <c:pt idx="3">
                  <c:v>9.5683757054427485E-2</c:v>
                </c:pt>
                <c:pt idx="4">
                  <c:v>0.10091167607256998</c:v>
                </c:pt>
                <c:pt idx="5">
                  <c:v>0.10613959509071248</c:v>
                </c:pt>
                <c:pt idx="6">
                  <c:v>0.11136751410885498</c:v>
                </c:pt>
                <c:pt idx="7">
                  <c:v>0.11659543312699747</c:v>
                </c:pt>
                <c:pt idx="8">
                  <c:v>0.12182335214513997</c:v>
                </c:pt>
                <c:pt idx="9">
                  <c:v>0.12705127116328246</c:v>
                </c:pt>
                <c:pt idx="10">
                  <c:v>0.13227919018142495</c:v>
                </c:pt>
                <c:pt idx="11">
                  <c:v>0.13750710919956743</c:v>
                </c:pt>
                <c:pt idx="12">
                  <c:v>0.14273502821770995</c:v>
                </c:pt>
                <c:pt idx="13">
                  <c:v>0.1479629472358524</c:v>
                </c:pt>
                <c:pt idx="14">
                  <c:v>0.15319086625399492</c:v>
                </c:pt>
                <c:pt idx="15">
                  <c:v>0.15841878527213743</c:v>
                </c:pt>
                <c:pt idx="16">
                  <c:v>0.16364670429027994</c:v>
                </c:pt>
                <c:pt idx="17">
                  <c:v>0.16887462330842243</c:v>
                </c:pt>
                <c:pt idx="18">
                  <c:v>0.17410254232656491</c:v>
                </c:pt>
                <c:pt idx="19">
                  <c:v>0.17933046134470743</c:v>
                </c:pt>
                <c:pt idx="20">
                  <c:v>0.18455838036284994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8F-4394-ABEE-C72FD93D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01632"/>
        <c:axId val="756302288"/>
      </c:scatterChart>
      <c:valAx>
        <c:axId val="75630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riesgo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6302288"/>
        <c:crosses val="autoZero"/>
        <c:crossBetween val="midCat"/>
      </c:valAx>
      <c:valAx>
        <c:axId val="7563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Retorno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63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64</xdr:row>
      <xdr:rowOff>47625</xdr:rowOff>
    </xdr:from>
    <xdr:to>
      <xdr:col>6</xdr:col>
      <xdr:colOff>733425</xdr:colOff>
      <xdr:row>83</xdr:row>
      <xdr:rowOff>133350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5CD24229-876D-41E4-BFA1-8B6320F65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</xdr:colOff>
      <xdr:row>51</xdr:row>
      <xdr:rowOff>53342</xdr:rowOff>
    </xdr:from>
    <xdr:to>
      <xdr:col>14</xdr:col>
      <xdr:colOff>571502</xdr:colOff>
      <xdr:row>67</xdr:row>
      <xdr:rowOff>139702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730F1-F2A4-006E-BBD9-D2AD1085E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9EB1011-E56E-4E3C-BDB8-E24794114D68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90201548004631783&quot;"/>
    <we:property name="eBksKGh0LRIO" value="&quot;FDRif2g=&quot;"/>
    <we:property name="eBksKGh0ER8IACAGB1UbFw==" value="&quot;dyQB&quot;"/>
    <we:property name="eBksKGh0LxEcOywa" value="&quot;Ag==&quot;"/>
    <we:property name="eBksKGh0NBEWHyQWNFUG" value="&quot;FDRifGtvRjJAQ30=&quot;"/>
    <we:property name="eBksKGh0ER8IACAGB1wdAwE=" value="&quot;FDRifGE=&quot;"/>
    <we:property name="eBksKGh0ER8IACAGB0IQHAE=" value="&quot;EEh7aQ==&quot;"/>
    <we:property name="eBksKGh0ER8IACAGB0IdAwE=" value="&quot;AA==&quot;"/>
    <we:property name="eBksKGh0ER8IACAGB1wdAwI=" value="&quot;FDRif2k=&quot;"/>
    <we:property name="eBksKGh0ER8IACAGB0IQHAI=" value="&quot;EEtm&quot;"/>
    <we:property name="eBksKGh0ER8IACAGB0IdAwI=" value="&quot;AQ==&quot;"/>
    <we:property name="eBksKGh0ER8IACAGB1wdAwM=" value="&quot;FDRifGs=&quot;"/>
    <we:property name="eBksKGh0ER8IACAGB0IQHAM=" value="&quot;EEh7aQ==&quot;"/>
    <we:property name="eBksKGh0ER8IACAGB0IdAwM=" value="&quot;AA==&quot;"/>
    <we:property name="eBksKGh0ER8IACAGB1wdAwQ=" value="&quot;FDRifGo=&quot;"/>
    <we:property name="eBksKGh0ER8IACAGB0IQHAQ=" value="&quot;EEh7aQ==&quot;"/>
    <we:property name="eBksKGh0ER8IACAGB0IdAwQ=" value="&quot;AA==&quot;"/>
    <we:property name="eBksKGh0ER8IACAGB1wdAwU=" value="&quot;FDRifG0=&quot;"/>
    <we:property name="eBksKGh0ER8IACAGB0IQHAU=" value="&quot;EEh7aQ==&quot;"/>
    <we:property name="eBksKGh0ER8IACAGB0IdAwU=" value="&quot;AA==&quot;"/>
    <we:property name="eBksKGh0ER8IACAGB1wdAwY=" value="&quot;FDRifGw=&quot;"/>
    <we:property name="eBksKGh0ER8IACAGB0IQHAY=" value="&quot;EEh7aQ==&quot;"/>
    <we:property name="eBksKGh0ER8IACAGB0IdAwY=" value="&quot;AA==&quot;"/>
    <we:property name="eBksKGh0ER8IACAGB1wdAwc=" value="&quot;FDRifG8=&quot;"/>
    <we:property name="eBksKGh0ER8IACAGB0IQHAc=" value="&quot;EEh7aQ==&quot;"/>
    <we:property name="eBksKGh0ER8IACAGB0IdAwc=" value="&quot;AA==&quot;"/>
    <we:property name="eBksKGh0ER8IACAGB1wdAwg=" value="&quot;FDRifG4=&quot;"/>
    <we:property name="eBksKGh0ER8IACAGB0IQHAg=" value="&quot;EEh7aQ==&quot;"/>
    <we:property name="eBksKGh0ER8IACAGB0IdAwg=" value="&quot;AA==&quot;"/>
    <we:property name="eBksKGh0ER8IACAGB1wdAwk=" value="&quot;FDRif2o=&quot;"/>
    <we:property name="eBksKGh0ER8IACAGB0IQHAk=" value="&quot;EEtm&quot;"/>
    <we:property name="eBksKGh0ER8IACAGB0IdAwk=" value="&quot;AFh3fw==&quot;"/>
    <we:property name="eBksKGh0ER8IACAGB14AHQ==" value="&quot;CQ==&quot;"/>
    <we:property name="eBksKGh0ER8IACAGB14QFw==" value="&quot;AQ==&quot;"/>
    <we:property name="eBksKGh0ER8IACAGB0AHFQ==" value="&quot;AFh2eWllUkE=&quot;"/>
    <we:property name="eBksKGh0ER8IACAGB0MWHA==" value="&quot;AQ==&quot;"/>
    <we:property name="eBksKGh0ER8IACAGB0IZCA==" value="&quot;AA==&quot;"/>
    <we:property name="eBksKGh0ER8IACAGB0QaHA==" value="&quot;AFh2eWlg&quot;"/>
    <we:property name="eBksKGh0ER8IACAGB1MDFw==" value="&quot;AFh2eWlk&quot;"/>
    <we:property name="eBksKGh0ER8IACAGB10GHA==" value="&quot;AA==&quot;"/>
    <we:property name="eBksKGh0ER8IACAGB0MGCg==" value="&quot;AUZ2&quot;"/>
    <we:property name="eBksKGh0ER8IACAGB0IGFA==" value="&quot;AA==&quot;"/>
    <we:property name="eBksKGh0ER8IACAGB10HBA==" value="&quot;AFh2fmw=&quot;"/>
    <we:property name="eBksKGh0ER8IACAGB10bGQ==" value="&quot;A0Y=&quot;"/>
    <we:property name="eBksKGh0ER8IACAGB0IXBg==" value="&quot;AQ==&quot;"/>
    <we:property name="eBksKGh0ER8IACAGB14BAg==" value="&quot;Ag==&quot;"/>
    <we:property name="eBksKGh0ER8IACAGB1EWEw==" value="&quot;AFh2eWg=&quot;"/>
    <we:property name="eBksKGh0ER8IACAGB0IQAw==" value="&quot;BQ==&quot;"/>
    <we:property name="eBksKGh0ER8IACAGB1EHAw==" value="&quot;AQ==&quot;"/>
    <we:property name="eBksKGh0ER8IACAGB0MBEQ==" value="&quot;AA==&quot;"/>
    <we:property name="eBksKGh0ER8IACAGB10QBA==" value="&quot;Ag==&quot;"/>
    <we:property name="eBksKGh0ER8IACAGB0MaEw==" value="&quot;AA==&quot;"/>
    <we:property name="eBksKGh0ER8IACAGB1wFBA==" value="&quot;AA==&quot;"/>
    <we:property name="eBksKGh0ER8IACAGB1wFAA==" value="&quot;AA==&quot;"/>
    <we:property name="eBksKGh0ER8IACAGB1cUAA==" value="&quot;AFh2eWllUkE=&quot;"/>
    <we:property name="eBksKGh0ER8IACAGB1kFAw==" value="&quot;AFh/cA==&quot;"/>
    <we:property name="eBksKGh0ER8IACAGB1YQEQ==" value="&quot;AFh2eWllUkE=&quot;"/>
    <we:property name="eBksKGh0ER8IACAGB1kFGQ==" value="&quot;AQ==&quot;"/>
    <we:property name="eBksKGh0ER8IACAGB1kFFA==" value="&quot;Aw==&quot;"/>
  </we:properties>
  <we:bindings>
    <we:binding id="refEdit" type="matrix" appref="{6AB48B4F-5AF0-4A1A-8A94-99E4AFA7CE87}"/>
    <we:binding id="Worker" type="matrix" appref="{ADBD2CDC-E0B5-462B-A7C1-20D864BA6749}"/>
    <we:binding id="Obj" type="matrix" appref="{75E34E6F-58BE-4CB4-91FC-D165715FB27B}"/>
    <we:binding id="Var0" type="matrix" appref="{4C250E1E-5F84-4255-84E6-7D704BA1DC4B}"/>
    <we:binding id="Var$B$52:$B$58" type="matrix" appref="{C5687771-5974-466D-884F-CE68354ECC1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56"/>
  <sheetViews>
    <sheetView tabSelected="1" topLeftCell="B50" zoomScale="90" zoomScaleNormal="90" workbookViewId="0">
      <selection activeCell="M70" sqref="M70"/>
    </sheetView>
  </sheetViews>
  <sheetFormatPr baseColWidth="10" defaultColWidth="8.88671875" defaultRowHeight="13.2" x14ac:dyDescent="0.25"/>
  <cols>
    <col min="1" max="1" width="21" customWidth="1"/>
    <col min="2" max="2" width="13.77734375" customWidth="1"/>
    <col min="3" max="3" width="22.77734375" customWidth="1"/>
    <col min="4" max="4" width="11.44140625" customWidth="1"/>
    <col min="5" max="5" width="19.21875" customWidth="1"/>
    <col min="6" max="6" width="13.44140625" customWidth="1"/>
    <col min="7" max="7" width="11.44140625" customWidth="1"/>
    <col min="8" max="8" width="15.5546875" customWidth="1"/>
    <col min="9" max="9" width="13.77734375" customWidth="1"/>
    <col min="10" max="256" width="11.44140625" customWidth="1"/>
  </cols>
  <sheetData>
    <row r="1" spans="1:3" ht="13.8" thickBot="1" x14ac:dyDescent="0.3"/>
    <row r="2" spans="1:3" ht="18.600000000000001" thickBot="1" x14ac:dyDescent="0.45">
      <c r="A2" s="2" t="s">
        <v>12</v>
      </c>
      <c r="B2" s="1">
        <v>0.08</v>
      </c>
    </row>
    <row r="4" spans="1:3" ht="13.8" thickBot="1" x14ac:dyDescent="0.3"/>
    <row r="5" spans="1:3" ht="14.4" thickBot="1" x14ac:dyDescent="0.35">
      <c r="A5" s="17"/>
      <c r="B5" s="7" t="s">
        <v>5</v>
      </c>
      <c r="C5" s="9" t="s">
        <v>15</v>
      </c>
    </row>
    <row r="6" spans="1:3" ht="13.8" x14ac:dyDescent="0.3">
      <c r="A6" s="4" t="s">
        <v>0</v>
      </c>
      <c r="B6" s="18">
        <v>0.15</v>
      </c>
      <c r="C6" s="19">
        <v>0.13</v>
      </c>
    </row>
    <row r="7" spans="1:3" ht="13.8" x14ac:dyDescent="0.3">
      <c r="A7" s="5" t="s">
        <v>21</v>
      </c>
      <c r="B7" s="20">
        <v>0.1</v>
      </c>
      <c r="C7" s="21">
        <v>0.09</v>
      </c>
    </row>
    <row r="8" spans="1:3" ht="13.8" x14ac:dyDescent="0.3">
      <c r="A8" s="5" t="s">
        <v>20</v>
      </c>
      <c r="B8" s="20">
        <v>0.2</v>
      </c>
      <c r="C8" s="21">
        <v>0.15</v>
      </c>
    </row>
    <row r="9" spans="1:3" ht="13.8" x14ac:dyDescent="0.3">
      <c r="A9" s="5" t="s">
        <v>1</v>
      </c>
      <c r="B9" s="20">
        <v>0.19</v>
      </c>
      <c r="C9" s="21">
        <v>0.16</v>
      </c>
    </row>
    <row r="10" spans="1:3" ht="13.8" x14ac:dyDescent="0.3">
      <c r="A10" s="5" t="s">
        <v>3</v>
      </c>
      <c r="B10" s="20">
        <v>0.22</v>
      </c>
      <c r="C10" s="21">
        <v>0.15</v>
      </c>
    </row>
    <row r="11" spans="1:3" ht="13.8" x14ac:dyDescent="0.3">
      <c r="A11" s="5" t="s">
        <v>2</v>
      </c>
      <c r="B11" s="20">
        <v>0.14000000000000001</v>
      </c>
      <c r="C11" s="21">
        <v>0.08</v>
      </c>
    </row>
    <row r="12" spans="1:3" ht="14.4" thickBot="1" x14ac:dyDescent="0.35">
      <c r="A12" s="6" t="s">
        <v>4</v>
      </c>
      <c r="B12" s="22">
        <v>0.24</v>
      </c>
      <c r="C12" s="23">
        <v>0.17</v>
      </c>
    </row>
    <row r="18" spans="1:8" ht="14.4" thickBot="1" x14ac:dyDescent="0.35">
      <c r="B18" s="3" t="s">
        <v>13</v>
      </c>
    </row>
    <row r="19" spans="1:8" ht="14.4" thickBot="1" x14ac:dyDescent="0.35">
      <c r="B19" s="7" t="str">
        <f>A20</f>
        <v>Dólares</v>
      </c>
      <c r="C19" s="8" t="str">
        <f>A21</f>
        <v>Ecopetrol</v>
      </c>
      <c r="D19" s="8" t="str">
        <f>A22</f>
        <v>Grupo Argos</v>
      </c>
      <c r="E19" s="8" t="str">
        <f>A23</f>
        <v>Bancolombia</v>
      </c>
      <c r="F19" s="8" t="str">
        <f>A24</f>
        <v>Éxito</v>
      </c>
      <c r="G19" s="8" t="str">
        <f>A25</f>
        <v>CDT</v>
      </c>
      <c r="H19" s="9" t="str">
        <f>A26</f>
        <v>Acciones USA</v>
      </c>
    </row>
    <row r="20" spans="1:8" ht="13.8" x14ac:dyDescent="0.3">
      <c r="A20" s="4" t="s">
        <v>0</v>
      </c>
      <c r="B20" s="56">
        <v>1</v>
      </c>
      <c r="C20" s="59">
        <v>0.5</v>
      </c>
      <c r="D20" s="60">
        <v>0.2</v>
      </c>
      <c r="E20" s="63">
        <v>0.25</v>
      </c>
      <c r="F20" s="10">
        <v>0.19</v>
      </c>
      <c r="G20" s="10">
        <v>0.14000000000000001</v>
      </c>
      <c r="H20" s="11">
        <v>0.8</v>
      </c>
    </row>
    <row r="21" spans="1:8" ht="13.8" x14ac:dyDescent="0.3">
      <c r="A21" s="5" t="s">
        <v>21</v>
      </c>
      <c r="B21" s="58">
        <v>0.5</v>
      </c>
      <c r="C21" s="57">
        <v>1</v>
      </c>
      <c r="D21" s="13">
        <v>0.3</v>
      </c>
      <c r="E21" s="13">
        <v>0.25</v>
      </c>
      <c r="F21" s="13">
        <v>0.27</v>
      </c>
      <c r="G21" s="13">
        <v>0.5</v>
      </c>
      <c r="H21" s="14">
        <v>0.3</v>
      </c>
    </row>
    <row r="22" spans="1:8" ht="13.8" x14ac:dyDescent="0.3">
      <c r="A22" s="5" t="s">
        <v>20</v>
      </c>
      <c r="B22" s="61">
        <v>0.2</v>
      </c>
      <c r="C22" s="13">
        <v>0.3</v>
      </c>
      <c r="D22" s="57">
        <v>1</v>
      </c>
      <c r="E22" s="13">
        <v>0.4</v>
      </c>
      <c r="F22" s="13">
        <v>0.45</v>
      </c>
      <c r="G22" s="13">
        <v>0.3</v>
      </c>
      <c r="H22" s="14">
        <v>0.24</v>
      </c>
    </row>
    <row r="23" spans="1:8" ht="13.8" x14ac:dyDescent="0.3">
      <c r="A23" s="5" t="s">
        <v>1</v>
      </c>
      <c r="B23" s="62">
        <v>0.25</v>
      </c>
      <c r="C23" s="13">
        <v>0.25</v>
      </c>
      <c r="D23" s="13">
        <v>0.4</v>
      </c>
      <c r="E23" s="57">
        <v>1</v>
      </c>
      <c r="F23" s="13">
        <v>0.55000000000000004</v>
      </c>
      <c r="G23" s="13">
        <v>0.21</v>
      </c>
      <c r="H23" s="14">
        <v>0.34</v>
      </c>
    </row>
    <row r="24" spans="1:8" ht="13.8" x14ac:dyDescent="0.3">
      <c r="A24" s="5" t="s">
        <v>3</v>
      </c>
      <c r="B24" s="12">
        <v>0.19</v>
      </c>
      <c r="C24" s="13">
        <v>0.27</v>
      </c>
      <c r="D24" s="13">
        <v>0.45</v>
      </c>
      <c r="E24" s="13">
        <v>0.55000000000000004</v>
      </c>
      <c r="F24" s="57">
        <v>1</v>
      </c>
      <c r="G24" s="13">
        <v>0.2</v>
      </c>
      <c r="H24" s="14">
        <v>0.18</v>
      </c>
    </row>
    <row r="25" spans="1:8" ht="13.8" x14ac:dyDescent="0.3">
      <c r="A25" s="5" t="s">
        <v>2</v>
      </c>
      <c r="B25" s="12">
        <v>0.14000000000000001</v>
      </c>
      <c r="C25" s="13">
        <v>0.5</v>
      </c>
      <c r="D25" s="13">
        <v>0.3</v>
      </c>
      <c r="E25" s="13">
        <v>0.21</v>
      </c>
      <c r="F25" s="13">
        <v>0.2</v>
      </c>
      <c r="G25" s="57">
        <v>1</v>
      </c>
      <c r="H25" s="14">
        <v>0.11</v>
      </c>
    </row>
    <row r="26" spans="1:8" ht="14.4" thickBot="1" x14ac:dyDescent="0.35">
      <c r="A26" s="6" t="s">
        <v>4</v>
      </c>
      <c r="B26" s="15">
        <v>0.8</v>
      </c>
      <c r="C26" s="16">
        <v>0.3</v>
      </c>
      <c r="D26" s="16">
        <v>0.24</v>
      </c>
      <c r="E26" s="16">
        <v>0.34</v>
      </c>
      <c r="F26" s="16">
        <v>0.18</v>
      </c>
      <c r="G26" s="16">
        <v>0.11</v>
      </c>
      <c r="H26" s="78">
        <v>1</v>
      </c>
    </row>
    <row r="32" spans="1:8" ht="14.4" thickBot="1" x14ac:dyDescent="0.35">
      <c r="B32" s="3" t="s">
        <v>14</v>
      </c>
    </row>
    <row r="33" spans="1:8" ht="14.4" thickBot="1" x14ac:dyDescent="0.35">
      <c r="B33" s="7" t="str">
        <f>A34</f>
        <v>Dólares</v>
      </c>
      <c r="C33" s="8" t="str">
        <f>A35</f>
        <v>Ecopetrol</v>
      </c>
      <c r="D33" s="8" t="str">
        <f>A36</f>
        <v>Grupo Argos</v>
      </c>
      <c r="E33" s="8" t="str">
        <f>A37</f>
        <v>Bancolombia</v>
      </c>
      <c r="F33" s="8" t="str">
        <f>A38</f>
        <v>Éxito</v>
      </c>
      <c r="G33" s="8" t="str">
        <f>A39</f>
        <v>CDT</v>
      </c>
      <c r="H33" s="9" t="str">
        <f>A40</f>
        <v>Acciones USA</v>
      </c>
    </row>
    <row r="34" spans="1:8" ht="13.8" x14ac:dyDescent="0.3">
      <c r="A34" s="4" t="str">
        <f t="shared" ref="A34:A40" si="0">A20</f>
        <v>Dólares</v>
      </c>
      <c r="B34" s="45">
        <f t="shared" ref="B34:B40" si="1">(B20*$B6*B$6*10000)/10000</f>
        <v>2.2499999999999999E-2</v>
      </c>
      <c r="C34" s="46">
        <f t="shared" ref="C34:C40" si="2">(C20*$B6*B$7*10000)/10000</f>
        <v>7.4999999999999997E-3</v>
      </c>
      <c r="D34" s="47">
        <f t="shared" ref="D34:D40" si="3">(D20*$B6*B$8*10000)/10000</f>
        <v>6.0000000000000001E-3</v>
      </c>
      <c r="E34" s="48">
        <f t="shared" ref="E34:E40" si="4">(E20*$B6*B$9*10000)/10000</f>
        <v>7.1250000000000003E-3</v>
      </c>
      <c r="F34" s="44">
        <f t="shared" ref="F34:F40" si="5">(F20*$B6*B$10*10000)/10000</f>
        <v>6.2699999999999995E-3</v>
      </c>
      <c r="G34" s="44">
        <f t="shared" ref="G34:G40" si="6">(G20*$B6*B$11*10000)/10000</f>
        <v>2.9400000000000003E-3</v>
      </c>
      <c r="H34" s="44">
        <f t="shared" ref="H34:H40" si="7">(H20*$B6*B$12*10000)/10000</f>
        <v>2.8799999999999999E-2</v>
      </c>
    </row>
    <row r="35" spans="1:8" ht="13.8" x14ac:dyDescent="0.3">
      <c r="A35" s="5" t="str">
        <f t="shared" si="0"/>
        <v>Ecopetrol</v>
      </c>
      <c r="B35" s="46">
        <f>(B21*$B7*B$6*10000)/10000</f>
        <v>7.4999999999999997E-3</v>
      </c>
      <c r="C35" s="45">
        <f t="shared" si="2"/>
        <v>1.0000000000000002E-2</v>
      </c>
      <c r="D35" s="44">
        <f t="shared" si="3"/>
        <v>6.0000000000000001E-3</v>
      </c>
      <c r="E35" s="44">
        <f t="shared" si="4"/>
        <v>4.7500000000000007E-3</v>
      </c>
      <c r="F35" s="44">
        <f t="shared" si="5"/>
        <v>5.9400000000000008E-3</v>
      </c>
      <c r="G35" s="44">
        <f t="shared" si="6"/>
        <v>7.000000000000001E-3</v>
      </c>
      <c r="H35" s="44">
        <f t="shared" si="7"/>
        <v>7.1999999999999998E-3</v>
      </c>
    </row>
    <row r="36" spans="1:8" ht="13.8" x14ac:dyDescent="0.3">
      <c r="A36" s="5" t="str">
        <f t="shared" si="0"/>
        <v>Grupo Argos</v>
      </c>
      <c r="B36" s="47">
        <f t="shared" si="1"/>
        <v>6.000000000000001E-3</v>
      </c>
      <c r="C36" s="44">
        <f t="shared" si="2"/>
        <v>6.0000000000000001E-3</v>
      </c>
      <c r="D36" s="45">
        <f t="shared" si="3"/>
        <v>4.0000000000000008E-2</v>
      </c>
      <c r="E36" s="44">
        <f t="shared" si="4"/>
        <v>1.5200000000000003E-2</v>
      </c>
      <c r="F36" s="44">
        <f t="shared" si="5"/>
        <v>1.9800000000000002E-2</v>
      </c>
      <c r="G36" s="44">
        <f t="shared" si="6"/>
        <v>8.4000000000000012E-3</v>
      </c>
      <c r="H36" s="44">
        <f t="shared" si="7"/>
        <v>1.1519999999999999E-2</v>
      </c>
    </row>
    <row r="37" spans="1:8" ht="13.8" x14ac:dyDescent="0.3">
      <c r="A37" s="5" t="str">
        <f t="shared" si="0"/>
        <v>Bancolombia</v>
      </c>
      <c r="B37" s="48">
        <f t="shared" si="1"/>
        <v>7.1250000000000003E-3</v>
      </c>
      <c r="C37" s="44">
        <f t="shared" si="2"/>
        <v>4.7500000000000007E-3</v>
      </c>
      <c r="D37" s="44">
        <f t="shared" si="3"/>
        <v>1.5200000000000003E-2</v>
      </c>
      <c r="E37" s="45">
        <f t="shared" si="4"/>
        <v>3.61E-2</v>
      </c>
      <c r="F37" s="44">
        <f t="shared" si="5"/>
        <v>2.2990000000000003E-2</v>
      </c>
      <c r="G37" s="44">
        <f t="shared" si="6"/>
        <v>5.5859999999999998E-3</v>
      </c>
      <c r="H37" s="44">
        <f t="shared" si="7"/>
        <v>1.5503999999999999E-2</v>
      </c>
    </row>
    <row r="38" spans="1:8" ht="13.8" x14ac:dyDescent="0.3">
      <c r="A38" s="5" t="str">
        <f t="shared" si="0"/>
        <v>Éxito</v>
      </c>
      <c r="B38" s="44">
        <f t="shared" si="1"/>
        <v>6.2700000000000004E-3</v>
      </c>
      <c r="C38" s="44">
        <f t="shared" si="2"/>
        <v>5.9400000000000008E-3</v>
      </c>
      <c r="D38" s="44">
        <f t="shared" si="3"/>
        <v>1.9800000000000002E-2</v>
      </c>
      <c r="E38" s="44">
        <f t="shared" si="4"/>
        <v>2.2990000000000003E-2</v>
      </c>
      <c r="F38" s="45">
        <f t="shared" si="5"/>
        <v>4.8399999999999999E-2</v>
      </c>
      <c r="G38" s="44">
        <f t="shared" si="6"/>
        <v>6.1600000000000014E-3</v>
      </c>
      <c r="H38" s="44">
        <f t="shared" si="7"/>
        <v>9.5039999999999986E-3</v>
      </c>
    </row>
    <row r="39" spans="1:8" ht="13.8" x14ac:dyDescent="0.3">
      <c r="A39" s="5" t="str">
        <f t="shared" si="0"/>
        <v>CDT</v>
      </c>
      <c r="B39" s="44">
        <f t="shared" si="1"/>
        <v>2.9400000000000003E-3</v>
      </c>
      <c r="C39" s="44">
        <f t="shared" si="2"/>
        <v>7.000000000000001E-3</v>
      </c>
      <c r="D39" s="44">
        <f t="shared" si="3"/>
        <v>8.4000000000000012E-3</v>
      </c>
      <c r="E39" s="44">
        <f t="shared" si="4"/>
        <v>5.5860000000000007E-3</v>
      </c>
      <c r="F39" s="44">
        <f t="shared" si="5"/>
        <v>6.1600000000000005E-3</v>
      </c>
      <c r="G39" s="45">
        <f t="shared" si="6"/>
        <v>1.9600000000000003E-2</v>
      </c>
      <c r="H39" s="44">
        <f t="shared" si="7"/>
        <v>3.6960000000000009E-3</v>
      </c>
    </row>
    <row r="40" spans="1:8" ht="14.4" thickBot="1" x14ac:dyDescent="0.35">
      <c r="A40" s="6" t="str">
        <f t="shared" si="0"/>
        <v>Acciones USA</v>
      </c>
      <c r="B40" s="44">
        <f t="shared" si="1"/>
        <v>2.8799999999999999E-2</v>
      </c>
      <c r="C40" s="44">
        <f t="shared" si="2"/>
        <v>7.1999999999999998E-3</v>
      </c>
      <c r="D40" s="44">
        <f t="shared" si="3"/>
        <v>1.1520000000000001E-2</v>
      </c>
      <c r="E40" s="44">
        <f t="shared" si="4"/>
        <v>1.5504000000000002E-2</v>
      </c>
      <c r="F40" s="44">
        <f t="shared" si="5"/>
        <v>9.5039999999999986E-3</v>
      </c>
      <c r="G40" s="44">
        <f t="shared" si="6"/>
        <v>3.6960000000000009E-3</v>
      </c>
      <c r="H40" s="45">
        <f t="shared" si="7"/>
        <v>5.7599999999999998E-2</v>
      </c>
    </row>
    <row r="42" spans="1:8" ht="15" x14ac:dyDescent="0.35">
      <c r="B42" s="68">
        <v>0.17142724870949141</v>
      </c>
      <c r="C42" s="17" t="s">
        <v>40</v>
      </c>
    </row>
    <row r="43" spans="1:8" ht="15.6" x14ac:dyDescent="0.35">
      <c r="A43" s="50" t="s">
        <v>24</v>
      </c>
      <c r="B43" s="68">
        <v>0</v>
      </c>
      <c r="C43" s="17" t="s">
        <v>41</v>
      </c>
      <c r="D43" s="17" t="s">
        <v>27</v>
      </c>
      <c r="E43" s="65"/>
      <c r="F43" s="17"/>
    </row>
    <row r="44" spans="1:8" ht="15" x14ac:dyDescent="0.35">
      <c r="B44" s="68">
        <v>0.22493445275998603</v>
      </c>
      <c r="C44" s="17" t="s">
        <v>43</v>
      </c>
      <c r="D44" s="17"/>
      <c r="E44" s="17"/>
      <c r="F44" s="65"/>
    </row>
    <row r="45" spans="1:8" ht="15" x14ac:dyDescent="0.35">
      <c r="B45" s="68">
        <v>0.33926355560308302</v>
      </c>
      <c r="C45" s="17" t="s">
        <v>44</v>
      </c>
      <c r="D45" s="17" t="s">
        <v>28</v>
      </c>
      <c r="E45" s="76" cm="1">
        <f t="array" ref="E45">MMULT(TRANSPOSE(w),Retorno2)</f>
        <v>0.15369210147497281</v>
      </c>
      <c r="F45" s="65">
        <f>SUMPRODUCT(w,Retorno2)</f>
        <v>0.15369210147497281</v>
      </c>
    </row>
    <row r="46" spans="1:8" ht="15" x14ac:dyDescent="0.35">
      <c r="B46" s="68">
        <v>7.7974198270850198E-2</v>
      </c>
      <c r="C46" s="17" t="s">
        <v>45</v>
      </c>
      <c r="D46" s="17"/>
      <c r="E46" s="17"/>
      <c r="F46" s="17"/>
    </row>
    <row r="47" spans="1:8" ht="15.6" x14ac:dyDescent="0.35">
      <c r="B47" s="68">
        <v>0</v>
      </c>
      <c r="C47" s="17" t="s">
        <v>46</v>
      </c>
      <c r="D47" s="17" t="s">
        <v>29</v>
      </c>
      <c r="E47" s="66"/>
      <c r="F47" s="17"/>
    </row>
    <row r="48" spans="1:8" ht="15" x14ac:dyDescent="0.35">
      <c r="B48" s="68">
        <v>0.1864005446565894</v>
      </c>
      <c r="C48" s="17" t="s">
        <v>47</v>
      </c>
      <c r="D48" s="49"/>
      <c r="E48" s="44"/>
    </row>
    <row r="49" spans="1:17" ht="15" x14ac:dyDescent="0.35">
      <c r="A49" s="50" t="s">
        <v>42</v>
      </c>
      <c r="B49" s="69">
        <f>SUM(w)</f>
        <v>1</v>
      </c>
      <c r="C49" s="17"/>
      <c r="D49" s="64" t="s">
        <v>26</v>
      </c>
      <c r="E49" s="67" cm="1">
        <f t="array" ref="E49">MMULT(MMULT(TRANSPOSE(w),MatVarCovar),w)</f>
        <v>1.9869373777192126E-2</v>
      </c>
    </row>
    <row r="50" spans="1:17" ht="15" x14ac:dyDescent="0.35">
      <c r="D50" s="64" t="s">
        <v>30</v>
      </c>
      <c r="E50" s="70">
        <f>SQRT(E49)</f>
        <v>0.14095876623038428</v>
      </c>
    </row>
    <row r="51" spans="1:17" x14ac:dyDescent="0.25">
      <c r="A51" s="49" t="s">
        <v>25</v>
      </c>
      <c r="B51" s="77">
        <f>(E45-B2)/E50</f>
        <v>0.5227919018142495</v>
      </c>
    </row>
    <row r="52" spans="1:17" ht="13.8" thickBot="1" x14ac:dyDescent="0.3">
      <c r="P52" s="49" t="s">
        <v>48</v>
      </c>
      <c r="Q52" s="49" t="s">
        <v>49</v>
      </c>
    </row>
    <row r="53" spans="1:17" ht="16.2" x14ac:dyDescent="0.25">
      <c r="A53" s="34" t="s">
        <v>16</v>
      </c>
      <c r="B53" s="35" t="s">
        <v>17</v>
      </c>
      <c r="C53" s="26" t="s">
        <v>6</v>
      </c>
      <c r="D53" s="27" t="s">
        <v>22</v>
      </c>
      <c r="E53" s="27" t="s">
        <v>23</v>
      </c>
      <c r="F53" s="27" t="s">
        <v>7</v>
      </c>
      <c r="G53" s="27" t="s">
        <v>8</v>
      </c>
      <c r="H53" s="27" t="s">
        <v>9</v>
      </c>
      <c r="I53" s="28" t="s">
        <v>10</v>
      </c>
      <c r="P53" s="79">
        <v>0</v>
      </c>
      <c r="Q53" s="80">
        <f>$B$2+$B$51*P53</f>
        <v>0.08</v>
      </c>
    </row>
    <row r="54" spans="1:17" ht="13.8" x14ac:dyDescent="0.3">
      <c r="A54" s="24">
        <v>0.09</v>
      </c>
      <c r="B54" s="51">
        <v>9.5731285353140169E-2</v>
      </c>
      <c r="C54" s="36">
        <v>3.6686001135686756E-2</v>
      </c>
      <c r="D54" s="37">
        <v>0.72405222961144433</v>
      </c>
      <c r="E54" s="37">
        <v>0</v>
      </c>
      <c r="F54" s="37">
        <v>1.1564718619244645E-2</v>
      </c>
      <c r="G54" s="37">
        <v>0</v>
      </c>
      <c r="H54" s="37">
        <v>0.2276970501984959</v>
      </c>
      <c r="I54" s="38">
        <v>0</v>
      </c>
      <c r="P54" s="79">
        <f>P53+0.01</f>
        <v>0.01</v>
      </c>
      <c r="Q54" s="80">
        <f t="shared" ref="Q54:Q73" si="8">$B$2+$B$51*P54</f>
        <v>8.5227919018142501E-2</v>
      </c>
    </row>
    <row r="55" spans="1:17" ht="13.8" x14ac:dyDescent="0.3">
      <c r="A55" s="24">
        <v>0.1</v>
      </c>
      <c r="B55" s="51">
        <v>9.2469939784613778E-2</v>
      </c>
      <c r="C55" s="36">
        <v>0.11112485018690262</v>
      </c>
      <c r="D55" s="37">
        <v>0.59841989400225437</v>
      </c>
      <c r="E55" s="37">
        <v>2.3625359525843704E-2</v>
      </c>
      <c r="F55" s="37">
        <v>7.6048048593611473E-2</v>
      </c>
      <c r="G55" s="37">
        <v>1.0313415018985949E-2</v>
      </c>
      <c r="H55" s="37">
        <v>0.18046843438334476</v>
      </c>
      <c r="I55" s="38">
        <v>0</v>
      </c>
      <c r="P55" s="79">
        <f t="shared" ref="P55:P73" si="9">P54+0.01</f>
        <v>0.02</v>
      </c>
      <c r="Q55" s="80">
        <f t="shared" si="8"/>
        <v>9.0455838036284986E-2</v>
      </c>
    </row>
    <row r="56" spans="1:17" ht="13.8" x14ac:dyDescent="0.3">
      <c r="A56" s="24">
        <v>0.11</v>
      </c>
      <c r="B56" s="51">
        <v>9.3667552981643656E-2</v>
      </c>
      <c r="C56" s="36">
        <v>0.17856989977023777</v>
      </c>
      <c r="D56" s="37">
        <v>0.47603133982466134</v>
      </c>
      <c r="E56" s="37">
        <v>6.8711508526223916E-2</v>
      </c>
      <c r="F56" s="37">
        <v>0.12986092123335383</v>
      </c>
      <c r="G56" s="37">
        <v>1.5893032186164828E-2</v>
      </c>
      <c r="H56" s="37">
        <v>0.13093329799016379</v>
      </c>
      <c r="I56" s="38">
        <v>0</v>
      </c>
      <c r="P56" s="79">
        <f t="shared" si="9"/>
        <v>0.03</v>
      </c>
      <c r="Q56" s="80">
        <f t="shared" si="8"/>
        <v>9.5683757054427485E-2</v>
      </c>
    </row>
    <row r="57" spans="1:17" ht="13.8" x14ac:dyDescent="0.3">
      <c r="A57" s="24">
        <v>0.12</v>
      </c>
      <c r="B57" s="52">
        <v>9.9099999999999994E-2</v>
      </c>
      <c r="C57" s="36">
        <v>0.24585328738873866</v>
      </c>
      <c r="D57" s="37">
        <v>0.35206173811908509</v>
      </c>
      <c r="E57" s="37">
        <v>0.10894410304474975</v>
      </c>
      <c r="F57" s="37">
        <v>0.17782923723512944</v>
      </c>
      <c r="G57" s="37">
        <v>3.3347041720861191E-2</v>
      </c>
      <c r="H57" s="37">
        <v>8.1964592491435881E-2</v>
      </c>
      <c r="I57" s="38">
        <v>0</v>
      </c>
      <c r="P57" s="79">
        <f t="shared" si="9"/>
        <v>0.04</v>
      </c>
      <c r="Q57" s="80">
        <f t="shared" si="8"/>
        <v>0.10091167607256998</v>
      </c>
    </row>
    <row r="58" spans="1:17" ht="13.8" x14ac:dyDescent="0.3">
      <c r="A58" s="24">
        <v>0.13</v>
      </c>
      <c r="B58" s="52">
        <v>0.1081</v>
      </c>
      <c r="C58" s="36">
        <v>0.31287053609156046</v>
      </c>
      <c r="D58" s="37">
        <v>0.22901636571504097</v>
      </c>
      <c r="E58" s="37">
        <v>0.15166225705269373</v>
      </c>
      <c r="F58" s="37">
        <v>0.22878955131019155</v>
      </c>
      <c r="G58" s="37">
        <v>4.4954118571661775E-2</v>
      </c>
      <c r="H58" s="37">
        <v>3.2707171258851482E-2</v>
      </c>
      <c r="I58" s="38">
        <v>0</v>
      </c>
      <c r="P58" s="79">
        <f t="shared" si="9"/>
        <v>0.05</v>
      </c>
      <c r="Q58" s="80">
        <f t="shared" si="8"/>
        <v>0.10613959509071248</v>
      </c>
    </row>
    <row r="59" spans="1:17" ht="13.8" x14ac:dyDescent="0.3">
      <c r="A59" s="24">
        <v>0.14000000000000001</v>
      </c>
      <c r="B59" s="52">
        <v>0.11990000000000001</v>
      </c>
      <c r="C59" s="36">
        <v>0.36635530798843768</v>
      </c>
      <c r="D59" s="37">
        <v>9.4982692394564028E-2</v>
      </c>
      <c r="E59" s="37">
        <v>0.19152726432836809</v>
      </c>
      <c r="F59" s="37">
        <v>0.27628384187075655</v>
      </c>
      <c r="G59" s="37">
        <v>5.7689375039158775E-2</v>
      </c>
      <c r="H59" s="37">
        <v>0</v>
      </c>
      <c r="I59" s="38">
        <v>1.3161518378714966E-2</v>
      </c>
      <c r="P59" s="79">
        <f t="shared" si="9"/>
        <v>6.0000000000000005E-2</v>
      </c>
      <c r="Q59" s="80">
        <f t="shared" si="8"/>
        <v>0.11136751410885498</v>
      </c>
    </row>
    <row r="60" spans="1:17" ht="13.8" x14ac:dyDescent="0.3">
      <c r="A60" s="24">
        <v>0.15</v>
      </c>
      <c r="B60" s="52">
        <v>0.1343</v>
      </c>
      <c r="C60" s="36">
        <v>0.27378602255194751</v>
      </c>
      <c r="D60" s="37">
        <v>0</v>
      </c>
      <c r="E60" s="37">
        <v>0.21908739144932174</v>
      </c>
      <c r="F60" s="37">
        <v>0.3216909625056168</v>
      </c>
      <c r="G60" s="37">
        <v>7.2495060561549765E-2</v>
      </c>
      <c r="H60" s="37">
        <v>0</v>
      </c>
      <c r="I60" s="38">
        <v>0.11294056293156418</v>
      </c>
      <c r="P60" s="79">
        <f t="shared" si="9"/>
        <v>7.0000000000000007E-2</v>
      </c>
      <c r="Q60" s="80">
        <f t="shared" si="8"/>
        <v>0.11659543312699747</v>
      </c>
    </row>
    <row r="61" spans="1:17" ht="14.4" thickBot="1" x14ac:dyDescent="0.35">
      <c r="A61" s="25">
        <v>0.16</v>
      </c>
      <c r="B61" s="53">
        <v>0.154</v>
      </c>
      <c r="C61" s="39">
        <v>0</v>
      </c>
      <c r="D61" s="40">
        <v>0</v>
      </c>
      <c r="E61" s="40">
        <v>0.23042774290284429</v>
      </c>
      <c r="F61" s="40">
        <v>0.37206956869138924</v>
      </c>
      <c r="G61" s="40">
        <v>8.3537495128038958E-2</v>
      </c>
      <c r="H61" s="40">
        <v>0</v>
      </c>
      <c r="I61" s="41">
        <v>0.31396519327772748</v>
      </c>
      <c r="P61" s="79">
        <f t="shared" si="9"/>
        <v>0.08</v>
      </c>
      <c r="Q61" s="80">
        <f t="shared" si="8"/>
        <v>0.12182335214513997</v>
      </c>
    </row>
    <row r="62" spans="1:17" x14ac:dyDescent="0.25">
      <c r="P62" s="79">
        <f t="shared" si="9"/>
        <v>0.09</v>
      </c>
      <c r="Q62" s="80">
        <f t="shared" si="8"/>
        <v>0.12705127116328246</v>
      </c>
    </row>
    <row r="63" spans="1:17" x14ac:dyDescent="0.25">
      <c r="P63" s="79">
        <f t="shared" si="9"/>
        <v>9.9999999999999992E-2</v>
      </c>
      <c r="Q63" s="80">
        <f t="shared" si="8"/>
        <v>0.13227919018142495</v>
      </c>
    </row>
    <row r="64" spans="1:17" x14ac:dyDescent="0.25">
      <c r="P64" s="79">
        <f t="shared" si="9"/>
        <v>0.10999999999999999</v>
      </c>
      <c r="Q64" s="80">
        <f t="shared" si="8"/>
        <v>0.13750710919956743</v>
      </c>
    </row>
    <row r="65" spans="16:17" x14ac:dyDescent="0.25">
      <c r="P65" s="79">
        <f t="shared" si="9"/>
        <v>0.11999999999999998</v>
      </c>
      <c r="Q65" s="80">
        <f t="shared" si="8"/>
        <v>0.14273502821770995</v>
      </c>
    </row>
    <row r="66" spans="16:17" x14ac:dyDescent="0.25">
      <c r="P66" s="79">
        <f t="shared" si="9"/>
        <v>0.12999999999999998</v>
      </c>
      <c r="Q66" s="80">
        <f t="shared" si="8"/>
        <v>0.1479629472358524</v>
      </c>
    </row>
    <row r="67" spans="16:17" x14ac:dyDescent="0.25">
      <c r="P67" s="79">
        <f t="shared" si="9"/>
        <v>0.13999999999999999</v>
      </c>
      <c r="Q67" s="80">
        <f t="shared" si="8"/>
        <v>0.15319086625399492</v>
      </c>
    </row>
    <row r="68" spans="16:17" x14ac:dyDescent="0.25">
      <c r="P68" s="79">
        <f t="shared" si="9"/>
        <v>0.15</v>
      </c>
      <c r="Q68" s="80">
        <f t="shared" si="8"/>
        <v>0.15841878527213743</v>
      </c>
    </row>
    <row r="69" spans="16:17" x14ac:dyDescent="0.25">
      <c r="P69" s="79">
        <f t="shared" si="9"/>
        <v>0.16</v>
      </c>
      <c r="Q69" s="80">
        <f t="shared" si="8"/>
        <v>0.16364670429027994</v>
      </c>
    </row>
    <row r="70" spans="16:17" x14ac:dyDescent="0.25">
      <c r="P70" s="79">
        <f t="shared" si="9"/>
        <v>0.17</v>
      </c>
      <c r="Q70" s="80">
        <f t="shared" si="8"/>
        <v>0.16887462330842243</v>
      </c>
    </row>
    <row r="71" spans="16:17" x14ac:dyDescent="0.25">
      <c r="P71" s="79">
        <f t="shared" si="9"/>
        <v>0.18000000000000002</v>
      </c>
      <c r="Q71" s="80">
        <f t="shared" si="8"/>
        <v>0.17410254232656491</v>
      </c>
    </row>
    <row r="72" spans="16:17" x14ac:dyDescent="0.25">
      <c r="P72" s="79">
        <f t="shared" si="9"/>
        <v>0.19000000000000003</v>
      </c>
      <c r="Q72" s="80">
        <f t="shared" si="8"/>
        <v>0.17933046134470743</v>
      </c>
    </row>
    <row r="73" spans="16:17" x14ac:dyDescent="0.25">
      <c r="P73" s="79">
        <f t="shared" si="9"/>
        <v>0.20000000000000004</v>
      </c>
      <c r="Q73" s="80">
        <f t="shared" si="8"/>
        <v>0.18455838036284994</v>
      </c>
    </row>
    <row r="86" spans="1:6" ht="14.4" thickBot="1" x14ac:dyDescent="0.35">
      <c r="E86" s="17" t="s">
        <v>25</v>
      </c>
      <c r="F86" s="71">
        <f>(E45-B2)/E50</f>
        <v>0.5227919018142495</v>
      </c>
    </row>
    <row r="87" spans="1:6" ht="15" x14ac:dyDescent="0.25">
      <c r="A87" s="34" t="s">
        <v>16</v>
      </c>
      <c r="B87" s="35" t="s">
        <v>17</v>
      </c>
      <c r="C87" s="30" t="s">
        <v>11</v>
      </c>
    </row>
    <row r="88" spans="1:6" ht="13.8" x14ac:dyDescent="0.3">
      <c r="A88" s="31">
        <v>0.09</v>
      </c>
      <c r="B88" s="51">
        <v>9.5731285353140169E-2</v>
      </c>
      <c r="C88" s="32">
        <f>(A88-$B$2)/(B88)</f>
        <v>0.10445905915826059</v>
      </c>
    </row>
    <row r="89" spans="1:6" ht="13.8" x14ac:dyDescent="0.3">
      <c r="A89" s="31">
        <v>0.1</v>
      </c>
      <c r="B89" s="51">
        <v>9.2469939449962443E-2</v>
      </c>
      <c r="C89" s="32">
        <f t="shared" ref="C89:C95" si="10">(A89-$B$2)/(B89)</f>
        <v>0.21628650477080125</v>
      </c>
      <c r="E89" s="49"/>
      <c r="F89" s="54"/>
    </row>
    <row r="90" spans="1:6" ht="13.8" x14ac:dyDescent="0.3">
      <c r="A90" s="31">
        <v>0.11</v>
      </c>
      <c r="B90" s="51">
        <v>9.3667552981643656E-2</v>
      </c>
      <c r="C90" s="32">
        <f t="shared" si="10"/>
        <v>0.32028166686364912</v>
      </c>
      <c r="F90" s="43"/>
    </row>
    <row r="91" spans="1:6" ht="13.8" x14ac:dyDescent="0.3">
      <c r="A91" s="31">
        <v>0.12</v>
      </c>
      <c r="B91" s="52">
        <v>9.9099999999999994E-2</v>
      </c>
      <c r="C91" s="32">
        <f t="shared" si="10"/>
        <v>0.40363269424823406</v>
      </c>
      <c r="F91" s="43"/>
    </row>
    <row r="92" spans="1:6" ht="13.8" x14ac:dyDescent="0.3">
      <c r="A92" s="31">
        <v>0.13</v>
      </c>
      <c r="B92" s="52">
        <v>0.1081</v>
      </c>
      <c r="C92" s="32">
        <f t="shared" si="10"/>
        <v>0.46253469010175763</v>
      </c>
    </row>
    <row r="93" spans="1:6" ht="13.8" x14ac:dyDescent="0.3">
      <c r="A93" s="31">
        <v>0.14000000000000001</v>
      </c>
      <c r="B93" s="52">
        <v>0.11990000000000001</v>
      </c>
      <c r="C93" s="32">
        <f t="shared" si="10"/>
        <v>0.50041701417848217</v>
      </c>
    </row>
    <row r="94" spans="1:6" ht="13.8" x14ac:dyDescent="0.3">
      <c r="A94" s="31">
        <v>0.15</v>
      </c>
      <c r="B94" s="52">
        <v>0.1343</v>
      </c>
      <c r="C94" s="32">
        <f t="shared" si="10"/>
        <v>0.52122114668652264</v>
      </c>
    </row>
    <row r="95" spans="1:6" ht="14.4" thickBot="1" x14ac:dyDescent="0.35">
      <c r="A95" s="33">
        <v>0.16</v>
      </c>
      <c r="B95" s="53">
        <v>0.154</v>
      </c>
      <c r="C95" s="32">
        <f t="shared" si="10"/>
        <v>0.51948051948051954</v>
      </c>
    </row>
    <row r="97" spans="1:3" ht="13.8" x14ac:dyDescent="0.3">
      <c r="A97" s="17"/>
      <c r="B97" s="17"/>
    </row>
    <row r="98" spans="1:3" ht="13.8" x14ac:dyDescent="0.3">
      <c r="A98" s="17"/>
      <c r="B98" s="17"/>
    </row>
    <row r="99" spans="1:3" ht="15.6" thickBot="1" x14ac:dyDescent="0.4">
      <c r="C99" s="17" t="s">
        <v>31</v>
      </c>
    </row>
    <row r="100" spans="1:3" ht="15" x14ac:dyDescent="0.25">
      <c r="A100" s="35" t="s">
        <v>18</v>
      </c>
      <c r="B100" s="42" t="s">
        <v>19</v>
      </c>
    </row>
    <row r="101" spans="1:3" ht="13.8" x14ac:dyDescent="0.3">
      <c r="A101" s="72">
        <v>0</v>
      </c>
      <c r="B101" s="29">
        <f>$F$86*A101+$B$2</f>
        <v>0.08</v>
      </c>
    </row>
    <row r="102" spans="1:3" ht="13.8" x14ac:dyDescent="0.3">
      <c r="A102" s="55">
        <f>+A101+1%</f>
        <v>0.01</v>
      </c>
      <c r="B102" s="29">
        <f t="shared" ref="B102:B117" si="11">$F$86*A102+$B$2</f>
        <v>8.5227919018142501E-2</v>
      </c>
    </row>
    <row r="103" spans="1:3" ht="13.8" x14ac:dyDescent="0.3">
      <c r="A103" s="55">
        <f t="shared" ref="A103:A117" si="12">+A102+1%</f>
        <v>0.02</v>
      </c>
      <c r="B103" s="29">
        <f t="shared" si="11"/>
        <v>9.0455838036284986E-2</v>
      </c>
    </row>
    <row r="104" spans="1:3" ht="13.8" x14ac:dyDescent="0.3">
      <c r="A104" s="55">
        <f t="shared" si="12"/>
        <v>0.03</v>
      </c>
      <c r="B104" s="29">
        <f t="shared" si="11"/>
        <v>9.5683757054427485E-2</v>
      </c>
    </row>
    <row r="105" spans="1:3" ht="13.8" x14ac:dyDescent="0.3">
      <c r="A105" s="55">
        <f t="shared" si="12"/>
        <v>0.04</v>
      </c>
      <c r="B105" s="29">
        <f t="shared" si="11"/>
        <v>0.10091167607256998</v>
      </c>
    </row>
    <row r="106" spans="1:3" ht="13.8" x14ac:dyDescent="0.3">
      <c r="A106" s="55">
        <f t="shared" si="12"/>
        <v>0.05</v>
      </c>
      <c r="B106" s="29">
        <f t="shared" si="11"/>
        <v>0.10613959509071248</v>
      </c>
    </row>
    <row r="107" spans="1:3" ht="13.8" x14ac:dyDescent="0.3">
      <c r="A107" s="55">
        <f t="shared" si="12"/>
        <v>6.0000000000000005E-2</v>
      </c>
      <c r="B107" s="29">
        <f t="shared" si="11"/>
        <v>0.11136751410885498</v>
      </c>
    </row>
    <row r="108" spans="1:3" ht="13.8" x14ac:dyDescent="0.3">
      <c r="A108" s="55">
        <f t="shared" si="12"/>
        <v>7.0000000000000007E-2</v>
      </c>
      <c r="B108" s="29">
        <f t="shared" si="11"/>
        <v>0.11659543312699747</v>
      </c>
    </row>
    <row r="109" spans="1:3" ht="13.8" x14ac:dyDescent="0.3">
      <c r="A109" s="55">
        <f t="shared" si="12"/>
        <v>0.08</v>
      </c>
      <c r="B109" s="29">
        <f t="shared" si="11"/>
        <v>0.12182335214513997</v>
      </c>
    </row>
    <row r="110" spans="1:3" ht="13.8" x14ac:dyDescent="0.3">
      <c r="A110" s="55">
        <f t="shared" si="12"/>
        <v>0.09</v>
      </c>
      <c r="B110" s="29">
        <f t="shared" si="11"/>
        <v>0.12705127116328246</v>
      </c>
    </row>
    <row r="111" spans="1:3" ht="13.8" x14ac:dyDescent="0.3">
      <c r="A111" s="55">
        <f t="shared" si="12"/>
        <v>9.9999999999999992E-2</v>
      </c>
      <c r="B111" s="29">
        <f t="shared" si="11"/>
        <v>0.13227919018142495</v>
      </c>
    </row>
    <row r="112" spans="1:3" ht="13.8" x14ac:dyDescent="0.3">
      <c r="A112" s="55">
        <f t="shared" si="12"/>
        <v>0.10999999999999999</v>
      </c>
      <c r="B112" s="29">
        <f t="shared" si="11"/>
        <v>0.13750710919956743</v>
      </c>
    </row>
    <row r="113" spans="1:2" ht="13.8" x14ac:dyDescent="0.3">
      <c r="A113" s="55">
        <f t="shared" si="12"/>
        <v>0.11999999999999998</v>
      </c>
      <c r="B113" s="29">
        <f t="shared" si="11"/>
        <v>0.14273502821770995</v>
      </c>
    </row>
    <row r="114" spans="1:2" ht="13.8" x14ac:dyDescent="0.3">
      <c r="A114" s="55">
        <f t="shared" si="12"/>
        <v>0.12999999999999998</v>
      </c>
      <c r="B114" s="29">
        <f t="shared" si="11"/>
        <v>0.1479629472358524</v>
      </c>
    </row>
    <row r="115" spans="1:2" ht="13.8" x14ac:dyDescent="0.3">
      <c r="A115" s="55">
        <f t="shared" si="12"/>
        <v>0.13999999999999999</v>
      </c>
      <c r="B115" s="29">
        <f t="shared" si="11"/>
        <v>0.15319086625399492</v>
      </c>
    </row>
    <row r="116" spans="1:2" ht="13.8" x14ac:dyDescent="0.3">
      <c r="A116" s="55">
        <f t="shared" si="12"/>
        <v>0.15</v>
      </c>
      <c r="B116" s="29">
        <f t="shared" si="11"/>
        <v>0.15841878527213743</v>
      </c>
    </row>
    <row r="117" spans="1:2" ht="13.8" x14ac:dyDescent="0.3">
      <c r="A117" s="55">
        <f t="shared" si="12"/>
        <v>0.16</v>
      </c>
      <c r="B117" s="29">
        <f t="shared" si="11"/>
        <v>0.16364670429027994</v>
      </c>
    </row>
    <row r="118" spans="1:2" ht="13.8" x14ac:dyDescent="0.3">
      <c r="A118" s="55"/>
      <c r="B118" s="29"/>
    </row>
    <row r="119" spans="1:2" ht="13.8" x14ac:dyDescent="0.3">
      <c r="A119" s="73"/>
      <c r="B119" s="74"/>
    </row>
    <row r="120" spans="1:2" ht="13.8" x14ac:dyDescent="0.3">
      <c r="A120" s="73" t="s">
        <v>32</v>
      </c>
      <c r="B120" s="75">
        <v>5</v>
      </c>
    </row>
    <row r="121" spans="1:2" ht="13.8" x14ac:dyDescent="0.3">
      <c r="A121" s="73" t="s">
        <v>33</v>
      </c>
      <c r="B121" s="74">
        <f>(E45-B2)/(B120*E49)</f>
        <v>0.74176571744362974</v>
      </c>
    </row>
    <row r="122" spans="1:2" ht="13.8" x14ac:dyDescent="0.3">
      <c r="A122" s="73" t="s">
        <v>34</v>
      </c>
      <c r="B122" s="74">
        <f>1-B121</f>
        <v>0.25823428255637026</v>
      </c>
    </row>
    <row r="123" spans="1:2" ht="13.8" x14ac:dyDescent="0.3">
      <c r="A123" s="73"/>
      <c r="B123" s="74"/>
    </row>
    <row r="124" spans="1:2" ht="15" x14ac:dyDescent="0.35">
      <c r="A124" s="73" t="s">
        <v>35</v>
      </c>
      <c r="B124" s="74">
        <f>B121*E45+B122*B2</f>
        <v>0.13466227452051197</v>
      </c>
    </row>
    <row r="125" spans="1:2" ht="15" x14ac:dyDescent="0.35">
      <c r="A125" s="73" t="s">
        <v>36</v>
      </c>
      <c r="B125" s="74" t="s">
        <v>37</v>
      </c>
    </row>
    <row r="126" spans="1:2" ht="15" x14ac:dyDescent="0.35">
      <c r="A126" s="73" t="s">
        <v>36</v>
      </c>
      <c r="B126" s="74">
        <f>B121*E50</f>
        <v>0.10455838036284988</v>
      </c>
    </row>
    <row r="127" spans="1:2" ht="13.8" x14ac:dyDescent="0.3">
      <c r="A127" s="73"/>
      <c r="B127" s="74"/>
    </row>
    <row r="128" spans="1:2" ht="13.8" x14ac:dyDescent="0.3">
      <c r="A128" s="73"/>
      <c r="B128" s="74"/>
    </row>
    <row r="129" spans="1:2" ht="13.8" x14ac:dyDescent="0.3">
      <c r="A129" s="73" t="s">
        <v>38</v>
      </c>
      <c r="B129" s="74">
        <f>B124-0.5*B120*B126^2</f>
        <v>0.10733113726025599</v>
      </c>
    </row>
    <row r="130" spans="1:2" ht="13.8" x14ac:dyDescent="0.3">
      <c r="A130" s="73"/>
      <c r="B130" s="74"/>
    </row>
    <row r="131" spans="1:2" ht="15" x14ac:dyDescent="0.35">
      <c r="A131" s="73" t="s">
        <v>39</v>
      </c>
      <c r="B131" s="74"/>
    </row>
    <row r="132" spans="1:2" ht="14.4" thickBot="1" x14ac:dyDescent="0.35">
      <c r="A132" s="73"/>
      <c r="B132" s="74"/>
    </row>
    <row r="133" spans="1:2" ht="15" x14ac:dyDescent="0.25">
      <c r="A133" s="35" t="s">
        <v>18</v>
      </c>
      <c r="B133" s="42" t="s">
        <v>19</v>
      </c>
    </row>
    <row r="134" spans="1:2" ht="13.8" x14ac:dyDescent="0.3">
      <c r="A134" s="72">
        <v>0</v>
      </c>
      <c r="B134" s="29">
        <f>$B$129+0.5*$B$120*A134^2</f>
        <v>0.10733113726025599</v>
      </c>
    </row>
    <row r="135" spans="1:2" ht="13.8" x14ac:dyDescent="0.3">
      <c r="A135" s="55">
        <f>+A134+1%</f>
        <v>0.01</v>
      </c>
      <c r="B135" s="29">
        <f t="shared" ref="B135:B150" si="13">$B$129+0.5*$B$120*A135^2</f>
        <v>0.10758113726025599</v>
      </c>
    </row>
    <row r="136" spans="1:2" ht="13.8" x14ac:dyDescent="0.3">
      <c r="A136" s="55">
        <f t="shared" ref="A136:A150" si="14">+A135+1%</f>
        <v>0.02</v>
      </c>
      <c r="B136" s="29">
        <f t="shared" si="13"/>
        <v>0.10833113726025599</v>
      </c>
    </row>
    <row r="137" spans="1:2" ht="13.8" x14ac:dyDescent="0.3">
      <c r="A137" s="55">
        <f t="shared" si="14"/>
        <v>0.03</v>
      </c>
      <c r="B137" s="29">
        <f t="shared" si="13"/>
        <v>0.10958113726025599</v>
      </c>
    </row>
    <row r="138" spans="1:2" ht="13.8" x14ac:dyDescent="0.3">
      <c r="A138" s="55">
        <f t="shared" si="14"/>
        <v>0.04</v>
      </c>
      <c r="B138" s="29">
        <f t="shared" si="13"/>
        <v>0.11133113726025599</v>
      </c>
    </row>
    <row r="139" spans="1:2" ht="13.8" x14ac:dyDescent="0.3">
      <c r="A139" s="55">
        <f t="shared" si="14"/>
        <v>0.05</v>
      </c>
      <c r="B139" s="29">
        <f t="shared" si="13"/>
        <v>0.113581137260256</v>
      </c>
    </row>
    <row r="140" spans="1:2" ht="13.8" x14ac:dyDescent="0.3">
      <c r="A140" s="55">
        <f t="shared" si="14"/>
        <v>6.0000000000000005E-2</v>
      </c>
      <c r="B140" s="29">
        <f t="shared" si="13"/>
        <v>0.11633113726025598</v>
      </c>
    </row>
    <row r="141" spans="1:2" ht="13.8" x14ac:dyDescent="0.3">
      <c r="A141" s="55">
        <f t="shared" si="14"/>
        <v>7.0000000000000007E-2</v>
      </c>
      <c r="B141" s="29">
        <f t="shared" si="13"/>
        <v>0.11958113726025599</v>
      </c>
    </row>
    <row r="142" spans="1:2" ht="13.8" x14ac:dyDescent="0.3">
      <c r="A142" s="55">
        <f t="shared" si="14"/>
        <v>0.08</v>
      </c>
      <c r="B142" s="29">
        <f t="shared" si="13"/>
        <v>0.12333113726025599</v>
      </c>
    </row>
    <row r="143" spans="1:2" ht="13.8" x14ac:dyDescent="0.3">
      <c r="A143" s="55">
        <f t="shared" si="14"/>
        <v>0.09</v>
      </c>
      <c r="B143" s="29">
        <f t="shared" si="13"/>
        <v>0.12758113726025599</v>
      </c>
    </row>
    <row r="144" spans="1:2" ht="13.8" x14ac:dyDescent="0.3">
      <c r="A144" s="55">
        <f t="shared" si="14"/>
        <v>9.9999999999999992E-2</v>
      </c>
      <c r="B144" s="29">
        <f t="shared" si="13"/>
        <v>0.13233113726025597</v>
      </c>
    </row>
    <row r="145" spans="1:2" ht="13.8" x14ac:dyDescent="0.3">
      <c r="A145" s="55">
        <f t="shared" si="14"/>
        <v>0.10999999999999999</v>
      </c>
      <c r="B145" s="29">
        <f t="shared" si="13"/>
        <v>0.13758113726025598</v>
      </c>
    </row>
    <row r="146" spans="1:2" ht="13.8" x14ac:dyDescent="0.3">
      <c r="A146" s="55">
        <f t="shared" si="14"/>
        <v>0.11999999999999998</v>
      </c>
      <c r="B146" s="29">
        <f t="shared" si="13"/>
        <v>0.14333113726025598</v>
      </c>
    </row>
    <row r="147" spans="1:2" ht="13.8" x14ac:dyDescent="0.3">
      <c r="A147" s="55">
        <f t="shared" si="14"/>
        <v>0.12999999999999998</v>
      </c>
      <c r="B147" s="29">
        <f t="shared" si="13"/>
        <v>0.14958113726025599</v>
      </c>
    </row>
    <row r="148" spans="1:2" ht="13.8" x14ac:dyDescent="0.3">
      <c r="A148" s="55">
        <f t="shared" si="14"/>
        <v>0.13999999999999999</v>
      </c>
      <c r="B148" s="29">
        <f t="shared" si="13"/>
        <v>0.15633113726025599</v>
      </c>
    </row>
    <row r="149" spans="1:2" ht="13.8" x14ac:dyDescent="0.3">
      <c r="A149" s="55">
        <f t="shared" si="14"/>
        <v>0.15</v>
      </c>
      <c r="B149" s="29">
        <f t="shared" si="13"/>
        <v>0.16358113726025597</v>
      </c>
    </row>
    <row r="150" spans="1:2" ht="13.8" x14ac:dyDescent="0.3">
      <c r="A150" s="55">
        <f t="shared" si="14"/>
        <v>0.16</v>
      </c>
      <c r="B150" s="29">
        <f t="shared" si="13"/>
        <v>0.17133113726025601</v>
      </c>
    </row>
    <row r="1048531" spans="16384:16384" x14ac:dyDescent="0.25">
      <c r="XFD1048531">
        <f>solver_pre</f>
        <v>9.9999999999999995E-7</v>
      </c>
    </row>
    <row r="1048532" spans="16384:16384" x14ac:dyDescent="0.25">
      <c r="XFD1048532">
        <f>solver_scl</f>
        <v>1</v>
      </c>
    </row>
    <row r="1048533" spans="16384:16384" x14ac:dyDescent="0.25">
      <c r="XFD1048533">
        <f>_xlfn.SINGLE(solver_rlx)</f>
        <v>2</v>
      </c>
    </row>
    <row r="1048534" spans="16384:16384" x14ac:dyDescent="0.25">
      <c r="XFD1048534">
        <f>solver_tol</f>
        <v>0.01</v>
      </c>
    </row>
    <row r="1048535" spans="16384:16384" x14ac:dyDescent="0.25">
      <c r="XFD1048535">
        <f>solver_cvg</f>
        <v>1E-4</v>
      </c>
    </row>
    <row r="1048536" spans="16384:16384" x14ac:dyDescent="0.25">
      <c r="XFD1048536">
        <f>_xlfn.SINGLE(solver_msl)</f>
        <v>2</v>
      </c>
    </row>
    <row r="1048537" spans="16384:16384" x14ac:dyDescent="0.25">
      <c r="XFD1048537">
        <f>_xlfn.SINGLE(solver_ssz)</f>
        <v>100</v>
      </c>
    </row>
    <row r="1048538" spans="16384:16384" x14ac:dyDescent="0.25">
      <c r="XFD1048538">
        <f>_xlfn.SINGLE(solver_rsd)</f>
        <v>0</v>
      </c>
    </row>
    <row r="1048539" spans="16384:16384" x14ac:dyDescent="0.25">
      <c r="XFD1048539">
        <f>_xlfn.SINGLE(solver_mrt)</f>
        <v>7.4999999999999997E-2</v>
      </c>
    </row>
    <row r="1048540" spans="16384:16384" x14ac:dyDescent="0.25">
      <c r="XFD1048540">
        <f>_xlfn.SINGLE(solver_mni)</f>
        <v>30</v>
      </c>
    </row>
    <row r="1048541" spans="16384:16384" x14ac:dyDescent="0.25">
      <c r="XFD1048541">
        <f>_xlfn.SINGLE(solver_rbv)</f>
        <v>1</v>
      </c>
    </row>
    <row r="1048542" spans="16384:16384" x14ac:dyDescent="0.25">
      <c r="XFD1048542">
        <f>solver_neg</f>
        <v>1</v>
      </c>
    </row>
    <row r="1048543" spans="16384:16384" x14ac:dyDescent="0.25">
      <c r="XFD1048543" t="e">
        <f>solver_ntr</f>
        <v>#NAME?</v>
      </c>
    </row>
    <row r="1048544" spans="16384:16384" x14ac:dyDescent="0.25">
      <c r="XFD1048544" t="e">
        <f>solver_acc</f>
        <v>#NAME?</v>
      </c>
    </row>
    <row r="1048545" spans="16384:16384" x14ac:dyDescent="0.25">
      <c r="XFD1048545" t="e">
        <f>solver_res</f>
        <v>#NAME?</v>
      </c>
    </row>
    <row r="1048546" spans="16384:16384" x14ac:dyDescent="0.25">
      <c r="XFD1048546" t="e">
        <f>solver_ars</f>
        <v>#NAME?</v>
      </c>
    </row>
    <row r="1048547" spans="16384:16384" x14ac:dyDescent="0.25">
      <c r="XFD1048547" t="e">
        <f>solver_sta</f>
        <v>#NAME?</v>
      </c>
    </row>
    <row r="1048548" spans="16384:16384" x14ac:dyDescent="0.25">
      <c r="XFD1048548" t="e">
        <f>solver_met</f>
        <v>#NAME?</v>
      </c>
    </row>
    <row r="1048549" spans="16384:16384" x14ac:dyDescent="0.25">
      <c r="XFD1048549" t="e">
        <f>solver_soc</f>
        <v>#NAME?</v>
      </c>
    </row>
    <row r="1048550" spans="16384:16384" x14ac:dyDescent="0.25">
      <c r="XFD1048550" t="e">
        <f>solver_lpt</f>
        <v>#NAME?</v>
      </c>
    </row>
    <row r="1048551" spans="16384:16384" x14ac:dyDescent="0.25">
      <c r="XFD1048551" t="e">
        <f>solver_lpp</f>
        <v>#NAME?</v>
      </c>
    </row>
    <row r="1048552" spans="16384:16384" x14ac:dyDescent="0.25">
      <c r="XFD1048552" t="e">
        <f>solver_gap</f>
        <v>#NAME?</v>
      </c>
    </row>
    <row r="1048553" spans="16384:16384" x14ac:dyDescent="0.25">
      <c r="XFD1048553" t="e">
        <f>solver_ips</f>
        <v>#NAME?</v>
      </c>
    </row>
    <row r="1048554" spans="16384:16384" x14ac:dyDescent="0.25">
      <c r="XFD1048554" t="e">
        <f>solver_fea</f>
        <v>#NAME?</v>
      </c>
    </row>
    <row r="1048555" spans="16384:16384" x14ac:dyDescent="0.25">
      <c r="XFD1048555" t="e">
        <f>solver_ipi</f>
        <v>#NAME?</v>
      </c>
    </row>
    <row r="1048556" spans="16384:16384" x14ac:dyDescent="0.25">
      <c r="XFD1048556" t="e">
        <f>solver_ipd</f>
        <v>#NAME?</v>
      </c>
    </row>
  </sheetData>
  <phoneticPr fontId="3" type="noConversion"/>
  <pageMargins left="0.75" right="0.75" top="1" bottom="1" header="0" footer="0"/>
  <pageSetup orientation="portrait" r:id="rId1"/>
  <headerFooter alignWithMargins="0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AB48B4F-5AF0-4A1A-8A94-99E4AFA7CE87}">
          <xm:f>Hoja1!1:1048576</xm:f>
        </x15:webExtension>
        <x15:webExtension appRef="{ADBD2CDC-E0B5-462B-A7C1-20D864BA6749}">
          <xm:f>Hoja1!XFD1048531:XFD1048556</xm:f>
        </x15:webExtension>
        <x15:webExtension appRef="{75E34E6F-58BE-4CB4-91FC-D165715FB27B}">
          <xm:f>Hoja1!#REF!</xm:f>
        </x15:webExtension>
        <x15:webExtension appRef="{4C250E1E-5F84-4255-84E6-7D704BA1DC4B}">
          <xm:f>Hoja1!#REF!</xm:f>
        </x15:webExtension>
        <x15:webExtension appRef="{C5687771-5974-466D-884F-CE68354ECC1E}">
          <xm:f>Hoja1!#REF!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256" width="11.44140625" customWidth="1"/>
  </cols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3.2" x14ac:dyDescent="0.25"/>
  <cols>
    <col min="1" max="256" width="11.44140625" customWidth="1"/>
  </cols>
  <sheetData/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F4F4DC-9B48-4B85-B9DD-D64BE690F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6436a9-1571-4178-9d83-e4a54674e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608F8-20BF-4DFD-BA87-0B88243DB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ED2A01-7B1E-41B0-BD14-AEADCEE0EF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Hoja1</vt:lpstr>
      <vt:lpstr>Hoja2</vt:lpstr>
      <vt:lpstr>Hoja3</vt:lpstr>
      <vt:lpstr>Hoja1!Área_de_impresión</vt:lpstr>
      <vt:lpstr>MatVarCovar</vt:lpstr>
      <vt:lpstr>Retorno</vt:lpstr>
      <vt:lpstr>Retorno2</vt:lpstr>
      <vt:lpstr>w</vt:lpstr>
    </vt:vector>
  </TitlesOfParts>
  <Company>CORFINSURA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jubotero</dc:creator>
  <cp:lastModifiedBy>Nicolás González Jaramillo</cp:lastModifiedBy>
  <dcterms:created xsi:type="dcterms:W3CDTF">2003-12-07T14:45:07Z</dcterms:created>
  <dcterms:modified xsi:type="dcterms:W3CDTF">2023-10-28T02:26:12Z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