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Talleres\"/>
    </mc:Choice>
  </mc:AlternateContent>
  <xr:revisionPtr revIDLastSave="0" documentId="13_ncr:1_{0A6C0AB8-49DF-458A-8F35-7BC909A6940B}" xr6:coauthVersionLast="47" xr6:coauthVersionMax="47" xr10:uidLastSave="{00000000-0000-0000-0000-000000000000}"/>
  <bookViews>
    <workbookView xWindow="-120" yWindow="-120" windowWidth="29040" windowHeight="15720" activeTab="2" xr2:uid="{3A6F06EE-0298-4F31-A231-2B309889925A}"/>
  </bookViews>
  <sheets>
    <sheet name="Punto 1" sheetId="2" r:id="rId1"/>
    <sheet name="Punto 2" sheetId="3" r:id="rId2"/>
    <sheet name="Punto 3" sheetId="4" r:id="rId3"/>
    <sheet name="Punto 4" sheetId="1" r:id="rId4"/>
  </sheets>
  <definedNames>
    <definedName name="solver_adj" localSheetId="0" hidden="1">'Punto 1'!$B$30:$E$30</definedName>
    <definedName name="solver_adj" localSheetId="1" hidden="1">'Punto 2'!$E$3:$E$5</definedName>
    <definedName name="solver_adj" localSheetId="2" hidden="1">'Punto 3'!$B$4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'Punto 1'!$E$30</definedName>
    <definedName name="solver_lhs1" localSheetId="1" hidden="1">'Punto 2'!$C$9</definedName>
    <definedName name="solver_lhs2" localSheetId="1" hidden="1">'Punto 2'!$C$10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2</definedName>
    <definedName name="solver_neg" localSheetId="1" hidden="1">2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2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'Punto 1'!$A$304</definedName>
    <definedName name="solver_opt" localSheetId="1" hidden="1">'Punto 2'!$C$8</definedName>
    <definedName name="solver_opt" localSheetId="2" hidden="1">'Punto 3'!$B$26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2" localSheetId="1" hidden="1">2</definedName>
    <definedName name="solver_rhs1" localSheetId="0" hidden="1">3.7</definedName>
    <definedName name="solver_rhs1" localSheetId="1" hidden="1">11.56</definedName>
    <definedName name="solver_rhs2" localSheetId="1" hidden="1">186.23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3</definedName>
    <definedName name="solver_typ" localSheetId="2" hidden="1">3</definedName>
    <definedName name="solver_val" localSheetId="0" hidden="1">0</definedName>
    <definedName name="solver_val" localSheetId="1" hidden="1">100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O15" i="4"/>
  <c r="AO19" i="4" s="1"/>
  <c r="AN15" i="4"/>
  <c r="AN19" i="4" s="1"/>
  <c r="AM15" i="4"/>
  <c r="AM19" i="4" s="1"/>
  <c r="AL15" i="4"/>
  <c r="AL19" i="4" s="1"/>
  <c r="AK15" i="4"/>
  <c r="AK19" i="4" s="1"/>
  <c r="AJ15" i="4"/>
  <c r="AJ19" i="4" s="1"/>
  <c r="AI15" i="4"/>
  <c r="AI19" i="4" s="1"/>
  <c r="AH15" i="4"/>
  <c r="AH19" i="4" s="1"/>
  <c r="AG15" i="4"/>
  <c r="AG19" i="4" s="1"/>
  <c r="AF15" i="4"/>
  <c r="AF19" i="4" s="1"/>
  <c r="AE15" i="4"/>
  <c r="AE19" i="4" s="1"/>
  <c r="AD15" i="4"/>
  <c r="AD19" i="4" s="1"/>
  <c r="AC15" i="4"/>
  <c r="AC19" i="4" s="1"/>
  <c r="AB15" i="4"/>
  <c r="AB19" i="4" s="1"/>
  <c r="AA15" i="4"/>
  <c r="AA19" i="4" s="1"/>
  <c r="Z15" i="4"/>
  <c r="Z19" i="4" s="1"/>
  <c r="Y15" i="4"/>
  <c r="Y19" i="4" s="1"/>
  <c r="X15" i="4"/>
  <c r="X19" i="4" s="1"/>
  <c r="W15" i="4"/>
  <c r="W19" i="4" s="1"/>
  <c r="V15" i="4"/>
  <c r="V19" i="4" s="1"/>
  <c r="U15" i="4"/>
  <c r="U19" i="4" s="1"/>
  <c r="T15" i="4"/>
  <c r="T19" i="4" s="1"/>
  <c r="S15" i="4"/>
  <c r="S19" i="4" s="1"/>
  <c r="R15" i="4"/>
  <c r="R19" i="4" s="1"/>
  <c r="Q15" i="4"/>
  <c r="Q19" i="4" s="1"/>
  <c r="P15" i="4"/>
  <c r="P19" i="4" s="1"/>
  <c r="O15" i="4"/>
  <c r="O19" i="4" s="1"/>
  <c r="N15" i="4"/>
  <c r="N19" i="4" s="1"/>
  <c r="M15" i="4"/>
  <c r="M19" i="4" s="1"/>
  <c r="L15" i="4"/>
  <c r="L19" i="4" s="1"/>
  <c r="K15" i="4"/>
  <c r="K19" i="4" s="1"/>
  <c r="J15" i="4"/>
  <c r="J19" i="4" s="1"/>
  <c r="I15" i="4"/>
  <c r="I19" i="4" s="1"/>
  <c r="H15" i="4"/>
  <c r="H19" i="4" s="1"/>
  <c r="G15" i="4"/>
  <c r="G19" i="4" s="1"/>
  <c r="F15" i="4"/>
  <c r="F19" i="4" s="1"/>
  <c r="E15" i="4"/>
  <c r="E19" i="4" s="1"/>
  <c r="D15" i="4"/>
  <c r="D19" i="4" s="1"/>
  <c r="C15" i="4"/>
  <c r="C19" i="4" s="1"/>
  <c r="B15" i="4"/>
  <c r="B19" i="4" s="1"/>
  <c r="A6" i="4"/>
  <c r="E8" i="2"/>
  <c r="E9" i="2"/>
  <c r="E10" i="2"/>
  <c r="E11" i="2"/>
  <c r="E12" i="2"/>
  <c r="E13" i="2"/>
  <c r="E14" i="2"/>
  <c r="E15" i="2"/>
  <c r="I295" i="2" s="1"/>
  <c r="E16" i="2"/>
  <c r="E17" i="2"/>
  <c r="E18" i="2"/>
  <c r="E19" i="2"/>
  <c r="E20" i="2"/>
  <c r="E21" i="2"/>
  <c r="E22" i="2"/>
  <c r="E23" i="2"/>
  <c r="Q295" i="2" s="1"/>
  <c r="E24" i="2"/>
  <c r="E25" i="2"/>
  <c r="A35" i="2"/>
  <c r="C35" i="2"/>
  <c r="D35" i="2"/>
  <c r="E35" i="2" s="1"/>
  <c r="F35" i="2" s="1"/>
  <c r="G35" i="2" s="1"/>
  <c r="G36" i="2" s="1"/>
  <c r="A40" i="2"/>
  <c r="B40" i="2"/>
  <c r="C40" i="2"/>
  <c r="D40" i="2"/>
  <c r="E40" i="2"/>
  <c r="F40" i="2" s="1"/>
  <c r="A45" i="2"/>
  <c r="C45" i="2"/>
  <c r="D45" i="2"/>
  <c r="E45" i="2"/>
  <c r="F45" i="2" s="1"/>
  <c r="G45" i="2" s="1"/>
  <c r="G46" i="2" s="1"/>
  <c r="D298" i="2" s="1"/>
  <c r="F10" i="2" s="1"/>
  <c r="A51" i="2"/>
  <c r="C51" i="2"/>
  <c r="D51" i="2"/>
  <c r="E51" i="2"/>
  <c r="F51" i="2"/>
  <c r="G51" i="2"/>
  <c r="G52" i="2" s="1"/>
  <c r="E298" i="2" s="1"/>
  <c r="F11" i="2" s="1"/>
  <c r="A58" i="2"/>
  <c r="B58" i="2"/>
  <c r="C58" i="2"/>
  <c r="D58" i="2"/>
  <c r="E58" i="2"/>
  <c r="F58" i="2"/>
  <c r="G58" i="2" s="1"/>
  <c r="G59" i="2" s="1"/>
  <c r="F298" i="2" s="1"/>
  <c r="F12" i="2" s="1"/>
  <c r="B64" i="2"/>
  <c r="B65" i="2"/>
  <c r="A66" i="2"/>
  <c r="A65" i="2" s="1"/>
  <c r="B66" i="2"/>
  <c r="C66" i="2"/>
  <c r="D66" i="2" s="1"/>
  <c r="E66" i="2" s="1"/>
  <c r="F66" i="2" s="1"/>
  <c r="G66" i="2" s="1"/>
  <c r="B72" i="2"/>
  <c r="B73" i="2"/>
  <c r="A74" i="2"/>
  <c r="A73" i="2" s="1"/>
  <c r="B74" i="2"/>
  <c r="C74" i="2"/>
  <c r="D74" i="2" s="1"/>
  <c r="E74" i="2" s="1"/>
  <c r="F74" i="2" s="1"/>
  <c r="B81" i="2"/>
  <c r="B82" i="2"/>
  <c r="A84" i="2"/>
  <c r="A83" i="2" s="1"/>
  <c r="C84" i="2"/>
  <c r="D84" i="2"/>
  <c r="E84" i="2"/>
  <c r="F84" i="2"/>
  <c r="B91" i="2"/>
  <c r="B92" i="2"/>
  <c r="B93" i="2"/>
  <c r="B94" i="2"/>
  <c r="A95" i="2"/>
  <c r="C95" i="2" s="1"/>
  <c r="D95" i="2" s="1"/>
  <c r="E95" i="2" s="1"/>
  <c r="F95" i="2" s="1"/>
  <c r="B95" i="2"/>
  <c r="B102" i="2"/>
  <c r="C102" i="2"/>
  <c r="D102" i="2"/>
  <c r="E102" i="2" s="1"/>
  <c r="F102" i="2" s="1"/>
  <c r="G102" i="2" s="1"/>
  <c r="B103" i="2"/>
  <c r="C103" i="2"/>
  <c r="D103" i="2"/>
  <c r="E103" i="2"/>
  <c r="F103" i="2" s="1"/>
  <c r="B104" i="2"/>
  <c r="C104" i="2"/>
  <c r="D104" i="2"/>
  <c r="E104" i="2"/>
  <c r="F104" i="2"/>
  <c r="G104" i="2" s="1"/>
  <c r="B105" i="2"/>
  <c r="C105" i="2"/>
  <c r="D105" i="2" s="1"/>
  <c r="E105" i="2" s="1"/>
  <c r="F105" i="2" s="1"/>
  <c r="G105" i="2" s="1"/>
  <c r="B106" i="2"/>
  <c r="G106" i="2" s="1"/>
  <c r="C106" i="2"/>
  <c r="D106" i="2" s="1"/>
  <c r="E106" i="2" s="1"/>
  <c r="F106" i="2" s="1"/>
  <c r="B107" i="2"/>
  <c r="C107" i="2"/>
  <c r="D107" i="2"/>
  <c r="E107" i="2" s="1"/>
  <c r="F107" i="2" s="1"/>
  <c r="G107" i="2" s="1"/>
  <c r="A108" i="2"/>
  <c r="B108" i="2"/>
  <c r="G108" i="2" s="1"/>
  <c r="C108" i="2"/>
  <c r="D108" i="2"/>
  <c r="E108" i="2"/>
  <c r="F108" i="2"/>
  <c r="B115" i="2"/>
  <c r="B116" i="2"/>
  <c r="B117" i="2" s="1"/>
  <c r="A121" i="2"/>
  <c r="A120" i="2" s="1"/>
  <c r="C121" i="2"/>
  <c r="D121" i="2"/>
  <c r="E121" i="2" s="1"/>
  <c r="F121" i="2" s="1"/>
  <c r="A122" i="2"/>
  <c r="C122" i="2"/>
  <c r="D122" i="2"/>
  <c r="E122" i="2" s="1"/>
  <c r="F122" i="2" s="1"/>
  <c r="B131" i="2"/>
  <c r="A138" i="2"/>
  <c r="A137" i="2" s="1"/>
  <c r="C138" i="2"/>
  <c r="D138" i="2"/>
  <c r="E138" i="2" s="1"/>
  <c r="F138" i="2" s="1"/>
  <c r="B148" i="2"/>
  <c r="B149" i="2"/>
  <c r="B150" i="2"/>
  <c r="B151" i="2"/>
  <c r="B152" i="2"/>
  <c r="B153" i="2"/>
  <c r="B154" i="2"/>
  <c r="A156" i="2"/>
  <c r="A155" i="2" s="1"/>
  <c r="C156" i="2"/>
  <c r="D156" i="2"/>
  <c r="E156" i="2" s="1"/>
  <c r="F156" i="2" s="1"/>
  <c r="B165" i="2"/>
  <c r="B166" i="2"/>
  <c r="A173" i="2"/>
  <c r="A172" i="2" s="1"/>
  <c r="C173" i="2"/>
  <c r="D173" i="2"/>
  <c r="E173" i="2" s="1"/>
  <c r="F173" i="2" s="1"/>
  <c r="A174" i="2"/>
  <c r="C174" i="2"/>
  <c r="D174" i="2"/>
  <c r="E174" i="2" s="1"/>
  <c r="F174" i="2" s="1"/>
  <c r="B188" i="2"/>
  <c r="B189" i="2"/>
  <c r="B190" i="2"/>
  <c r="B191" i="2"/>
  <c r="B192" i="2"/>
  <c r="B193" i="2"/>
  <c r="B194" i="2"/>
  <c r="B195" i="2"/>
  <c r="B196" i="2"/>
  <c r="A197" i="2"/>
  <c r="A196" i="2" s="1"/>
  <c r="B197" i="2"/>
  <c r="G197" i="2" s="1"/>
  <c r="C197" i="2"/>
  <c r="D197" i="2"/>
  <c r="E197" i="2"/>
  <c r="F197" i="2"/>
  <c r="A198" i="2"/>
  <c r="C198" i="2" s="1"/>
  <c r="D198" i="2" s="1"/>
  <c r="E198" i="2" s="1"/>
  <c r="F198" i="2" s="1"/>
  <c r="B219" i="2"/>
  <c r="B220" i="2"/>
  <c r="B221" i="2"/>
  <c r="B222" i="2"/>
  <c r="B223" i="2"/>
  <c r="B224" i="2"/>
  <c r="B225" i="2"/>
  <c r="B226" i="2"/>
  <c r="B227" i="2"/>
  <c r="B228" i="2"/>
  <c r="B229" i="2"/>
  <c r="B230" i="2"/>
  <c r="A231" i="2"/>
  <c r="A230" i="2" s="1"/>
  <c r="B231" i="2"/>
  <c r="C231" i="2"/>
  <c r="D231" i="2" s="1"/>
  <c r="E231" i="2" s="1"/>
  <c r="F231" i="2" s="1"/>
  <c r="B238" i="2"/>
  <c r="B239" i="2"/>
  <c r="B240" i="2"/>
  <c r="B241" i="2"/>
  <c r="B242" i="2"/>
  <c r="B243" i="2"/>
  <c r="B244" i="2"/>
  <c r="B245" i="2"/>
  <c r="B246" i="2"/>
  <c r="B247" i="2"/>
  <c r="B248" i="2"/>
  <c r="B249" i="2"/>
  <c r="A255" i="2"/>
  <c r="A254" i="2" s="1"/>
  <c r="C255" i="2"/>
  <c r="D255" i="2"/>
  <c r="E255" i="2" s="1"/>
  <c r="F255" i="2" s="1"/>
  <c r="A256" i="2"/>
  <c r="C256" i="2" s="1"/>
  <c r="D256" i="2" s="1"/>
  <c r="E256" i="2" s="1"/>
  <c r="F256" i="2" s="1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A287" i="2"/>
  <c r="A286" i="2" s="1"/>
  <c r="C287" i="2"/>
  <c r="D287" i="2"/>
  <c r="E287" i="2"/>
  <c r="F287" i="2"/>
  <c r="A288" i="2"/>
  <c r="C288" i="2"/>
  <c r="D288" i="2" s="1"/>
  <c r="E288" i="2" s="1"/>
  <c r="F288" i="2" s="1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B295" i="2"/>
  <c r="C295" i="2"/>
  <c r="D295" i="2"/>
  <c r="E295" i="2"/>
  <c r="E299" i="2" s="1"/>
  <c r="E300" i="2" s="1"/>
  <c r="F295" i="2"/>
  <c r="G295" i="2"/>
  <c r="H295" i="2"/>
  <c r="J295" i="2"/>
  <c r="K295" i="2"/>
  <c r="L295" i="2"/>
  <c r="M295" i="2"/>
  <c r="N295" i="2"/>
  <c r="O295" i="2"/>
  <c r="P295" i="2"/>
  <c r="R295" i="2"/>
  <c r="S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B298" i="2"/>
  <c r="F8" i="2" s="1"/>
  <c r="D24" i="4" l="1"/>
  <c r="D20" i="4"/>
  <c r="D31" i="4"/>
  <c r="U24" i="4"/>
  <c r="U20" i="4"/>
  <c r="U31" i="4"/>
  <c r="T24" i="4"/>
  <c r="T20" i="4"/>
  <c r="T31" i="4"/>
  <c r="AL24" i="4"/>
  <c r="AL20" i="4"/>
  <c r="AL31" i="4"/>
  <c r="S20" i="4"/>
  <c r="S24" i="4"/>
  <c r="S31" i="4"/>
  <c r="E24" i="4"/>
  <c r="E20" i="4"/>
  <c r="E31" i="4"/>
  <c r="AH24" i="4"/>
  <c r="AH20" i="4"/>
  <c r="AH31" i="4"/>
  <c r="C24" i="4"/>
  <c r="C20" i="4"/>
  <c r="C31" i="4"/>
  <c r="F31" i="4"/>
  <c r="F24" i="4"/>
  <c r="F20" i="4"/>
  <c r="X31" i="4"/>
  <c r="X24" i="4"/>
  <c r="X20" i="4"/>
  <c r="AK24" i="4"/>
  <c r="AK20" i="4"/>
  <c r="AK31" i="4"/>
  <c r="W24" i="4"/>
  <c r="W31" i="4"/>
  <c r="W20" i="4"/>
  <c r="I31" i="4"/>
  <c r="I24" i="4"/>
  <c r="I20" i="4"/>
  <c r="AN31" i="4"/>
  <c r="AN20" i="4"/>
  <c r="AN24" i="4"/>
  <c r="J31" i="4"/>
  <c r="J24" i="4"/>
  <c r="J20" i="4"/>
  <c r="K31" i="4"/>
  <c r="K24" i="4"/>
  <c r="K20" i="4"/>
  <c r="AB31" i="4"/>
  <c r="AB24" i="4"/>
  <c r="AB20" i="4"/>
  <c r="AD24" i="4"/>
  <c r="AD20" i="4"/>
  <c r="AD31" i="4"/>
  <c r="B24" i="4"/>
  <c r="B20" i="4"/>
  <c r="B22" i="4"/>
  <c r="B31" i="4"/>
  <c r="AM31" i="4"/>
  <c r="AM24" i="4"/>
  <c r="AM20" i="4"/>
  <c r="Y31" i="4"/>
  <c r="Y24" i="4"/>
  <c r="Y20" i="4"/>
  <c r="Z31" i="4"/>
  <c r="Z24" i="4"/>
  <c r="Z20" i="4"/>
  <c r="AA31" i="4"/>
  <c r="AA24" i="4"/>
  <c r="AA20" i="4"/>
  <c r="L31" i="4"/>
  <c r="L24" i="4"/>
  <c r="L20" i="4"/>
  <c r="AC31" i="4"/>
  <c r="AC24" i="4"/>
  <c r="AC20" i="4"/>
  <c r="O24" i="4"/>
  <c r="O20" i="4"/>
  <c r="O31" i="4"/>
  <c r="AE24" i="4"/>
  <c r="AE20" i="4"/>
  <c r="AE31" i="4"/>
  <c r="R24" i="4"/>
  <c r="R20" i="4"/>
  <c r="R31" i="4"/>
  <c r="AI24" i="4"/>
  <c r="AI20" i="4"/>
  <c r="AI31" i="4"/>
  <c r="V24" i="4"/>
  <c r="V31" i="4"/>
  <c r="V20" i="4"/>
  <c r="G31" i="4"/>
  <c r="G20" i="4"/>
  <c r="G24" i="4"/>
  <c r="H31" i="4"/>
  <c r="H20" i="4"/>
  <c r="H24" i="4"/>
  <c r="AO31" i="4"/>
  <c r="AO24" i="4"/>
  <c r="AO20" i="4"/>
  <c r="M31" i="4"/>
  <c r="M24" i="4"/>
  <c r="M20" i="4"/>
  <c r="P24" i="4"/>
  <c r="P20" i="4"/>
  <c r="P31" i="4"/>
  <c r="AF24" i="4"/>
  <c r="AF20" i="4"/>
  <c r="AF31" i="4"/>
  <c r="AJ24" i="4"/>
  <c r="AJ20" i="4"/>
  <c r="AJ31" i="4"/>
  <c r="N24" i="4"/>
  <c r="N20" i="4"/>
  <c r="N31" i="4"/>
  <c r="Q24" i="4"/>
  <c r="Q20" i="4"/>
  <c r="Q31" i="4"/>
  <c r="AG24" i="4"/>
  <c r="AG20" i="4"/>
  <c r="AG31" i="4"/>
  <c r="D299" i="2"/>
  <c r="D300" i="2" s="1"/>
  <c r="C83" i="2"/>
  <c r="D83" i="2" s="1"/>
  <c r="E83" i="2" s="1"/>
  <c r="F83" i="2" s="1"/>
  <c r="A82" i="2"/>
  <c r="G40" i="2"/>
  <c r="G41" i="2" s="1"/>
  <c r="C298" i="2" s="1"/>
  <c r="F9" i="2" s="1"/>
  <c r="C120" i="2"/>
  <c r="D120" i="2" s="1"/>
  <c r="E120" i="2" s="1"/>
  <c r="F120" i="2" s="1"/>
  <c r="A119" i="2"/>
  <c r="G103" i="2"/>
  <c r="C155" i="2"/>
  <c r="D155" i="2" s="1"/>
  <c r="E155" i="2" s="1"/>
  <c r="F155" i="2" s="1"/>
  <c r="A154" i="2"/>
  <c r="B299" i="2"/>
  <c r="B300" i="2" s="1"/>
  <c r="B118" i="2"/>
  <c r="G109" i="2"/>
  <c r="K298" i="2" s="1"/>
  <c r="C172" i="2"/>
  <c r="D172" i="2" s="1"/>
  <c r="E172" i="2" s="1"/>
  <c r="F172" i="2" s="1"/>
  <c r="A171" i="2"/>
  <c r="G74" i="2"/>
  <c r="C65" i="2"/>
  <c r="D65" i="2" s="1"/>
  <c r="E65" i="2" s="1"/>
  <c r="F65" i="2" s="1"/>
  <c r="G65" i="2" s="1"/>
  <c r="A64" i="2"/>
  <c r="C64" i="2" s="1"/>
  <c r="D64" i="2" s="1"/>
  <c r="E64" i="2" s="1"/>
  <c r="F64" i="2" s="1"/>
  <c r="G64" i="2" s="1"/>
  <c r="G67" i="2" s="1"/>
  <c r="G298" i="2" s="1"/>
  <c r="G231" i="2"/>
  <c r="C230" i="2"/>
  <c r="D230" i="2" s="1"/>
  <c r="E230" i="2" s="1"/>
  <c r="F230" i="2" s="1"/>
  <c r="G230" i="2" s="1"/>
  <c r="A229" i="2"/>
  <c r="C286" i="2"/>
  <c r="D286" i="2" s="1"/>
  <c r="E286" i="2" s="1"/>
  <c r="F286" i="2" s="1"/>
  <c r="A285" i="2"/>
  <c r="A136" i="2"/>
  <c r="C137" i="2"/>
  <c r="D137" i="2" s="1"/>
  <c r="E137" i="2" s="1"/>
  <c r="F137" i="2" s="1"/>
  <c r="C196" i="2"/>
  <c r="D196" i="2" s="1"/>
  <c r="E196" i="2" s="1"/>
  <c r="F196" i="2" s="1"/>
  <c r="G196" i="2" s="1"/>
  <c r="A195" i="2"/>
  <c r="A72" i="2"/>
  <c r="C72" i="2" s="1"/>
  <c r="D72" i="2" s="1"/>
  <c r="E72" i="2" s="1"/>
  <c r="F72" i="2" s="1"/>
  <c r="G72" i="2" s="1"/>
  <c r="C73" i="2"/>
  <c r="D73" i="2" s="1"/>
  <c r="E73" i="2" s="1"/>
  <c r="F73" i="2" s="1"/>
  <c r="G73" i="2" s="1"/>
  <c r="C254" i="2"/>
  <c r="D254" i="2" s="1"/>
  <c r="E254" i="2" s="1"/>
  <c r="F254" i="2" s="1"/>
  <c r="A253" i="2"/>
  <c r="F299" i="2"/>
  <c r="F300" i="2" s="1"/>
  <c r="G95" i="2"/>
  <c r="B250" i="2"/>
  <c r="A94" i="2"/>
  <c r="B155" i="2"/>
  <c r="B277" i="2"/>
  <c r="B83" i="2"/>
  <c r="B167" i="2"/>
  <c r="B132" i="2"/>
  <c r="B198" i="2"/>
  <c r="G198" i="2" s="1"/>
  <c r="B35" i="4" l="1"/>
  <c r="B33" i="4"/>
  <c r="B26" i="4"/>
  <c r="B156" i="2"/>
  <c r="G156" i="2" s="1"/>
  <c r="G155" i="2"/>
  <c r="B278" i="2"/>
  <c r="C82" i="2"/>
  <c r="D82" i="2" s="1"/>
  <c r="E82" i="2" s="1"/>
  <c r="F82" i="2" s="1"/>
  <c r="G82" i="2" s="1"/>
  <c r="A81" i="2"/>
  <c r="C81" i="2" s="1"/>
  <c r="D81" i="2" s="1"/>
  <c r="E81" i="2" s="1"/>
  <c r="F81" i="2" s="1"/>
  <c r="G81" i="2" s="1"/>
  <c r="G85" i="2" s="1"/>
  <c r="I298" i="2" s="1"/>
  <c r="C171" i="2"/>
  <c r="D171" i="2" s="1"/>
  <c r="E171" i="2" s="1"/>
  <c r="F171" i="2" s="1"/>
  <c r="A170" i="2"/>
  <c r="B251" i="2"/>
  <c r="C229" i="2"/>
  <c r="D229" i="2" s="1"/>
  <c r="E229" i="2" s="1"/>
  <c r="F229" i="2" s="1"/>
  <c r="G229" i="2" s="1"/>
  <c r="A228" i="2"/>
  <c r="B119" i="2"/>
  <c r="F17" i="2"/>
  <c r="K299" i="2"/>
  <c r="K300" i="2" s="1"/>
  <c r="G83" i="2"/>
  <c r="B84" i="2"/>
  <c r="G84" i="2" s="1"/>
  <c r="C253" i="2"/>
  <c r="D253" i="2" s="1"/>
  <c r="E253" i="2" s="1"/>
  <c r="F253" i="2" s="1"/>
  <c r="A252" i="2"/>
  <c r="C136" i="2"/>
  <c r="D136" i="2" s="1"/>
  <c r="E136" i="2" s="1"/>
  <c r="F136" i="2" s="1"/>
  <c r="A135" i="2"/>
  <c r="A284" i="2"/>
  <c r="C285" i="2"/>
  <c r="D285" i="2" s="1"/>
  <c r="E285" i="2" s="1"/>
  <c r="F285" i="2" s="1"/>
  <c r="G299" i="2"/>
  <c r="G300" i="2" s="1"/>
  <c r="F13" i="2"/>
  <c r="C154" i="2"/>
  <c r="D154" i="2" s="1"/>
  <c r="E154" i="2" s="1"/>
  <c r="F154" i="2" s="1"/>
  <c r="G154" i="2" s="1"/>
  <c r="A153" i="2"/>
  <c r="C119" i="2"/>
  <c r="D119" i="2" s="1"/>
  <c r="E119" i="2" s="1"/>
  <c r="F119" i="2" s="1"/>
  <c r="A118" i="2"/>
  <c r="G75" i="2"/>
  <c r="H298" i="2" s="1"/>
  <c r="B133" i="2"/>
  <c r="A93" i="2"/>
  <c r="C94" i="2"/>
  <c r="D94" i="2" s="1"/>
  <c r="E94" i="2" s="1"/>
  <c r="F94" i="2" s="1"/>
  <c r="G94" i="2" s="1"/>
  <c r="B168" i="2"/>
  <c r="A194" i="2"/>
  <c r="C195" i="2"/>
  <c r="D195" i="2" s="1"/>
  <c r="E195" i="2" s="1"/>
  <c r="F195" i="2" s="1"/>
  <c r="G195" i="2" s="1"/>
  <c r="C299" i="2"/>
  <c r="C300" i="2" s="1"/>
  <c r="F21" i="4" l="1"/>
  <c r="E21" i="4"/>
  <c r="D21" i="4"/>
  <c r="C21" i="4"/>
  <c r="B28" i="4"/>
  <c r="F7" i="4" s="1"/>
  <c r="F8" i="4" s="1"/>
  <c r="B21" i="4"/>
  <c r="A21" i="4"/>
  <c r="F22" i="4" s="1"/>
  <c r="G119" i="2"/>
  <c r="B120" i="2"/>
  <c r="A152" i="2"/>
  <c r="C153" i="2"/>
  <c r="D153" i="2" s="1"/>
  <c r="E153" i="2" s="1"/>
  <c r="F153" i="2" s="1"/>
  <c r="G153" i="2" s="1"/>
  <c r="H299" i="2"/>
  <c r="H300" i="2" s="1"/>
  <c r="F14" i="2"/>
  <c r="F15" i="2"/>
  <c r="I299" i="2"/>
  <c r="I300" i="2" s="1"/>
  <c r="A117" i="2"/>
  <c r="C118" i="2"/>
  <c r="D118" i="2" s="1"/>
  <c r="E118" i="2" s="1"/>
  <c r="F118" i="2" s="1"/>
  <c r="G118" i="2" s="1"/>
  <c r="A227" i="2"/>
  <c r="C228" i="2"/>
  <c r="D228" i="2" s="1"/>
  <c r="E228" i="2" s="1"/>
  <c r="F228" i="2" s="1"/>
  <c r="G228" i="2" s="1"/>
  <c r="A169" i="2"/>
  <c r="C170" i="2"/>
  <c r="D170" i="2" s="1"/>
  <c r="E170" i="2" s="1"/>
  <c r="F170" i="2" s="1"/>
  <c r="A134" i="2"/>
  <c r="C135" i="2"/>
  <c r="D135" i="2" s="1"/>
  <c r="E135" i="2" s="1"/>
  <c r="F135" i="2" s="1"/>
  <c r="A251" i="2"/>
  <c r="C252" i="2"/>
  <c r="D252" i="2" s="1"/>
  <c r="E252" i="2" s="1"/>
  <c r="F252" i="2" s="1"/>
  <c r="B279" i="2"/>
  <c r="B252" i="2"/>
  <c r="C93" i="2"/>
  <c r="D93" i="2" s="1"/>
  <c r="E93" i="2" s="1"/>
  <c r="F93" i="2" s="1"/>
  <c r="G93" i="2" s="1"/>
  <c r="A92" i="2"/>
  <c r="B169" i="2"/>
  <c r="B134" i="2"/>
  <c r="C284" i="2"/>
  <c r="D284" i="2" s="1"/>
  <c r="E284" i="2" s="1"/>
  <c r="F284" i="2" s="1"/>
  <c r="A283" i="2"/>
  <c r="C194" i="2"/>
  <c r="D194" i="2" s="1"/>
  <c r="E194" i="2" s="1"/>
  <c r="F194" i="2" s="1"/>
  <c r="G194" i="2" s="1"/>
  <c r="A193" i="2"/>
  <c r="B135" i="2" l="1"/>
  <c r="C283" i="2"/>
  <c r="D283" i="2" s="1"/>
  <c r="E283" i="2" s="1"/>
  <c r="F283" i="2" s="1"/>
  <c r="A282" i="2"/>
  <c r="C117" i="2"/>
  <c r="D117" i="2" s="1"/>
  <c r="E117" i="2" s="1"/>
  <c r="F117" i="2" s="1"/>
  <c r="G117" i="2" s="1"/>
  <c r="A116" i="2"/>
  <c r="C227" i="2"/>
  <c r="D227" i="2" s="1"/>
  <c r="E227" i="2" s="1"/>
  <c r="F227" i="2" s="1"/>
  <c r="G227" i="2" s="1"/>
  <c r="A226" i="2"/>
  <c r="G252" i="2"/>
  <c r="B253" i="2"/>
  <c r="C152" i="2"/>
  <c r="D152" i="2" s="1"/>
  <c r="E152" i="2" s="1"/>
  <c r="F152" i="2" s="1"/>
  <c r="G152" i="2" s="1"/>
  <c r="A151" i="2"/>
  <c r="C134" i="2"/>
  <c r="D134" i="2" s="1"/>
  <c r="E134" i="2" s="1"/>
  <c r="F134" i="2" s="1"/>
  <c r="G134" i="2" s="1"/>
  <c r="A133" i="2"/>
  <c r="C169" i="2"/>
  <c r="D169" i="2" s="1"/>
  <c r="E169" i="2" s="1"/>
  <c r="F169" i="2" s="1"/>
  <c r="G169" i="2" s="1"/>
  <c r="A168" i="2"/>
  <c r="B121" i="2"/>
  <c r="G120" i="2"/>
  <c r="B170" i="2"/>
  <c r="B280" i="2"/>
  <c r="C251" i="2"/>
  <c r="D251" i="2" s="1"/>
  <c r="E251" i="2" s="1"/>
  <c r="F251" i="2" s="1"/>
  <c r="G251" i="2" s="1"/>
  <c r="A250" i="2"/>
  <c r="A91" i="2"/>
  <c r="C91" i="2" s="1"/>
  <c r="D91" i="2" s="1"/>
  <c r="E91" i="2" s="1"/>
  <c r="F91" i="2" s="1"/>
  <c r="G91" i="2" s="1"/>
  <c r="G96" i="2" s="1"/>
  <c r="J298" i="2" s="1"/>
  <c r="C92" i="2"/>
  <c r="D92" i="2" s="1"/>
  <c r="E92" i="2" s="1"/>
  <c r="F92" i="2" s="1"/>
  <c r="G92" i="2" s="1"/>
  <c r="C193" i="2"/>
  <c r="D193" i="2" s="1"/>
  <c r="E193" i="2" s="1"/>
  <c r="F193" i="2" s="1"/>
  <c r="G193" i="2" s="1"/>
  <c r="A192" i="2"/>
  <c r="F16" i="2" l="1"/>
  <c r="J299" i="2"/>
  <c r="J300" i="2" s="1"/>
  <c r="A132" i="2"/>
  <c r="C133" i="2"/>
  <c r="D133" i="2" s="1"/>
  <c r="E133" i="2" s="1"/>
  <c r="F133" i="2" s="1"/>
  <c r="G133" i="2" s="1"/>
  <c r="A191" i="2"/>
  <c r="C192" i="2"/>
  <c r="D192" i="2" s="1"/>
  <c r="E192" i="2" s="1"/>
  <c r="F192" i="2" s="1"/>
  <c r="G192" i="2" s="1"/>
  <c r="A249" i="2"/>
  <c r="C250" i="2"/>
  <c r="D250" i="2" s="1"/>
  <c r="E250" i="2" s="1"/>
  <c r="F250" i="2" s="1"/>
  <c r="G250" i="2" s="1"/>
  <c r="A150" i="2"/>
  <c r="C151" i="2"/>
  <c r="D151" i="2" s="1"/>
  <c r="E151" i="2" s="1"/>
  <c r="F151" i="2" s="1"/>
  <c r="G151" i="2" s="1"/>
  <c r="G253" i="2"/>
  <c r="B254" i="2"/>
  <c r="A225" i="2"/>
  <c r="C226" i="2"/>
  <c r="D226" i="2" s="1"/>
  <c r="E226" i="2" s="1"/>
  <c r="F226" i="2" s="1"/>
  <c r="G226" i="2" s="1"/>
  <c r="B281" i="2"/>
  <c r="B171" i="2"/>
  <c r="G170" i="2"/>
  <c r="B136" i="2"/>
  <c r="G135" i="2"/>
  <c r="A115" i="2"/>
  <c r="C115" i="2" s="1"/>
  <c r="D115" i="2" s="1"/>
  <c r="E115" i="2" s="1"/>
  <c r="F115" i="2" s="1"/>
  <c r="G115" i="2" s="1"/>
  <c r="C116" i="2"/>
  <c r="D116" i="2" s="1"/>
  <c r="E116" i="2" s="1"/>
  <c r="F116" i="2" s="1"/>
  <c r="G116" i="2" s="1"/>
  <c r="A281" i="2"/>
  <c r="C282" i="2"/>
  <c r="D282" i="2" s="1"/>
  <c r="E282" i="2" s="1"/>
  <c r="F282" i="2" s="1"/>
  <c r="G121" i="2"/>
  <c r="B122" i="2"/>
  <c r="G122" i="2" s="1"/>
  <c r="A167" i="2"/>
  <c r="C168" i="2"/>
  <c r="D168" i="2" s="1"/>
  <c r="E168" i="2" s="1"/>
  <c r="F168" i="2" s="1"/>
  <c r="G168" i="2" s="1"/>
  <c r="C225" i="2" l="1"/>
  <c r="D225" i="2" s="1"/>
  <c r="E225" i="2" s="1"/>
  <c r="F225" i="2" s="1"/>
  <c r="G225" i="2" s="1"/>
  <c r="A224" i="2"/>
  <c r="C281" i="2"/>
  <c r="D281" i="2" s="1"/>
  <c r="E281" i="2" s="1"/>
  <c r="F281" i="2" s="1"/>
  <c r="A280" i="2"/>
  <c r="A248" i="2"/>
  <c r="C249" i="2"/>
  <c r="D249" i="2" s="1"/>
  <c r="E249" i="2" s="1"/>
  <c r="F249" i="2" s="1"/>
  <c r="G249" i="2" s="1"/>
  <c r="C150" i="2"/>
  <c r="D150" i="2" s="1"/>
  <c r="E150" i="2" s="1"/>
  <c r="F150" i="2" s="1"/>
  <c r="G150" i="2" s="1"/>
  <c r="A149" i="2"/>
  <c r="G254" i="2"/>
  <c r="B255" i="2"/>
  <c r="C167" i="2"/>
  <c r="D167" i="2" s="1"/>
  <c r="E167" i="2" s="1"/>
  <c r="F167" i="2" s="1"/>
  <c r="G167" i="2" s="1"/>
  <c r="A166" i="2"/>
  <c r="G123" i="2"/>
  <c r="L298" i="2" s="1"/>
  <c r="C191" i="2"/>
  <c r="D191" i="2" s="1"/>
  <c r="E191" i="2" s="1"/>
  <c r="F191" i="2" s="1"/>
  <c r="G191" i="2" s="1"/>
  <c r="A190" i="2"/>
  <c r="G281" i="2"/>
  <c r="B282" i="2"/>
  <c r="G136" i="2"/>
  <c r="B137" i="2"/>
  <c r="C132" i="2"/>
  <c r="D132" i="2" s="1"/>
  <c r="E132" i="2" s="1"/>
  <c r="F132" i="2" s="1"/>
  <c r="G132" i="2" s="1"/>
  <c r="A131" i="2"/>
  <c r="C131" i="2" s="1"/>
  <c r="D131" i="2" s="1"/>
  <c r="E131" i="2" s="1"/>
  <c r="F131" i="2" s="1"/>
  <c r="G131" i="2" s="1"/>
  <c r="G171" i="2"/>
  <c r="B172" i="2"/>
  <c r="A148" i="2" l="1"/>
  <c r="C148" i="2" s="1"/>
  <c r="D148" i="2" s="1"/>
  <c r="E148" i="2" s="1"/>
  <c r="F148" i="2" s="1"/>
  <c r="G148" i="2" s="1"/>
  <c r="C149" i="2"/>
  <c r="D149" i="2" s="1"/>
  <c r="E149" i="2" s="1"/>
  <c r="F149" i="2" s="1"/>
  <c r="G149" i="2" s="1"/>
  <c r="C166" i="2"/>
  <c r="D166" i="2" s="1"/>
  <c r="E166" i="2" s="1"/>
  <c r="F166" i="2" s="1"/>
  <c r="G166" i="2" s="1"/>
  <c r="A165" i="2"/>
  <c r="C165" i="2" s="1"/>
  <c r="D165" i="2" s="1"/>
  <c r="E165" i="2" s="1"/>
  <c r="F165" i="2" s="1"/>
  <c r="G165" i="2" s="1"/>
  <c r="C280" i="2"/>
  <c r="D280" i="2" s="1"/>
  <c r="E280" i="2" s="1"/>
  <c r="F280" i="2" s="1"/>
  <c r="G280" i="2" s="1"/>
  <c r="A279" i="2"/>
  <c r="A189" i="2"/>
  <c r="C190" i="2"/>
  <c r="D190" i="2" s="1"/>
  <c r="E190" i="2" s="1"/>
  <c r="F190" i="2" s="1"/>
  <c r="G190" i="2" s="1"/>
  <c r="F18" i="2"/>
  <c r="L299" i="2"/>
  <c r="L300" i="2" s="1"/>
  <c r="G255" i="2"/>
  <c r="B256" i="2"/>
  <c r="G256" i="2" s="1"/>
  <c r="B173" i="2"/>
  <c r="G172" i="2"/>
  <c r="A223" i="2"/>
  <c r="C224" i="2"/>
  <c r="D224" i="2" s="1"/>
  <c r="E224" i="2" s="1"/>
  <c r="F224" i="2" s="1"/>
  <c r="G224" i="2" s="1"/>
  <c r="A247" i="2"/>
  <c r="C248" i="2"/>
  <c r="D248" i="2" s="1"/>
  <c r="E248" i="2" s="1"/>
  <c r="F248" i="2" s="1"/>
  <c r="G248" i="2" s="1"/>
  <c r="B138" i="2"/>
  <c r="G138" i="2" s="1"/>
  <c r="G137" i="2"/>
  <c r="G139" i="2" s="1"/>
  <c r="M298" i="2" s="1"/>
  <c r="G282" i="2"/>
  <c r="B283" i="2"/>
  <c r="M299" i="2" l="1"/>
  <c r="M300" i="2" s="1"/>
  <c r="F19" i="2"/>
  <c r="A188" i="2"/>
  <c r="C188" i="2" s="1"/>
  <c r="D188" i="2" s="1"/>
  <c r="E188" i="2" s="1"/>
  <c r="F188" i="2" s="1"/>
  <c r="G188" i="2" s="1"/>
  <c r="C189" i="2"/>
  <c r="D189" i="2" s="1"/>
  <c r="E189" i="2" s="1"/>
  <c r="F189" i="2" s="1"/>
  <c r="G189" i="2" s="1"/>
  <c r="A278" i="2"/>
  <c r="C279" i="2"/>
  <c r="D279" i="2" s="1"/>
  <c r="E279" i="2" s="1"/>
  <c r="F279" i="2" s="1"/>
  <c r="G279" i="2" s="1"/>
  <c r="A222" i="2"/>
  <c r="C223" i="2"/>
  <c r="D223" i="2" s="1"/>
  <c r="E223" i="2" s="1"/>
  <c r="F223" i="2" s="1"/>
  <c r="G223" i="2" s="1"/>
  <c r="G173" i="2"/>
  <c r="G175" i="2" s="1"/>
  <c r="O298" i="2" s="1"/>
  <c r="B174" i="2"/>
  <c r="G174" i="2" s="1"/>
  <c r="G283" i="2"/>
  <c r="B284" i="2"/>
  <c r="A246" i="2"/>
  <c r="C247" i="2"/>
  <c r="D247" i="2" s="1"/>
  <c r="E247" i="2" s="1"/>
  <c r="F247" i="2" s="1"/>
  <c r="G247" i="2" s="1"/>
  <c r="G157" i="2"/>
  <c r="N298" i="2" s="1"/>
  <c r="O299" i="2" l="1"/>
  <c r="O300" i="2" s="1"/>
  <c r="F21" i="2"/>
  <c r="C246" i="2"/>
  <c r="D246" i="2" s="1"/>
  <c r="E246" i="2" s="1"/>
  <c r="F246" i="2" s="1"/>
  <c r="G246" i="2" s="1"/>
  <c r="A245" i="2"/>
  <c r="F20" i="2"/>
  <c r="N299" i="2"/>
  <c r="N300" i="2" s="1"/>
  <c r="C222" i="2"/>
  <c r="D222" i="2" s="1"/>
  <c r="E222" i="2" s="1"/>
  <c r="F222" i="2" s="1"/>
  <c r="G222" i="2" s="1"/>
  <c r="A221" i="2"/>
  <c r="G284" i="2"/>
  <c r="B285" i="2"/>
  <c r="C278" i="2"/>
  <c r="D278" i="2" s="1"/>
  <c r="E278" i="2" s="1"/>
  <c r="F278" i="2" s="1"/>
  <c r="G278" i="2" s="1"/>
  <c r="A277" i="2"/>
  <c r="G199" i="2"/>
  <c r="P298" i="2" s="1"/>
  <c r="F22" i="2" l="1"/>
  <c r="P299" i="2"/>
  <c r="P300" i="2" s="1"/>
  <c r="A276" i="2"/>
  <c r="C277" i="2"/>
  <c r="D277" i="2" s="1"/>
  <c r="E277" i="2" s="1"/>
  <c r="F277" i="2" s="1"/>
  <c r="G277" i="2" s="1"/>
  <c r="G285" i="2"/>
  <c r="B286" i="2"/>
  <c r="A220" i="2"/>
  <c r="C221" i="2"/>
  <c r="D221" i="2" s="1"/>
  <c r="E221" i="2" s="1"/>
  <c r="F221" i="2" s="1"/>
  <c r="G221" i="2" s="1"/>
  <c r="C245" i="2"/>
  <c r="D245" i="2" s="1"/>
  <c r="E245" i="2" s="1"/>
  <c r="F245" i="2" s="1"/>
  <c r="G245" i="2" s="1"/>
  <c r="A244" i="2"/>
  <c r="C244" i="2" l="1"/>
  <c r="D244" i="2" s="1"/>
  <c r="E244" i="2" s="1"/>
  <c r="F244" i="2" s="1"/>
  <c r="G244" i="2" s="1"/>
  <c r="A243" i="2"/>
  <c r="C220" i="2"/>
  <c r="D220" i="2" s="1"/>
  <c r="E220" i="2" s="1"/>
  <c r="F220" i="2" s="1"/>
  <c r="G220" i="2" s="1"/>
  <c r="A219" i="2"/>
  <c r="C219" i="2" s="1"/>
  <c r="D219" i="2" s="1"/>
  <c r="E219" i="2" s="1"/>
  <c r="F219" i="2" s="1"/>
  <c r="G219" i="2" s="1"/>
  <c r="G232" i="2" s="1"/>
  <c r="Q298" i="2" s="1"/>
  <c r="G286" i="2"/>
  <c r="B287" i="2"/>
  <c r="A275" i="2"/>
  <c r="C276" i="2"/>
  <c r="D276" i="2" s="1"/>
  <c r="E276" i="2" s="1"/>
  <c r="F276" i="2" s="1"/>
  <c r="G276" i="2" s="1"/>
  <c r="F23" i="2" l="1"/>
  <c r="Q299" i="2"/>
  <c r="Q300" i="2" s="1"/>
  <c r="G287" i="2"/>
  <c r="B288" i="2"/>
  <c r="G288" i="2" s="1"/>
  <c r="A242" i="2"/>
  <c r="C243" i="2"/>
  <c r="D243" i="2" s="1"/>
  <c r="E243" i="2" s="1"/>
  <c r="F243" i="2" s="1"/>
  <c r="G243" i="2" s="1"/>
  <c r="C275" i="2"/>
  <c r="D275" i="2" s="1"/>
  <c r="E275" i="2" s="1"/>
  <c r="F275" i="2" s="1"/>
  <c r="G275" i="2" s="1"/>
  <c r="A274" i="2"/>
  <c r="C274" i="2" l="1"/>
  <c r="D274" i="2" s="1"/>
  <c r="E274" i="2" s="1"/>
  <c r="F274" i="2" s="1"/>
  <c r="G274" i="2" s="1"/>
  <c r="A273" i="2"/>
  <c r="C242" i="2"/>
  <c r="D242" i="2" s="1"/>
  <c r="E242" i="2" s="1"/>
  <c r="F242" i="2" s="1"/>
  <c r="G242" i="2" s="1"/>
  <c r="A241" i="2"/>
  <c r="A272" i="2" l="1"/>
  <c r="C273" i="2"/>
  <c r="D273" i="2" s="1"/>
  <c r="E273" i="2" s="1"/>
  <c r="F273" i="2" s="1"/>
  <c r="G273" i="2" s="1"/>
  <c r="A240" i="2"/>
  <c r="C241" i="2"/>
  <c r="D241" i="2" s="1"/>
  <c r="E241" i="2" s="1"/>
  <c r="F241" i="2" s="1"/>
  <c r="G241" i="2" s="1"/>
  <c r="C240" i="2" l="1"/>
  <c r="D240" i="2" s="1"/>
  <c r="E240" i="2" s="1"/>
  <c r="F240" i="2" s="1"/>
  <c r="G240" i="2" s="1"/>
  <c r="A239" i="2"/>
  <c r="C272" i="2"/>
  <c r="D272" i="2" s="1"/>
  <c r="E272" i="2" s="1"/>
  <c r="F272" i="2" s="1"/>
  <c r="G272" i="2" s="1"/>
  <c r="A271" i="2"/>
  <c r="A238" i="2" l="1"/>
  <c r="C238" i="2" s="1"/>
  <c r="D238" i="2" s="1"/>
  <c r="E238" i="2" s="1"/>
  <c r="F238" i="2" s="1"/>
  <c r="G238" i="2" s="1"/>
  <c r="C239" i="2"/>
  <c r="D239" i="2" s="1"/>
  <c r="E239" i="2" s="1"/>
  <c r="F239" i="2" s="1"/>
  <c r="G239" i="2" s="1"/>
  <c r="A270" i="2"/>
  <c r="C271" i="2"/>
  <c r="D271" i="2" s="1"/>
  <c r="E271" i="2" s="1"/>
  <c r="F271" i="2" s="1"/>
  <c r="G271" i="2" s="1"/>
  <c r="C270" i="2" l="1"/>
  <c r="D270" i="2" s="1"/>
  <c r="E270" i="2" s="1"/>
  <c r="F270" i="2" s="1"/>
  <c r="G270" i="2" s="1"/>
  <c r="A269" i="2"/>
  <c r="G257" i="2"/>
  <c r="R298" i="2" s="1"/>
  <c r="F24" i="2" l="1"/>
  <c r="R299" i="2"/>
  <c r="R300" i="2" s="1"/>
  <c r="A268" i="2"/>
  <c r="C269" i="2"/>
  <c r="D269" i="2" s="1"/>
  <c r="E269" i="2" s="1"/>
  <c r="F269" i="2" s="1"/>
  <c r="G269" i="2" s="1"/>
  <c r="C268" i="2" l="1"/>
  <c r="D268" i="2" s="1"/>
  <c r="E268" i="2" s="1"/>
  <c r="F268" i="2" s="1"/>
  <c r="G268" i="2" s="1"/>
  <c r="A267" i="2"/>
  <c r="C267" i="2" l="1"/>
  <c r="D267" i="2" s="1"/>
  <c r="E267" i="2" s="1"/>
  <c r="F267" i="2" s="1"/>
  <c r="G267" i="2" s="1"/>
  <c r="A266" i="2"/>
  <c r="A265" i="2" l="1"/>
  <c r="C266" i="2"/>
  <c r="D266" i="2" s="1"/>
  <c r="E266" i="2" s="1"/>
  <c r="F266" i="2" s="1"/>
  <c r="G266" i="2" s="1"/>
  <c r="C265" i="2" l="1"/>
  <c r="D265" i="2" s="1"/>
  <c r="E265" i="2" s="1"/>
  <c r="F265" i="2" s="1"/>
  <c r="G265" i="2" s="1"/>
  <c r="A264" i="2"/>
  <c r="A263" i="2" l="1"/>
  <c r="C264" i="2"/>
  <c r="D264" i="2" s="1"/>
  <c r="E264" i="2" s="1"/>
  <c r="F264" i="2" s="1"/>
  <c r="G264" i="2" s="1"/>
  <c r="C263" i="2" l="1"/>
  <c r="D263" i="2" s="1"/>
  <c r="E263" i="2" s="1"/>
  <c r="F263" i="2" s="1"/>
  <c r="G263" i="2" s="1"/>
  <c r="A262" i="2"/>
  <c r="C262" i="2" s="1"/>
  <c r="D262" i="2" s="1"/>
  <c r="E262" i="2" s="1"/>
  <c r="F262" i="2" s="1"/>
  <c r="G262" i="2" s="1"/>
  <c r="G289" i="2" s="1"/>
  <c r="S298" i="2" s="1"/>
  <c r="F25" i="2" l="1"/>
  <c r="S299" i="2"/>
  <c r="S300" i="2" s="1"/>
  <c r="A30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NICOLÁS GONZÁLEZ</author>
  </authors>
  <commentList>
    <comment ref="B5" authorId="0" shapeId="0" xr:uid="{D117CBCF-9C1D-4835-8C02-CAF365DEE1A4}">
      <text>
        <r>
          <rPr>
            <b/>
            <sz val="9"/>
            <color indexed="81"/>
            <rFont val="Tahoma"/>
            <family val="2"/>
          </rPr>
          <t>NICOLÁS GONZÁLEZ y JUAN FERNANDO PAZ: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36"/>
            <color indexed="81"/>
            <rFont val="Tahoma"/>
            <family val="2"/>
          </rPr>
          <t>Nos inventamos este bono.</t>
        </r>
      </text>
    </comment>
  </commentList>
</comments>
</file>

<file path=xl/sharedStrings.xml><?xml version="1.0" encoding="utf-8"?>
<sst xmlns="http://schemas.openxmlformats.org/spreadsheetml/2006/main" count="197" uniqueCount="58">
  <si>
    <t>Suma de Cuadrados del Error</t>
  </si>
  <si>
    <r>
      <t>Error</t>
    </r>
    <r>
      <rPr>
        <b/>
        <vertAlign val="superscript"/>
        <sz val="10"/>
        <rFont val="Arial"/>
        <family val="2"/>
      </rPr>
      <t>2</t>
    </r>
  </si>
  <si>
    <t>Error</t>
  </si>
  <si>
    <t>P. Estimado</t>
  </si>
  <si>
    <t>Cupón</t>
  </si>
  <si>
    <t>P. Observado</t>
  </si>
  <si>
    <t>Fecha Vcto</t>
  </si>
  <si>
    <t>Precio Observado vs. Precio Estimado</t>
  </si>
  <si>
    <t>Precio Estimado =</t>
  </si>
  <si>
    <t>Valor Presente</t>
  </si>
  <si>
    <t>Factor de Descuento</t>
  </si>
  <si>
    <t>Tasa Spot</t>
  </si>
  <si>
    <t>Tiempo Anualizado</t>
  </si>
  <si>
    <t>Días al Vcto. del Flujo</t>
  </si>
  <si>
    <t>Flujo</t>
  </si>
  <si>
    <t>FechaFlujo</t>
  </si>
  <si>
    <t>Dias al Vcto. del Flujo</t>
  </si>
  <si>
    <t>Fecha del Flujo</t>
  </si>
  <si>
    <t>t</t>
  </si>
  <si>
    <r>
      <t>b</t>
    </r>
    <r>
      <rPr>
        <b/>
        <vertAlign val="subscript"/>
        <sz val="10"/>
        <rFont val="Arial"/>
        <family val="2"/>
      </rPr>
      <t>2</t>
    </r>
  </si>
  <si>
    <r>
      <t>b</t>
    </r>
    <r>
      <rPr>
        <b/>
        <vertAlign val="subscript"/>
        <sz val="10"/>
        <rFont val="Arial"/>
        <family val="2"/>
      </rPr>
      <t>1</t>
    </r>
  </si>
  <si>
    <r>
      <t>b</t>
    </r>
    <r>
      <rPr>
        <b/>
        <vertAlign val="subscript"/>
        <sz val="10"/>
        <rFont val="Arial"/>
        <family val="2"/>
      </rPr>
      <t>o</t>
    </r>
  </si>
  <si>
    <t>Parametros</t>
  </si>
  <si>
    <t>Precio Estimado</t>
  </si>
  <si>
    <t>Precio Sucio</t>
  </si>
  <si>
    <t>Precio Limpio</t>
  </si>
  <si>
    <t>Fecha</t>
  </si>
  <si>
    <t>Fecha de calculo de la curva</t>
  </si>
  <si>
    <t>Año</t>
  </si>
  <si>
    <t xml:space="preserve">Precio </t>
  </si>
  <si>
    <t>Duración</t>
  </si>
  <si>
    <t>Valor Facial =</t>
  </si>
  <si>
    <t>a:</t>
  </si>
  <si>
    <t>b:</t>
  </si>
  <si>
    <t>Cupón Anual =</t>
  </si>
  <si>
    <t>c:</t>
  </si>
  <si>
    <t>+</t>
  </si>
  <si>
    <t>d:</t>
  </si>
  <si>
    <r>
      <rPr>
        <sz val="10"/>
        <rFont val="Symbol"/>
        <family val="1"/>
        <charset val="2"/>
      </rPr>
      <t>D</t>
    </r>
    <r>
      <rPr>
        <sz val="10"/>
        <rFont val="Calibri"/>
        <family val="2"/>
        <scheme val="minor"/>
      </rPr>
      <t>P=-P*D*</t>
    </r>
    <r>
      <rPr>
        <sz val="10"/>
        <rFont val="Symbol"/>
        <family val="1"/>
        <charset val="2"/>
      </rPr>
      <t>D</t>
    </r>
    <r>
      <rPr>
        <sz val="10"/>
        <rFont val="Calibri"/>
        <family val="2"/>
        <scheme val="minor"/>
      </rPr>
      <t>y</t>
    </r>
  </si>
  <si>
    <t>Número de pagos por año  =</t>
  </si>
  <si>
    <t xml:space="preserve">Precio Estimado </t>
  </si>
  <si>
    <t>Plazo a la madurez (Años) =</t>
  </si>
  <si>
    <t>Flujo de Caja</t>
  </si>
  <si>
    <t>Factor Descuento</t>
  </si>
  <si>
    <r>
      <rPr>
        <b/>
        <sz val="12"/>
        <rFont val="Calibri"/>
        <family val="2"/>
      </rPr>
      <t>Σ</t>
    </r>
    <r>
      <rPr>
        <b/>
        <sz val="10"/>
        <rFont val="Calibri"/>
        <family val="2"/>
        <scheme val="minor"/>
      </rPr>
      <t xml:space="preserve"> VP =</t>
    </r>
  </si>
  <si>
    <t>Duración de Macaulay =</t>
  </si>
  <si>
    <t>Duración =</t>
  </si>
  <si>
    <t>Convexidad =</t>
  </si>
  <si>
    <t>Variacion =</t>
  </si>
  <si>
    <t>TIR anual</t>
  </si>
  <si>
    <t>TIR nominal anual Semestre Vencido</t>
  </si>
  <si>
    <t>TIR nominal anual Trimestre Vencido</t>
  </si>
  <si>
    <t>W</t>
  </si>
  <si>
    <t>Convexidad</t>
  </si>
  <si>
    <t>Ecuacion 1</t>
  </si>
  <si>
    <t>Ecuacion 3</t>
  </si>
  <si>
    <t>Ecuacion 2</t>
  </si>
  <si>
    <t>Taller 3: Nicolás González y Juan Fernando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</si>
</sst>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\ #,##0.00;[Red]\-&quot;$&quot;\ #,##0.00"/>
    <numFmt numFmtId="164" formatCode="0.0000"/>
    <numFmt numFmtId="165" formatCode="0.00000"/>
    <numFmt numFmtId="166" formatCode="[$-409]d\-mmm\-yy;@"/>
    <numFmt numFmtId="167" formatCode="[$-409]dd\-mmm\-yy;@"/>
    <numFmt numFmtId="168" formatCode="_(* #,##0.00_);_(* \(#,##0.00\);_(* &quot;-&quot;??_);_(@_)"/>
    <numFmt numFmtId="169" formatCode="0.0"/>
    <numFmt numFmtId="170" formatCode="0.000"/>
    <numFmt numFmtId="174" formatCode="&quot;$&quot;\ #,##0;[Red]&quot;$&quot;\ \-#,##0"/>
    <numFmt numFmtId="175" formatCode="#,##0.000"/>
    <numFmt numFmtId="176" formatCode="0.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4"/>
      <color indexed="9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i/>
      <sz val="12"/>
      <name val="Symbol"/>
      <family val="1"/>
      <charset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1"/>
      <charset val="2"/>
      <scheme val="minor"/>
    </font>
    <font>
      <sz val="10"/>
      <name val="Symbol"/>
      <family val="1"/>
      <charset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9" tint="-0.499984740745262"/>
      <name val="Stencil"/>
      <family val="5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36"/>
      <color indexed="81"/>
      <name val="Tahoma"/>
      <family val="2"/>
    </font>
    <font>
      <sz val="2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/>
      <bottom style="thick">
        <color rgb="FF0000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2" fillId="0" borderId="0"/>
    <xf numFmtId="168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/>
    <xf numFmtId="2" fontId="2" fillId="2" borderId="1" xfId="1" applyNumberFormat="1" applyFill="1" applyBorder="1" applyAlignment="1">
      <alignment horizontal="center"/>
    </xf>
    <xf numFmtId="0" fontId="3" fillId="0" borderId="0" xfId="1" applyFont="1"/>
    <xf numFmtId="164" fontId="2" fillId="3" borderId="2" xfId="1" applyNumberFormat="1" applyFill="1" applyBorder="1" applyAlignment="1">
      <alignment horizontal="center"/>
    </xf>
    <xf numFmtId="164" fontId="2" fillId="3" borderId="3" xfId="1" applyNumberForma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2" fillId="3" borderId="5" xfId="1" applyFill="1" applyBorder="1" applyAlignment="1">
      <alignment horizontal="center"/>
    </xf>
    <xf numFmtId="0" fontId="2" fillId="3" borderId="0" xfId="1" applyFill="1" applyAlignment="1">
      <alignment horizontal="center"/>
    </xf>
    <xf numFmtId="0" fontId="2" fillId="3" borderId="6" xfId="1" applyFill="1" applyBorder="1" applyAlignment="1">
      <alignment horizontal="center"/>
    </xf>
    <xf numFmtId="2" fontId="2" fillId="3" borderId="5" xfId="1" quotePrefix="1" applyNumberFormat="1" applyFill="1" applyBorder="1" applyAlignment="1">
      <alignment horizontal="center"/>
    </xf>
    <xf numFmtId="2" fontId="2" fillId="3" borderId="0" xfId="1" quotePrefix="1" applyNumberFormat="1" applyFill="1" applyAlignment="1">
      <alignment horizontal="center"/>
    </xf>
    <xf numFmtId="165" fontId="2" fillId="3" borderId="5" xfId="1" quotePrefix="1" applyNumberFormat="1" applyFill="1" applyBorder="1" applyAlignment="1">
      <alignment horizontal="center"/>
    </xf>
    <xf numFmtId="165" fontId="2" fillId="3" borderId="0" xfId="1" quotePrefix="1" applyNumberFormat="1" applyFill="1" applyAlignment="1">
      <alignment horizontal="center"/>
    </xf>
    <xf numFmtId="15" fontId="4" fillId="3" borderId="5" xfId="1" applyNumberFormat="1" applyFont="1" applyFill="1" applyBorder="1" applyAlignment="1">
      <alignment horizontal="center"/>
    </xf>
    <xf numFmtId="15" fontId="4" fillId="3" borderId="0" xfId="1" applyNumberFormat="1" applyFont="1" applyFill="1" applyAlignment="1">
      <alignment horizontal="center"/>
    </xf>
    <xf numFmtId="0" fontId="2" fillId="3" borderId="7" xfId="1" applyFill="1" applyBorder="1"/>
    <xf numFmtId="0" fontId="2" fillId="3" borderId="8" xfId="1" applyFill="1" applyBorder="1"/>
    <xf numFmtId="0" fontId="2" fillId="3" borderId="9" xfId="1" applyFill="1" applyBorder="1"/>
    <xf numFmtId="0" fontId="6" fillId="4" borderId="10" xfId="1" applyFont="1" applyFill="1" applyBorder="1" applyAlignment="1">
      <alignment horizontal="centerContinuous"/>
    </xf>
    <xf numFmtId="0" fontId="6" fillId="4" borderId="11" xfId="1" applyFont="1" applyFill="1" applyBorder="1" applyAlignment="1">
      <alignment horizontal="centerContinuous"/>
    </xf>
    <xf numFmtId="0" fontId="6" fillId="4" borderId="12" xfId="1" applyFont="1" applyFill="1" applyBorder="1" applyAlignment="1">
      <alignment horizontal="centerContinuous"/>
    </xf>
    <xf numFmtId="0" fontId="7" fillId="5" borderId="13" xfId="1" applyFont="1" applyFill="1" applyBorder="1" applyAlignment="1">
      <alignment vertical="center"/>
    </xf>
    <xf numFmtId="0" fontId="8" fillId="5" borderId="14" xfId="1" applyFont="1" applyFill="1" applyBorder="1" applyAlignment="1">
      <alignment horizontal="right" vertical="center"/>
    </xf>
    <xf numFmtId="0" fontId="2" fillId="6" borderId="15" xfId="1" applyFill="1" applyBorder="1"/>
    <xf numFmtId="0" fontId="2" fillId="6" borderId="16" xfId="1" applyFill="1" applyBorder="1"/>
    <xf numFmtId="2" fontId="2" fillId="6" borderId="16" xfId="1" applyNumberFormat="1" applyFill="1" applyBorder="1" applyAlignment="1">
      <alignment horizontal="center"/>
    </xf>
    <xf numFmtId="15" fontId="4" fillId="6" borderId="17" xfId="1" applyNumberFormat="1" applyFont="1" applyFill="1" applyBorder="1" applyAlignment="1">
      <alignment horizontal="center"/>
    </xf>
    <xf numFmtId="0" fontId="2" fillId="6" borderId="18" xfId="1" applyFill="1" applyBorder="1"/>
    <xf numFmtId="0" fontId="2" fillId="6" borderId="0" xfId="1" applyFill="1"/>
    <xf numFmtId="2" fontId="2" fillId="6" borderId="0" xfId="1" applyNumberFormat="1" applyFill="1" applyAlignment="1">
      <alignment horizontal="center"/>
    </xf>
    <xf numFmtId="15" fontId="4" fillId="6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21" xfId="1" applyFont="1" applyFill="1" applyBorder="1" applyAlignment="1">
      <alignment horizontal="center"/>
    </xf>
    <xf numFmtId="0" fontId="4" fillId="6" borderId="21" xfId="1" applyFont="1" applyFill="1" applyBorder="1"/>
    <xf numFmtId="0" fontId="4" fillId="6" borderId="22" xfId="1" applyFont="1" applyFill="1" applyBorder="1" applyAlignment="1">
      <alignment horizontal="center"/>
    </xf>
    <xf numFmtId="0" fontId="2" fillId="6" borderId="0" xfId="1" applyFill="1" applyAlignment="1">
      <alignment horizontal="center"/>
    </xf>
    <xf numFmtId="2" fontId="2" fillId="6" borderId="23" xfId="1" applyNumberFormat="1" applyFill="1" applyBorder="1" applyAlignment="1">
      <alignment horizontal="center"/>
    </xf>
    <xf numFmtId="166" fontId="4" fillId="6" borderId="17" xfId="1" applyNumberFormat="1" applyFont="1" applyFill="1" applyBorder="1" applyAlignment="1">
      <alignment horizontal="center"/>
    </xf>
    <xf numFmtId="167" fontId="4" fillId="6" borderId="19" xfId="1" applyNumberFormat="1" applyFont="1" applyFill="1" applyBorder="1" applyAlignment="1">
      <alignment horizontal="center"/>
    </xf>
    <xf numFmtId="166" fontId="4" fillId="6" borderId="19" xfId="1" applyNumberFormat="1" applyFont="1" applyFill="1" applyBorder="1" applyAlignment="1">
      <alignment horizontal="center"/>
    </xf>
    <xf numFmtId="15" fontId="2" fillId="6" borderId="0" xfId="1" applyNumberFormat="1" applyFill="1" applyAlignment="1">
      <alignment horizontal="center"/>
    </xf>
    <xf numFmtId="166" fontId="2" fillId="6" borderId="0" xfId="1" applyNumberFormat="1" applyFill="1" applyAlignment="1">
      <alignment horizontal="center"/>
    </xf>
    <xf numFmtId="168" fontId="4" fillId="6" borderId="19" xfId="2" applyFont="1" applyFill="1" applyBorder="1" applyAlignment="1">
      <alignment horizontal="center"/>
    </xf>
    <xf numFmtId="1" fontId="2" fillId="6" borderId="0" xfId="1" applyNumberFormat="1" applyFill="1" applyAlignment="1">
      <alignment horizontal="center"/>
    </xf>
    <xf numFmtId="15" fontId="4" fillId="0" borderId="16" xfId="1" applyNumberFormat="1" applyFont="1" applyBorder="1" applyAlignment="1">
      <alignment horizontal="center"/>
    </xf>
    <xf numFmtId="15" fontId="4" fillId="0" borderId="0" xfId="1" applyNumberFormat="1" applyFont="1" applyAlignment="1">
      <alignment horizontal="center"/>
    </xf>
    <xf numFmtId="2" fontId="2" fillId="0" borderId="0" xfId="1" applyNumberFormat="1"/>
    <xf numFmtId="0" fontId="7" fillId="5" borderId="13" xfId="1" applyFont="1" applyFill="1" applyBorder="1"/>
    <xf numFmtId="0" fontId="8" fillId="5" borderId="14" xfId="1" applyFont="1" applyFill="1" applyBorder="1" applyAlignment="1">
      <alignment horizontal="right"/>
    </xf>
    <xf numFmtId="169" fontId="2" fillId="6" borderId="16" xfId="1" applyNumberFormat="1" applyFill="1" applyBorder="1" applyAlignment="1">
      <alignment horizontal="center"/>
    </xf>
    <xf numFmtId="169" fontId="2" fillId="6" borderId="0" xfId="1" applyNumberFormat="1" applyFill="1" applyAlignment="1">
      <alignment horizontal="center"/>
    </xf>
    <xf numFmtId="1" fontId="2" fillId="6" borderId="16" xfId="1" applyNumberFormat="1" applyFill="1" applyBorder="1" applyAlignment="1">
      <alignment horizontal="center"/>
    </xf>
    <xf numFmtId="0" fontId="1" fillId="0" borderId="1" xfId="3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9" fillId="0" borderId="12" xfId="1" applyFont="1" applyBorder="1" applyAlignment="1">
      <alignment horizontal="center"/>
    </xf>
    <xf numFmtId="0" fontId="11" fillId="0" borderId="24" xfId="1" applyFont="1" applyBorder="1" applyAlignment="1">
      <alignment horizontal="centerContinuous"/>
    </xf>
    <xf numFmtId="0" fontId="11" fillId="0" borderId="25" xfId="1" applyFont="1" applyBorder="1" applyAlignment="1">
      <alignment horizontal="centerContinuous"/>
    </xf>
    <xf numFmtId="0" fontId="11" fillId="0" borderId="12" xfId="1" applyFont="1" applyBorder="1" applyAlignment="1">
      <alignment horizontal="centerContinuous"/>
    </xf>
    <xf numFmtId="170" fontId="12" fillId="0" borderId="26" xfId="1" applyNumberFormat="1" applyFont="1" applyBorder="1" applyAlignment="1">
      <alignment horizontal="center" vertical="center"/>
    </xf>
    <xf numFmtId="14" fontId="12" fillId="0" borderId="27" xfId="1" applyNumberFormat="1" applyFont="1" applyBorder="1"/>
    <xf numFmtId="14" fontId="12" fillId="7" borderId="27" xfId="1" applyNumberFormat="1" applyFont="1" applyFill="1" applyBorder="1"/>
    <xf numFmtId="0" fontId="12" fillId="0" borderId="26" xfId="1" applyFont="1" applyBorder="1" applyAlignment="1">
      <alignment horizontal="center" vertical="center"/>
    </xf>
    <xf numFmtId="170" fontId="13" fillId="0" borderId="26" xfId="1" applyNumberFormat="1" applyFont="1" applyBorder="1" applyAlignment="1">
      <alignment horizontal="center" vertical="center"/>
    </xf>
    <xf numFmtId="0" fontId="7" fillId="8" borderId="27" xfId="1" applyFont="1" applyFill="1" applyBorder="1"/>
    <xf numFmtId="14" fontId="4" fillId="0" borderId="24" xfId="1" applyNumberFormat="1" applyFont="1" applyBorder="1"/>
    <xf numFmtId="0" fontId="4" fillId="0" borderId="24" xfId="1" applyFont="1" applyBorder="1" applyAlignment="1">
      <alignment horizontal="centerContinuous"/>
    </xf>
    <xf numFmtId="0" fontId="4" fillId="0" borderId="12" xfId="1" applyFont="1" applyBorder="1" applyAlignment="1">
      <alignment horizontal="centerContinuous"/>
    </xf>
    <xf numFmtId="0" fontId="2" fillId="0" borderId="0" xfId="1" applyAlignment="1">
      <alignment horizontal="center"/>
    </xf>
    <xf numFmtId="0" fontId="14" fillId="0" borderId="0" xfId="4" applyFont="1"/>
    <xf numFmtId="0" fontId="14" fillId="9" borderId="1" xfId="4" applyFont="1" applyFill="1" applyBorder="1"/>
    <xf numFmtId="174" fontId="14" fillId="0" borderId="1" xfId="4" applyNumberFormat="1" applyFont="1" applyBorder="1" applyAlignment="1">
      <alignment horizontal="center"/>
    </xf>
    <xf numFmtId="0" fontId="14" fillId="0" borderId="0" xfId="4" applyFont="1" applyAlignment="1">
      <alignment horizontal="right"/>
    </xf>
    <xf numFmtId="2" fontId="14" fillId="0" borderId="0" xfId="4" applyNumberFormat="1" applyFont="1"/>
    <xf numFmtId="10" fontId="14" fillId="0" borderId="1" xfId="5" applyNumberFormat="1" applyFont="1" applyBorder="1" applyAlignment="1">
      <alignment horizontal="center" vertical="center" wrapText="1"/>
    </xf>
    <xf numFmtId="0" fontId="15" fillId="9" borderId="1" xfId="4" applyFont="1" applyFill="1" applyBorder="1"/>
    <xf numFmtId="10" fontId="14" fillId="0" borderId="1" xfId="5" applyNumberFormat="1" applyFont="1" applyFill="1" applyBorder="1" applyAlignment="1">
      <alignment horizontal="center" vertical="center" wrapText="1"/>
    </xf>
    <xf numFmtId="0" fontId="16" fillId="0" borderId="0" xfId="4" applyFont="1"/>
    <xf numFmtId="0" fontId="14" fillId="9" borderId="1" xfId="4" applyFont="1" applyFill="1" applyBorder="1" applyAlignment="1">
      <alignment vertical="center" wrapText="1"/>
    </xf>
    <xf numFmtId="0" fontId="14" fillId="0" borderId="1" xfId="4" applyFont="1" applyBorder="1" applyAlignment="1">
      <alignment horizontal="center" vertical="center" wrapText="1"/>
    </xf>
    <xf numFmtId="2" fontId="14" fillId="0" borderId="1" xfId="4" applyNumberFormat="1" applyFont="1" applyBorder="1" applyAlignment="1">
      <alignment horizontal="center" vertical="center" wrapText="1"/>
    </xf>
    <xf numFmtId="0" fontId="18" fillId="10" borderId="12" xfId="4" applyFont="1" applyFill="1" applyBorder="1" applyAlignment="1">
      <alignment horizontal="center"/>
    </xf>
    <xf numFmtId="0" fontId="19" fillId="9" borderId="1" xfId="4" applyFont="1" applyFill="1" applyBorder="1"/>
    <xf numFmtId="4" fontId="14" fillId="0" borderId="12" xfId="5" applyNumberFormat="1" applyFont="1" applyBorder="1" applyAlignment="1">
      <alignment horizontal="center"/>
    </xf>
    <xf numFmtId="4" fontId="14" fillId="0" borderId="25" xfId="5" applyNumberFormat="1" applyFont="1" applyBorder="1" applyAlignment="1">
      <alignment horizontal="center"/>
    </xf>
    <xf numFmtId="0" fontId="19" fillId="0" borderId="0" xfId="4" applyFont="1"/>
    <xf numFmtId="175" fontId="14" fillId="0" borderId="12" xfId="4" applyNumberFormat="1" applyFont="1" applyBorder="1" applyAlignment="1">
      <alignment horizontal="center" vertical="center"/>
    </xf>
    <xf numFmtId="175" fontId="14" fillId="0" borderId="25" xfId="4" applyNumberFormat="1" applyFont="1" applyBorder="1" applyAlignment="1">
      <alignment horizontal="center" vertical="center"/>
    </xf>
    <xf numFmtId="4" fontId="14" fillId="0" borderId="12" xfId="4" applyNumberFormat="1" applyFont="1" applyBorder="1" applyAlignment="1">
      <alignment horizontal="center" vertical="center"/>
    </xf>
    <xf numFmtId="4" fontId="14" fillId="0" borderId="25" xfId="4" applyNumberFormat="1" applyFont="1" applyBorder="1" applyAlignment="1">
      <alignment horizontal="center" vertical="center"/>
    </xf>
    <xf numFmtId="0" fontId="20" fillId="0" borderId="0" xfId="4" applyFont="1"/>
    <xf numFmtId="8" fontId="14" fillId="0" borderId="0" xfId="4" applyNumberFormat="1" applyFont="1"/>
    <xf numFmtId="8" fontId="20" fillId="0" borderId="0" xfId="4" applyNumberFormat="1" applyFont="1"/>
    <xf numFmtId="0" fontId="21" fillId="9" borderId="1" xfId="4" applyFont="1" applyFill="1" applyBorder="1"/>
    <xf numFmtId="2" fontId="14" fillId="0" borderId="1" xfId="4" applyNumberFormat="1" applyFont="1" applyBorder="1" applyAlignment="1">
      <alignment horizontal="center"/>
    </xf>
    <xf numFmtId="0" fontId="19" fillId="9" borderId="1" xfId="4" applyFont="1" applyFill="1" applyBorder="1" applyAlignment="1">
      <alignment vertical="center" wrapText="1"/>
    </xf>
    <xf numFmtId="4" fontId="14" fillId="0" borderId="1" xfId="4" applyNumberFormat="1" applyFont="1" applyBorder="1" applyAlignment="1">
      <alignment horizontal="center" vertical="center" wrapText="1"/>
    </xf>
    <xf numFmtId="0" fontId="19" fillId="11" borderId="1" xfId="4" applyFont="1" applyFill="1" applyBorder="1"/>
    <xf numFmtId="176" fontId="14" fillId="0" borderId="0" xfId="4" applyNumberFormat="1" applyFont="1"/>
    <xf numFmtId="164" fontId="14" fillId="0" borderId="0" xfId="4" applyNumberFormat="1" applyFont="1"/>
    <xf numFmtId="10" fontId="2" fillId="0" borderId="0" xfId="1" applyNumberFormat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Font="1" applyAlignment="1">
      <alignment horizontal="center"/>
    </xf>
    <xf numFmtId="4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/>
    </xf>
    <xf numFmtId="2" fontId="0" fillId="0" borderId="0" xfId="0" applyNumberFormat="1"/>
    <xf numFmtId="0" fontId="26" fillId="0" borderId="0" xfId="1" applyFont="1" applyAlignment="1"/>
  </cellXfs>
  <cellStyles count="6">
    <cellStyle name="Millares 2" xfId="2" xr:uid="{3A5E52E9-0EAF-408D-B1B2-68106AFB5A9A}"/>
    <cellStyle name="Normal" xfId="0" builtinId="0"/>
    <cellStyle name="Normal 2" xfId="1" xr:uid="{85D7D98A-8C7E-4793-88BD-68935FFFE799}"/>
    <cellStyle name="Normal 2 2" xfId="3" xr:uid="{D5B1CA61-6CF7-4F14-BAD8-B5FD09138390}"/>
    <cellStyle name="Normal 3" xfId="4" xr:uid="{0D2D95CF-518F-486B-9E9C-75356597D741}"/>
    <cellStyle name="Porcentaje 2" xfId="5" xr:uid="{D48BF923-53B9-4496-B09F-68FCDD46DA8D}"/>
  </cellStyles>
  <dxfs count="31"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numFmt numFmtId="173" formatCode="&quot;Semestre&quot;\ 0"/>
    </dxf>
    <dxf>
      <numFmt numFmtId="172" formatCode="&quot;Año&quot;\ 0"/>
    </dxf>
    <dxf>
      <numFmt numFmtId="171" formatCode="&quot;Trimestre&quot;\ 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0" formatCode="0.000"/>
      <fill>
        <patternFill patternType="solid">
          <fgColor indexed="64"/>
          <bgColor rgb="FFE2EFDA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color theme="1"/>
        <family val="2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2</xdr:row>
      <xdr:rowOff>133350</xdr:rowOff>
    </xdr:from>
    <xdr:to>
      <xdr:col>20</xdr:col>
      <xdr:colOff>515731</xdr:colOff>
      <xdr:row>37</xdr:row>
      <xdr:rowOff>46563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7E27F2-72DB-170D-89DD-3168468C6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457200"/>
          <a:ext cx="8659606" cy="5809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20</xdr:col>
      <xdr:colOff>344224</xdr:colOff>
      <xdr:row>23</xdr:row>
      <xdr:rowOff>105291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D5DA47-990E-4253-B7F3-B5E0E6B6D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61925"/>
          <a:ext cx="9488224" cy="3696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578825</xdr:colOff>
      <xdr:row>0</xdr:row>
      <xdr:rowOff>1</xdr:rowOff>
    </xdr:from>
    <xdr:to>
      <xdr:col>14</xdr:col>
      <xdr:colOff>206456</xdr:colOff>
      <xdr:row>11</xdr:row>
      <xdr:rowOff>24043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778BA6-2D40-28FD-1E97-2DB35C450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3825" y="1"/>
          <a:ext cx="5723631" cy="1863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9525</xdr:rowOff>
    </xdr:from>
    <xdr:to>
      <xdr:col>12</xdr:col>
      <xdr:colOff>306043</xdr:colOff>
      <xdr:row>7</xdr:row>
      <xdr:rowOff>104948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5630E7-5340-F531-5F13-B435F5CF4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00025"/>
          <a:ext cx="8907118" cy="12384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6E2C6-7516-4A69-BE25-E25B55F64892}" name="Tabla1" displayName="Tabla1" ref="C7:F25" totalsRowShown="0">
  <autoFilter ref="C7:F25" xr:uid="{97AF563E-CAB5-4DEB-A179-9E6D7789DD8B}"/>
  <tableColumns count="4">
    <tableColumn id="3" xr3:uid="{24EB01CE-DCDB-43E4-B362-E355422CC0ED}" name="Cupón"/>
    <tableColumn id="4" xr3:uid="{DC23780C-4049-47CB-892C-51355F850F17}" name="Precio Limpio"/>
    <tableColumn id="9" xr3:uid="{42735E05-2B27-4A7C-8621-84202EE3EE6B}" name="Precio Sucio" dataDxfId="30">
      <calculatedColumnFormula>D8+ABS($D$5-($D$5+(B8-$D$5-INT(B8/365-$D$5/365)*365))+365)/365*C8</calculatedColumnFormula>
    </tableColumn>
    <tableColumn id="10" xr3:uid="{CA9129BC-DAF9-46CC-A29C-3C8EBDCFFD1C}" name="Precio Estimado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CDEC27-8257-4D77-A63C-4C9FFEC9742F}" name="Tabla2" displayName="Tabla2" ref="B2:G6" totalsRowShown="0" headerRowDxfId="28" dataDxfId="27">
  <tableColumns count="6">
    <tableColumn id="1" xr3:uid="{3899CA05-CF3E-4027-B25E-71E01649BAE0}" name="Año" dataDxfId="26"/>
    <tableColumn id="2" xr3:uid="{BC9E1612-5BB9-4D6D-A416-E11EE318A620}" name="Cupón" dataDxfId="25"/>
    <tableColumn id="3" xr3:uid="{C6530A75-CE28-4036-9E92-095515123DAE}" name="Precio " dataDxfId="24"/>
    <tableColumn id="5" xr3:uid="{25C30606-9142-4740-8ABD-61D1823B9C59}" name="W" dataDxfId="22" dataCellStyle="Normal 2"/>
    <tableColumn id="4" xr3:uid="{C0B28A2A-8168-4AE2-B932-ABDE58C803D7}" name="Duración" dataDxfId="23"/>
    <tableColumn id="6" xr3:uid="{185D596A-F187-4369-8636-B0730252F865}" name="Convexidad" dataDxfId="21">
      <calculatedColumnFormula>SUM(G1:Z1)*((1/$B$7)^2)*(1/(1+$B$5/$B$7)^2)/#REF!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6536-FD3A-4C87-8B43-80740FA52CBE}">
  <dimension ref="A1:S304"/>
  <sheetViews>
    <sheetView zoomScaleNormal="100" workbookViewId="0">
      <selection activeCell="H19" sqref="H19"/>
    </sheetView>
  </sheetViews>
  <sheetFormatPr baseColWidth="10" defaultRowHeight="12.75"/>
  <cols>
    <col min="1" max="1" width="15.140625" style="1" bestFit="1" customWidth="1"/>
    <col min="2" max="2" width="10.140625" style="1" bestFit="1" customWidth="1"/>
    <col min="3" max="3" width="21" style="1" bestFit="1" customWidth="1"/>
    <col min="4" max="4" width="18.85546875" style="1" bestFit="1" customWidth="1"/>
    <col min="5" max="5" width="14.85546875" style="1" bestFit="1" customWidth="1"/>
    <col min="6" max="6" width="19.7109375" style="1" bestFit="1" customWidth="1"/>
    <col min="7" max="7" width="14.42578125" style="1" bestFit="1" customWidth="1"/>
    <col min="8" max="8" width="12" style="1" bestFit="1" customWidth="1"/>
    <col min="9" max="11" width="10.140625" style="1" bestFit="1" customWidth="1"/>
    <col min="12" max="12" width="12" style="1" bestFit="1" customWidth="1"/>
    <col min="13" max="18" width="10.140625" style="1" bestFit="1" customWidth="1"/>
    <col min="19" max="19" width="9.140625" style="1" bestFit="1" customWidth="1"/>
    <col min="20" max="22" width="10.140625" style="1" bestFit="1" customWidth="1"/>
    <col min="23" max="16384" width="11.42578125" style="1"/>
  </cols>
  <sheetData>
    <row r="1" spans="1:6" ht="34.5">
      <c r="A1" s="109" t="s">
        <v>57</v>
      </c>
      <c r="B1" s="109"/>
      <c r="C1" s="109"/>
      <c r="D1" s="109"/>
    </row>
    <row r="4" spans="1:6" ht="13.5" thickBot="1"/>
    <row r="5" spans="1:6" ht="13.5" thickBot="1">
      <c r="B5" s="70" t="s">
        <v>27</v>
      </c>
      <c r="C5" s="69"/>
      <c r="D5" s="68">
        <v>45198</v>
      </c>
    </row>
    <row r="7" spans="1:6">
      <c r="B7" s="67" t="s">
        <v>26</v>
      </c>
      <c r="C7" s="1" t="s">
        <v>4</v>
      </c>
      <c r="D7" s="1" t="s">
        <v>25</v>
      </c>
      <c r="E7" s="1" t="s">
        <v>24</v>
      </c>
      <c r="F7" s="66" t="s">
        <v>23</v>
      </c>
    </row>
    <row r="8" spans="1:6">
      <c r="B8" s="64">
        <v>45265</v>
      </c>
      <c r="C8" s="1">
        <v>0</v>
      </c>
      <c r="D8" s="1">
        <v>97.846000000000004</v>
      </c>
      <c r="E8" s="65">
        <f>D8+ABS($D$5-($D$5+(B8-$D$5-INT(B8/365-$D$5/365)*365))+365)/365*C8</f>
        <v>97.846000000000004</v>
      </c>
      <c r="F8" s="62">
        <f>B298</f>
        <v>98.40462597935246</v>
      </c>
    </row>
    <row r="9" spans="1:6">
      <c r="B9" s="63">
        <v>45356</v>
      </c>
      <c r="C9" s="1">
        <v>0</v>
      </c>
      <c r="D9" s="1">
        <v>95.468000000000004</v>
      </c>
      <c r="E9" s="65">
        <f>D9+ABS($D$5-($D$5+(B9-$D$5-INT(B9/365-$D$5/365)*365))+365)/365*C9</f>
        <v>95.468000000000004</v>
      </c>
      <c r="F9" s="62">
        <f>C298</f>
        <v>96.194207697835012</v>
      </c>
    </row>
    <row r="10" spans="1:6">
      <c r="B10" s="64">
        <v>45448</v>
      </c>
      <c r="C10" s="1">
        <v>0</v>
      </c>
      <c r="D10" s="1">
        <v>92.356999999999999</v>
      </c>
      <c r="E10" s="65">
        <f>D10+ABS($D$5-($D$5+(B10-$D$5-INT(B10/365-$D$5/365)*365))+365)/365*C10</f>
        <v>92.356999999999999</v>
      </c>
      <c r="F10" s="62">
        <f>D298</f>
        <v>93.923157742191862</v>
      </c>
    </row>
    <row r="11" spans="1:6">
      <c r="B11" s="63">
        <v>45539</v>
      </c>
      <c r="C11" s="1">
        <v>0</v>
      </c>
      <c r="D11" s="1">
        <v>90.183000000000007</v>
      </c>
      <c r="E11" s="65">
        <f>D11+ABS($D$5-($D$5+(B11-$D$5-INT(B11/365-$D$5/365)*365))+365)/365*C11</f>
        <v>90.183000000000007</v>
      </c>
      <c r="F11" s="62">
        <f>E298</f>
        <v>91.654964151530223</v>
      </c>
    </row>
    <row r="12" spans="1:6">
      <c r="B12" s="64">
        <v>45497</v>
      </c>
      <c r="C12" s="1">
        <v>10</v>
      </c>
      <c r="D12" s="1">
        <v>100.673</v>
      </c>
      <c r="E12" s="62">
        <f>D12+ABS($D$5-($D$5+(B12-$D$5-INT(B12/365-$D$5/365)*365))+365)/365*C12</f>
        <v>102.4812191780822</v>
      </c>
      <c r="F12" s="62">
        <f>F298</f>
        <v>102.00149572924494</v>
      </c>
    </row>
    <row r="13" spans="1:6">
      <c r="B13" s="63">
        <v>45987</v>
      </c>
      <c r="C13" s="1">
        <v>6.25</v>
      </c>
      <c r="D13" s="1">
        <v>91.718999999999994</v>
      </c>
      <c r="E13" s="62">
        <f>D13+ABS($D$5-($D$5+(B13-$D$5-INT(B13/365-$D$5/365)*365))+365)/365*C13</f>
        <v>96.958726027397262</v>
      </c>
      <c r="F13" s="62">
        <f>G298</f>
        <v>97.329101297102937</v>
      </c>
    </row>
    <row r="14" spans="1:6">
      <c r="B14" s="64">
        <v>46260</v>
      </c>
      <c r="C14" s="1">
        <v>7.5</v>
      </c>
      <c r="D14" s="1">
        <v>91.406999999999996</v>
      </c>
      <c r="E14" s="62">
        <f>D14+ABS($D$5-($D$5+(B14-$D$5-INT(B14/365-$D$5/365)*365))+365)/365*C14</f>
        <v>92.085082191780813</v>
      </c>
      <c r="F14" s="62">
        <f>H298</f>
        <v>92.736575910646465</v>
      </c>
    </row>
    <row r="15" spans="1:6">
      <c r="B15" s="63">
        <v>46694</v>
      </c>
      <c r="C15" s="1">
        <v>5.75</v>
      </c>
      <c r="D15" s="1">
        <v>82.468999999999994</v>
      </c>
      <c r="E15" s="62">
        <f>D15+ABS($D$5-($D$5+(B15-$D$5-INT(B15/365-$D$5/365)*365))+365)/365*C15</f>
        <v>87.651876712328757</v>
      </c>
      <c r="F15" s="62">
        <f>I298</f>
        <v>82.308615290817286</v>
      </c>
    </row>
    <row r="16" spans="1:6">
      <c r="B16" s="64">
        <v>46871</v>
      </c>
      <c r="C16" s="1">
        <v>6</v>
      </c>
      <c r="D16" s="1">
        <v>81.513999999999996</v>
      </c>
      <c r="E16" s="62">
        <f>D16+ABS($D$5-($D$5+(B16-$D$5-INT(B16/365-$D$5/365)*365))+365)/365*C16</f>
        <v>84.012630136986303</v>
      </c>
      <c r="F16" s="62">
        <f>J298</f>
        <v>84.231165162253689</v>
      </c>
    </row>
    <row r="17" spans="2:6">
      <c r="B17" s="63">
        <v>47744</v>
      </c>
      <c r="C17" s="1">
        <v>7.75</v>
      </c>
      <c r="D17" s="1">
        <v>82.483999999999995</v>
      </c>
      <c r="E17" s="62">
        <f>D17+ABS($D$5-($D$5+(B17-$D$5-INT(B17/365-$D$5/365)*365))+365)/365*C17</f>
        <v>82.675095890410958</v>
      </c>
      <c r="F17" s="62">
        <f>K298</f>
        <v>82.271981661188988</v>
      </c>
    </row>
    <row r="18" spans="2:6">
      <c r="B18" s="64">
        <v>47933</v>
      </c>
      <c r="C18" s="1">
        <v>7</v>
      </c>
      <c r="D18" s="1">
        <v>77.194000000000003</v>
      </c>
      <c r="E18" s="62">
        <f>D18+ABS($D$5-($D$5+(B18-$D$5-INT(B18/365-$D$5/365)*365))+365)/365*C18</f>
        <v>80.741945205479453</v>
      </c>
      <c r="F18" s="62">
        <f>L298</f>
        <v>80.873923705162696</v>
      </c>
    </row>
    <row r="19" spans="2:6">
      <c r="B19" s="63">
        <v>47933</v>
      </c>
      <c r="C19" s="1">
        <v>7</v>
      </c>
      <c r="D19" s="1">
        <v>76.828999999999994</v>
      </c>
      <c r="E19" s="62">
        <f>D19+ABS($D$5-($D$5+(B19-$D$5-INT(B19/365-$D$5/365)*365))+365)/365*C19</f>
        <v>80.376945205479444</v>
      </c>
      <c r="F19" s="62">
        <f>M298</f>
        <v>80.873923705162696</v>
      </c>
    </row>
    <row r="20" spans="2:6">
      <c r="B20" s="64">
        <v>48395</v>
      </c>
      <c r="C20" s="1">
        <v>7</v>
      </c>
      <c r="D20" s="1">
        <v>73.864000000000004</v>
      </c>
      <c r="E20" s="62">
        <f>D20+ABS($D$5-($D$5+(B20-$D$5-INT(B20/365-$D$5/365)*365))+365)/365*C20</f>
        <v>75.551671232876714</v>
      </c>
      <c r="F20" s="62">
        <f>N298</f>
        <v>76.45381350636201</v>
      </c>
    </row>
    <row r="21" spans="2:6">
      <c r="B21" s="63">
        <v>48619</v>
      </c>
      <c r="C21" s="1">
        <v>13.25</v>
      </c>
      <c r="D21" s="1">
        <v>105.331</v>
      </c>
      <c r="E21" s="62">
        <f>D21+ABS($D$5-($D$5+(B21-$D$5-INT(B21/365-$D$5/365)*365))+365)/365*C21</f>
        <v>113.64401369863015</v>
      </c>
      <c r="F21" s="62">
        <f>O298</f>
        <v>116.70562562066547</v>
      </c>
    </row>
    <row r="22" spans="2:6">
      <c r="B22" s="64">
        <v>49235</v>
      </c>
      <c r="C22" s="1">
        <v>7.25</v>
      </c>
      <c r="D22" s="1">
        <v>70.585999999999999</v>
      </c>
      <c r="E22" s="62">
        <f>D22+ABS($D$5-($D$5+(B22-$D$5-INT(B22/365-$D$5/365)*365))+365)/365*C22</f>
        <v>77.399013698630142</v>
      </c>
      <c r="F22" s="62">
        <f>P298</f>
        <v>72.206625828299693</v>
      </c>
    </row>
    <row r="23" spans="2:6">
      <c r="B23" s="63">
        <v>49865</v>
      </c>
      <c r="C23" s="1">
        <v>6.25</v>
      </c>
      <c r="D23" s="1">
        <v>62.167000000000002</v>
      </c>
      <c r="E23" s="62">
        <f>D23+ABS($D$5-($D$5+(B23-$D$5-INT(B23/365-$D$5/365)*365))+365)/365*C23</f>
        <v>63.502616438356164</v>
      </c>
      <c r="F23" s="62">
        <f>Q298</f>
        <v>65.407434325288961</v>
      </c>
    </row>
    <row r="24" spans="2:6">
      <c r="B24" s="64">
        <v>52014</v>
      </c>
      <c r="C24" s="1">
        <v>9.25</v>
      </c>
      <c r="D24" s="1">
        <v>77.051000000000002</v>
      </c>
      <c r="E24" s="62">
        <f>D24+ABS($D$5-($D$5+(B24-$D$5-INT(B24/365-$D$5/365)*365))+365)/365*C24</f>
        <v>80.066753424657534</v>
      </c>
      <c r="F24" s="62">
        <f>R298</f>
        <v>84.11344009373812</v>
      </c>
    </row>
    <row r="25" spans="2:6">
      <c r="B25" s="63">
        <v>55087</v>
      </c>
      <c r="C25" s="1">
        <v>7.25</v>
      </c>
      <c r="D25" s="1">
        <v>60.418999999999997</v>
      </c>
      <c r="E25" s="62">
        <f>D25+ABS($D$5-($D$5+(B25-$D$5-INT(B25/365-$D$5/365)*365))+365)/365*C25</f>
        <v>66.99365753424658</v>
      </c>
      <c r="F25" s="62">
        <f>S298</f>
        <v>62.908452691060937</v>
      </c>
    </row>
    <row r="27" spans="2:6" ht="13.5" thickBot="1"/>
    <row r="28" spans="2:6" ht="16.5" thickBot="1">
      <c r="B28" s="61" t="s">
        <v>22</v>
      </c>
      <c r="C28" s="60"/>
      <c r="D28" s="60"/>
      <c r="E28" s="59"/>
    </row>
    <row r="29" spans="2:6" ht="16.5" thickBot="1">
      <c r="B29" s="58" t="s">
        <v>21</v>
      </c>
      <c r="C29" s="58" t="s">
        <v>20</v>
      </c>
      <c r="D29" s="58" t="s">
        <v>19</v>
      </c>
      <c r="E29" s="57" t="s">
        <v>18</v>
      </c>
    </row>
    <row r="30" spans="2:6" ht="15.75" thickBot="1">
      <c r="B30" s="56">
        <v>10.899694746545897</v>
      </c>
      <c r="C30" s="56">
        <v>-2.2972214751435014</v>
      </c>
      <c r="D30" s="56">
        <v>4.2818349757589349</v>
      </c>
      <c r="E30" s="56">
        <v>3.7</v>
      </c>
    </row>
    <row r="33" spans="1:7" ht="13.5" thickBot="1"/>
    <row r="34" spans="1:7" ht="13.5" thickTop="1">
      <c r="A34" s="38" t="s">
        <v>17</v>
      </c>
      <c r="B34" s="36" t="s">
        <v>14</v>
      </c>
      <c r="C34" s="36" t="s">
        <v>13</v>
      </c>
      <c r="D34" s="37" t="s">
        <v>12</v>
      </c>
      <c r="E34" s="36" t="s">
        <v>11</v>
      </c>
      <c r="F34" s="36" t="s">
        <v>10</v>
      </c>
      <c r="G34" s="35" t="s">
        <v>9</v>
      </c>
    </row>
    <row r="35" spans="1:7" ht="13.5" thickBot="1">
      <c r="A35" s="30">
        <f>B8</f>
        <v>45265</v>
      </c>
      <c r="B35" s="55">
        <v>100</v>
      </c>
      <c r="C35" s="29">
        <f>A35-$D$5</f>
        <v>67</v>
      </c>
      <c r="D35" s="28">
        <f>C35/365</f>
        <v>0.18356164383561643</v>
      </c>
      <c r="E35" s="28">
        <f>($B$30/100)+((($C$30+$D$30)/100)*(1-EXP(-D35/$E$30))/(D35/$E$30))-(($D$30/100)*(EXP(-D35/$E$30)))</f>
        <v>8.7612916912125999E-2</v>
      </c>
      <c r="F35" s="28">
        <f>EXP(-E35*D35)</f>
        <v>0.98404625979352467</v>
      </c>
      <c r="G35" s="27">
        <f>F35*B35</f>
        <v>98.40462597935246</v>
      </c>
    </row>
    <row r="36" spans="1:7" ht="14.25" thickTop="1" thickBot="1">
      <c r="A36" s="49"/>
      <c r="C36" s="50"/>
      <c r="F36" s="52" t="s">
        <v>8</v>
      </c>
      <c r="G36" s="51">
        <f>G35</f>
        <v>98.40462597935246</v>
      </c>
    </row>
    <row r="37" spans="1:7" ht="14.25" thickTop="1" thickBot="1">
      <c r="A37" s="49"/>
      <c r="C37" s="50"/>
    </row>
    <row r="38" spans="1:7" ht="13.5" thickTop="1">
      <c r="A38" s="38" t="s">
        <v>15</v>
      </c>
      <c r="B38" s="36" t="s">
        <v>14</v>
      </c>
      <c r="C38" s="36" t="s">
        <v>13</v>
      </c>
      <c r="D38" s="37" t="s">
        <v>12</v>
      </c>
      <c r="E38" s="36" t="s">
        <v>11</v>
      </c>
      <c r="F38" s="36" t="s">
        <v>10</v>
      </c>
      <c r="G38" s="35" t="s">
        <v>9</v>
      </c>
    </row>
    <row r="39" spans="1:7">
      <c r="A39" s="34"/>
      <c r="B39" s="47"/>
      <c r="C39" s="33"/>
      <c r="D39" s="32"/>
      <c r="E39" s="32"/>
      <c r="F39" s="32"/>
      <c r="G39" s="31"/>
    </row>
    <row r="40" spans="1:7" ht="13.5" thickBot="1">
      <c r="A40" s="30">
        <f>B9</f>
        <v>45356</v>
      </c>
      <c r="B40" s="55">
        <f>100+B39</f>
        <v>100</v>
      </c>
      <c r="C40" s="29">
        <f>A40-$D$5</f>
        <v>158</v>
      </c>
      <c r="D40" s="28">
        <f>C40/365</f>
        <v>0.43287671232876712</v>
      </c>
      <c r="E40" s="28">
        <f>($B$30/100)+((($C$30+$D$30)/100)*(1-EXP(-D40/$E$30))/(D40/$E$30))-(($D$30/100)*(EXP(-D40/$E$30)))</f>
        <v>8.963531662783257E-2</v>
      </c>
      <c r="F40" s="28">
        <f>EXP(-E40*D40)</f>
        <v>0.9619420769783501</v>
      </c>
      <c r="G40" s="27">
        <f>B40*F40</f>
        <v>96.194207697835012</v>
      </c>
    </row>
    <row r="41" spans="1:7" ht="14.25" thickTop="1" thickBot="1">
      <c r="A41" s="49"/>
      <c r="C41" s="50"/>
      <c r="F41" s="52" t="s">
        <v>8</v>
      </c>
      <c r="G41" s="51">
        <f>SUM(G39:G40)</f>
        <v>96.194207697835012</v>
      </c>
    </row>
    <row r="42" spans="1:7" ht="14.25" thickTop="1" thickBot="1">
      <c r="A42" s="49"/>
      <c r="C42" s="50"/>
    </row>
    <row r="43" spans="1:7" ht="13.5" thickTop="1">
      <c r="A43" s="38" t="s">
        <v>15</v>
      </c>
      <c r="B43" s="36" t="s">
        <v>14</v>
      </c>
      <c r="C43" s="36" t="s">
        <v>13</v>
      </c>
      <c r="D43" s="37" t="s">
        <v>12</v>
      </c>
      <c r="E43" s="36" t="s">
        <v>11</v>
      </c>
      <c r="F43" s="36" t="s">
        <v>10</v>
      </c>
      <c r="G43" s="35" t="s">
        <v>9</v>
      </c>
    </row>
    <row r="44" spans="1:7">
      <c r="A44" s="34"/>
      <c r="B44" s="47"/>
      <c r="C44" s="33"/>
      <c r="D44" s="32"/>
      <c r="E44" s="32"/>
      <c r="F44" s="32"/>
      <c r="G44" s="31"/>
    </row>
    <row r="45" spans="1:7" ht="13.5" thickBot="1">
      <c r="A45" s="30">
        <f>B10</f>
        <v>45448</v>
      </c>
      <c r="B45" s="55">
        <v>100</v>
      </c>
      <c r="C45" s="29">
        <f>A45-$D$5</f>
        <v>250</v>
      </c>
      <c r="D45" s="28">
        <f>C45/365</f>
        <v>0.68493150684931503</v>
      </c>
      <c r="E45" s="28">
        <f>($B$30/100)+((($C$30+$D$30)/100)*(1-EXP(-D45/$E$30))/(D45/$E$30))-(($D$30/100)*(EXP(-D45/$E$30)))</f>
        <v>9.1532084931681842E-2</v>
      </c>
      <c r="F45" s="28">
        <f>EXP(-E45*D45)</f>
        <v>0.93923157742191865</v>
      </c>
      <c r="G45" s="27">
        <f>B45*F45</f>
        <v>93.923157742191862</v>
      </c>
    </row>
    <row r="46" spans="1:7" ht="14.25" thickTop="1" thickBot="1">
      <c r="A46" s="49"/>
      <c r="C46" s="50"/>
      <c r="F46" s="52" t="s">
        <v>8</v>
      </c>
      <c r="G46" s="51">
        <f>SUM(G44:G45)</f>
        <v>93.923157742191862</v>
      </c>
    </row>
    <row r="47" spans="1:7" ht="14.25" thickTop="1" thickBot="1">
      <c r="A47" s="49"/>
      <c r="C47" s="50"/>
    </row>
    <row r="48" spans="1:7" ht="13.5" thickTop="1">
      <c r="A48" s="38" t="s">
        <v>15</v>
      </c>
      <c r="B48" s="36" t="s">
        <v>14</v>
      </c>
      <c r="C48" s="36" t="s">
        <v>13</v>
      </c>
      <c r="D48" s="37" t="s">
        <v>12</v>
      </c>
      <c r="E48" s="36" t="s">
        <v>11</v>
      </c>
      <c r="F48" s="36" t="s">
        <v>10</v>
      </c>
      <c r="G48" s="35" t="s">
        <v>9</v>
      </c>
    </row>
    <row r="49" spans="1:7">
      <c r="A49" s="34"/>
      <c r="B49" s="47"/>
      <c r="C49" s="33"/>
      <c r="D49" s="32"/>
      <c r="E49" s="32"/>
      <c r="F49" s="32"/>
      <c r="G49" s="31"/>
    </row>
    <row r="50" spans="1:7">
      <c r="A50" s="34"/>
      <c r="B50" s="47"/>
      <c r="C50" s="33"/>
      <c r="D50" s="32"/>
      <c r="E50" s="32"/>
      <c r="F50" s="32"/>
      <c r="G50" s="31"/>
    </row>
    <row r="51" spans="1:7" ht="13.5" thickBot="1">
      <c r="A51" s="30">
        <f>B11</f>
        <v>45539</v>
      </c>
      <c r="B51" s="55">
        <v>100</v>
      </c>
      <c r="C51" s="29">
        <f>A51-$D$5</f>
        <v>341</v>
      </c>
      <c r="D51" s="28">
        <f>C51/365</f>
        <v>0.9342465753424658</v>
      </c>
      <c r="E51" s="28">
        <f>($B$30/100)+((($C$30+$D$30)/100)*(1-EXP(-D51/$E$30))/(D51/$E$30))-(($D$30/100)*(EXP(-D51/$E$30)))</f>
        <v>9.3272002531978759E-2</v>
      </c>
      <c r="F51" s="28">
        <f>EXP(-E51*D51)</f>
        <v>0.91654964151530227</v>
      </c>
      <c r="G51" s="27">
        <f>B51*F51</f>
        <v>91.654964151530223</v>
      </c>
    </row>
    <row r="52" spans="1:7" ht="14.25" thickTop="1" thickBot="1">
      <c r="A52" s="49"/>
      <c r="C52" s="50"/>
      <c r="F52" s="52" t="s">
        <v>8</v>
      </c>
      <c r="G52" s="51">
        <f>SUM(G49:G51)</f>
        <v>91.654964151530223</v>
      </c>
    </row>
    <row r="53" spans="1:7" ht="14.25" thickTop="1" thickBot="1">
      <c r="A53" s="49"/>
      <c r="C53" s="50"/>
    </row>
    <row r="54" spans="1:7" ht="13.5" thickTop="1">
      <c r="A54" s="38" t="s">
        <v>15</v>
      </c>
      <c r="B54" s="36" t="s">
        <v>14</v>
      </c>
      <c r="C54" s="36" t="s">
        <v>16</v>
      </c>
      <c r="D54" s="37" t="s">
        <v>12</v>
      </c>
      <c r="E54" s="36" t="s">
        <v>11</v>
      </c>
      <c r="F54" s="36" t="s">
        <v>10</v>
      </c>
      <c r="G54" s="35" t="s">
        <v>9</v>
      </c>
    </row>
    <row r="55" spans="1:7">
      <c r="A55" s="34"/>
      <c r="B55" s="47"/>
      <c r="C55" s="33"/>
      <c r="D55" s="32"/>
      <c r="E55" s="32"/>
      <c r="F55" s="32"/>
      <c r="G55" s="31"/>
    </row>
    <row r="56" spans="1:7">
      <c r="A56" s="34"/>
      <c r="B56" s="47"/>
      <c r="C56" s="33"/>
      <c r="D56" s="32"/>
      <c r="E56" s="32"/>
      <c r="F56" s="32"/>
      <c r="G56" s="31"/>
    </row>
    <row r="57" spans="1:7">
      <c r="A57" s="34"/>
      <c r="B57" s="47"/>
      <c r="C57" s="33"/>
      <c r="D57" s="32"/>
      <c r="E57" s="32"/>
      <c r="F57" s="32"/>
      <c r="G57" s="31"/>
    </row>
    <row r="58" spans="1:7" ht="13.5" thickBot="1">
      <c r="A58" s="30">
        <f>B12</f>
        <v>45497</v>
      </c>
      <c r="B58" s="55">
        <f>C12+100</f>
        <v>110</v>
      </c>
      <c r="C58" s="29">
        <f>A58-$D$5-1</f>
        <v>298</v>
      </c>
      <c r="D58" s="28">
        <f>C58/365</f>
        <v>0.81643835616438354</v>
      </c>
      <c r="E58" s="28">
        <f>($B$30/100)+((($C$30+$D$30)/100)*(1-EXP(-D58/$E$30))/(D58/$E$30))-(($D$30/100)*(EXP(-D58/$E$30)))</f>
        <v>9.2466121947185426E-2</v>
      </c>
      <c r="F58" s="28">
        <f>EXP(-E58*D58)</f>
        <v>0.92728632481131756</v>
      </c>
      <c r="G58" s="27">
        <f>B58*F58</f>
        <v>102.00149572924494</v>
      </c>
    </row>
    <row r="59" spans="1:7" ht="14.25" thickTop="1" thickBot="1">
      <c r="A59" s="49"/>
      <c r="C59" s="50"/>
      <c r="F59" s="52" t="s">
        <v>8</v>
      </c>
      <c r="G59" s="51">
        <f>SUM(G55:G58)</f>
        <v>102.00149572924494</v>
      </c>
    </row>
    <row r="60" spans="1:7" ht="14.25" thickTop="1" thickBot="1">
      <c r="A60" s="49"/>
      <c r="C60" s="50"/>
    </row>
    <row r="61" spans="1:7" ht="13.5" thickTop="1">
      <c r="A61" s="38" t="s">
        <v>15</v>
      </c>
      <c r="B61" s="36" t="s">
        <v>14</v>
      </c>
      <c r="C61" s="36" t="s">
        <v>16</v>
      </c>
      <c r="D61" s="37" t="s">
        <v>12</v>
      </c>
      <c r="E61" s="36" t="s">
        <v>11</v>
      </c>
      <c r="F61" s="36" t="s">
        <v>10</v>
      </c>
      <c r="G61" s="35" t="s">
        <v>9</v>
      </c>
    </row>
    <row r="62" spans="1:7">
      <c r="A62" s="34"/>
      <c r="B62" s="47"/>
      <c r="C62" s="33"/>
      <c r="D62" s="32"/>
      <c r="E62" s="32"/>
      <c r="F62" s="32"/>
      <c r="G62" s="31"/>
    </row>
    <row r="63" spans="1:7">
      <c r="A63" s="34"/>
      <c r="B63" s="47"/>
      <c r="C63" s="33"/>
      <c r="D63" s="32"/>
      <c r="E63" s="32"/>
      <c r="F63" s="32"/>
      <c r="G63" s="31"/>
    </row>
    <row r="64" spans="1:7">
      <c r="A64" s="34">
        <f>A65-366</f>
        <v>45256</v>
      </c>
      <c r="B64" s="33">
        <f>C13</f>
        <v>6.25</v>
      </c>
      <c r="C64" s="33">
        <f>A64-$D$5</f>
        <v>58</v>
      </c>
      <c r="D64" s="32">
        <f>C64/365</f>
        <v>0.15890410958904111</v>
      </c>
      <c r="E64" s="32">
        <f>($B$30/100)+((($C$30+$D$30)/100)*(1-EXP(-D64/$E$30))/(D64/$E$30))-(($D$30/100)*(EXP(-D64/$E$30)))</f>
        <v>8.7404595322175579E-2</v>
      </c>
      <c r="F64" s="32">
        <f>EXP(-E64*D64)</f>
        <v>0.98620705707368139</v>
      </c>
      <c r="G64" s="31">
        <f>B64*F64</f>
        <v>6.1637941067105091</v>
      </c>
    </row>
    <row r="65" spans="1:7">
      <c r="A65" s="34">
        <f>A66-365</f>
        <v>45622</v>
      </c>
      <c r="B65" s="33">
        <f>C13</f>
        <v>6.25</v>
      </c>
      <c r="C65" s="33">
        <f>A65-$D$5</f>
        <v>424</v>
      </c>
      <c r="D65" s="32">
        <f>C65/365</f>
        <v>1.1616438356164382</v>
      </c>
      <c r="E65" s="32">
        <f>($B$30/100)+((($C$30+$D$30)/100)*(1-EXP(-D65/$E$30))/(D65/$E$30))-(($D$30/100)*(EXP(-D65/$E$30)))</f>
        <v>9.4748691791518153E-2</v>
      </c>
      <c r="F65" s="32">
        <f>EXP(-E65*D65)</f>
        <v>0.89577659435659995</v>
      </c>
      <c r="G65" s="31">
        <f>B65*F65</f>
        <v>5.5986037147287497</v>
      </c>
    </row>
    <row r="66" spans="1:7" ht="13.5" thickBot="1">
      <c r="A66" s="30">
        <f>B13</f>
        <v>45987</v>
      </c>
      <c r="B66" s="29">
        <f>C13+100</f>
        <v>106.25</v>
      </c>
      <c r="C66" s="29">
        <f>A66-$D$5</f>
        <v>789</v>
      </c>
      <c r="D66" s="28">
        <f>C66/365</f>
        <v>2.1616438356164385</v>
      </c>
      <c r="E66" s="28">
        <f>($B$30/100)+((($C$30+$D$30)/100)*(1-EXP(-D66/$E$30))/(D66/$E$30))-(($D$30/100)*(EXP(-D66/$E$30)))</f>
        <v>0.10015460218252464</v>
      </c>
      <c r="F66" s="28">
        <f>EXP(-E66*D66)</f>
        <v>0.80533367977095227</v>
      </c>
      <c r="G66" s="27">
        <f>B66*F66</f>
        <v>85.566703475663672</v>
      </c>
    </row>
    <row r="67" spans="1:7" ht="14.25" thickTop="1" thickBot="1">
      <c r="A67" s="49"/>
      <c r="C67" s="50"/>
      <c r="F67" s="52" t="s">
        <v>8</v>
      </c>
      <c r="G67" s="51">
        <f>SUM(G62:G66)</f>
        <v>97.329101297102937</v>
      </c>
    </row>
    <row r="68" spans="1:7" ht="14.25" thickTop="1" thickBot="1">
      <c r="A68" s="49"/>
      <c r="C68" s="50"/>
    </row>
    <row r="69" spans="1:7" ht="13.5" thickTop="1">
      <c r="A69" s="38" t="s">
        <v>15</v>
      </c>
      <c r="B69" s="36" t="s">
        <v>14</v>
      </c>
      <c r="C69" s="36" t="s">
        <v>16</v>
      </c>
      <c r="D69" s="37" t="s">
        <v>12</v>
      </c>
      <c r="E69" s="36" t="s">
        <v>11</v>
      </c>
      <c r="F69" s="36" t="s">
        <v>10</v>
      </c>
      <c r="G69" s="35" t="s">
        <v>9</v>
      </c>
    </row>
    <row r="70" spans="1:7">
      <c r="A70" s="34"/>
      <c r="B70" s="47"/>
      <c r="C70" s="33"/>
      <c r="D70" s="32"/>
      <c r="E70" s="32"/>
      <c r="F70" s="32"/>
      <c r="G70" s="31"/>
    </row>
    <row r="71" spans="1:7">
      <c r="A71" s="34"/>
      <c r="B71" s="54"/>
      <c r="C71" s="33"/>
      <c r="D71" s="32"/>
      <c r="E71" s="32"/>
      <c r="F71" s="32"/>
      <c r="G71" s="31"/>
    </row>
    <row r="72" spans="1:7">
      <c r="A72" s="34">
        <f>A73-365</f>
        <v>45530</v>
      </c>
      <c r="B72" s="54">
        <f>C14</f>
        <v>7.5</v>
      </c>
      <c r="C72" s="33">
        <f>A72-$D$5-1</f>
        <v>331</v>
      </c>
      <c r="D72" s="32">
        <f>C72/365</f>
        <v>0.9068493150684932</v>
      </c>
      <c r="E72" s="32">
        <f>($B$30/100)+((($C$30+$D$30)/100)*(1-EXP(-D72/$E$30))/(D72/$E$30))-(($D$30/100)*(EXP(-D72/$E$30)))</f>
        <v>9.3087136777363577E-2</v>
      </c>
      <c r="F72" s="32">
        <f>EXP(-E72*D72)</f>
        <v>0.91904884651404994</v>
      </c>
      <c r="G72" s="31">
        <f>B72*F72</f>
        <v>6.8928663488553745</v>
      </c>
    </row>
    <row r="73" spans="1:7">
      <c r="A73" s="34">
        <f>A74-365</f>
        <v>45895</v>
      </c>
      <c r="B73" s="54">
        <f>C14</f>
        <v>7.5</v>
      </c>
      <c r="C73" s="33">
        <f>A73-$D$5-1</f>
        <v>696</v>
      </c>
      <c r="D73" s="32">
        <f>C73/365</f>
        <v>1.9068493150684931</v>
      </c>
      <c r="E73" s="32">
        <f>($B$30/100)+((($C$30+$D$30)/100)*(1-EXP(-D73/$E$30))/(D73/$E$30))-(($D$30/100)*(EXP(-D73/$E$30)))</f>
        <v>9.8930491379867896E-2</v>
      </c>
      <c r="F73" s="32">
        <f>EXP(-E73*D73)</f>
        <v>0.82807997613436357</v>
      </c>
      <c r="G73" s="31">
        <f>B73*F73</f>
        <v>6.2105998210077269</v>
      </c>
    </row>
    <row r="74" spans="1:7" ht="13.5" thickBot="1">
      <c r="A74" s="30">
        <f>B14</f>
        <v>46260</v>
      </c>
      <c r="B74" s="53">
        <f>C14+100</f>
        <v>107.5</v>
      </c>
      <c r="C74" s="29">
        <f>A74-$D$5-1</f>
        <v>1061</v>
      </c>
      <c r="D74" s="28">
        <f>C74/365</f>
        <v>2.9068493150684933</v>
      </c>
      <c r="E74" s="28">
        <f>($B$30/100)+((($C$30+$D$30)/100)*(1-EXP(-D74/$E$30))/(D74/$E$30))-(($D$30/100)*(EXP(-D74/$E$30)))</f>
        <v>0.10322547100339879</v>
      </c>
      <c r="F74" s="28">
        <f>EXP(-E74*D74)</f>
        <v>0.74077311386775224</v>
      </c>
      <c r="G74" s="27">
        <f>B74*F74</f>
        <v>79.633109740783368</v>
      </c>
    </row>
    <row r="75" spans="1:7" ht="14.25" thickTop="1" thickBot="1">
      <c r="A75" s="49"/>
      <c r="C75" s="50"/>
      <c r="F75" s="52" t="s">
        <v>8</v>
      </c>
      <c r="G75" s="51">
        <f>SUM(G70:G74)</f>
        <v>92.736575910646465</v>
      </c>
    </row>
    <row r="76" spans="1:7" ht="14.25" thickTop="1" thickBot="1">
      <c r="A76" s="49"/>
      <c r="C76" s="50"/>
    </row>
    <row r="77" spans="1:7" ht="13.5" thickTop="1">
      <c r="A77" s="38" t="s">
        <v>15</v>
      </c>
      <c r="B77" s="36" t="s">
        <v>14</v>
      </c>
      <c r="C77" s="36" t="s">
        <v>16</v>
      </c>
      <c r="D77" s="37" t="s">
        <v>12</v>
      </c>
      <c r="E77" s="36" t="s">
        <v>11</v>
      </c>
      <c r="F77" s="36" t="s">
        <v>10</v>
      </c>
      <c r="G77" s="35" t="s">
        <v>9</v>
      </c>
    </row>
    <row r="78" spans="1:7">
      <c r="A78" s="34"/>
      <c r="B78" s="47"/>
      <c r="C78" s="33"/>
      <c r="D78" s="32"/>
      <c r="E78" s="32"/>
      <c r="F78" s="32"/>
      <c r="G78" s="31"/>
    </row>
    <row r="79" spans="1:7">
      <c r="A79" s="34"/>
      <c r="B79" s="33"/>
      <c r="C79" s="33"/>
      <c r="D79" s="32"/>
      <c r="E79" s="32"/>
      <c r="F79" s="32"/>
      <c r="G79" s="31"/>
    </row>
    <row r="80" spans="1:7">
      <c r="A80" s="34"/>
      <c r="B80" s="33"/>
      <c r="C80" s="33"/>
      <c r="D80" s="32"/>
      <c r="E80" s="32"/>
      <c r="F80" s="32"/>
      <c r="G80" s="31"/>
    </row>
    <row r="81" spans="1:7">
      <c r="A81" s="34">
        <f>A82-365</f>
        <v>45599</v>
      </c>
      <c r="B81" s="33">
        <f>C15</f>
        <v>5.75</v>
      </c>
      <c r="C81" s="33">
        <f>A81-$D$5-1</f>
        <v>400</v>
      </c>
      <c r="D81" s="32">
        <f>C81/365</f>
        <v>1.095890410958904</v>
      </c>
      <c r="E81" s="32">
        <f>($B$30/100)+((($C$30+$D$30)/100)*(1-EXP(-D81/$E$30))/(D81/$E$30))-(($D$30/100)*(EXP(-D81/$E$30)))</f>
        <v>9.4332093043305809E-2</v>
      </c>
      <c r="F81" s="32">
        <f>EXP(-E81*D81)</f>
        <v>0.90178636198631568</v>
      </c>
      <c r="G81" s="31">
        <f>B81*F81</f>
        <v>5.1852715814213148</v>
      </c>
    </row>
    <row r="82" spans="1:7">
      <c r="A82" s="34">
        <f>A83-365</f>
        <v>45964</v>
      </c>
      <c r="B82" s="33">
        <f>B81</f>
        <v>5.75</v>
      </c>
      <c r="C82" s="33">
        <f>A82-$D$5-1</f>
        <v>765</v>
      </c>
      <c r="D82" s="32">
        <f>C82/365</f>
        <v>2.095890410958904</v>
      </c>
      <c r="E82" s="32">
        <f>($B$30/100)+((($C$30+$D$30)/100)*(1-EXP(-D82/$E$30))/(D82/$E$30))-(($D$30/100)*(EXP(-D82/$E$30)))</f>
        <v>9.984786707421997E-2</v>
      </c>
      <c r="F82" s="32">
        <f>EXP(-E82*D82)</f>
        <v>0.81117603668636529</v>
      </c>
      <c r="G82" s="31">
        <f>B82*F82</f>
        <v>4.6642622109466005</v>
      </c>
    </row>
    <row r="83" spans="1:7">
      <c r="A83" s="34">
        <f>A84-365</f>
        <v>46329</v>
      </c>
      <c r="B83" s="33">
        <f>B82</f>
        <v>5.75</v>
      </c>
      <c r="C83" s="33">
        <f>A83-$D$5-1</f>
        <v>1130</v>
      </c>
      <c r="D83" s="32">
        <f>C83/365</f>
        <v>3.095890410958904</v>
      </c>
      <c r="E83" s="32">
        <f>($B$30/100)+((($C$30+$D$30)/100)*(1-EXP(-D83/$E$30))/(D83/$E$30))-(($D$30/100)*(EXP(-D83/$E$30)))</f>
        <v>0.10389677403884214</v>
      </c>
      <c r="F83" s="32">
        <f>EXP(-E83*D83)</f>
        <v>0.72494968504301727</v>
      </c>
      <c r="G83" s="31">
        <f>B83*F83</f>
        <v>4.1684606889973495</v>
      </c>
    </row>
    <row r="84" spans="1:7" ht="13.5" thickBot="1">
      <c r="A84" s="30">
        <f>B15</f>
        <v>46694</v>
      </c>
      <c r="B84" s="29">
        <f>B83+100</f>
        <v>105.75</v>
      </c>
      <c r="C84" s="29">
        <f>A84-$D$5-2</f>
        <v>1494</v>
      </c>
      <c r="D84" s="28">
        <f>C84/365</f>
        <v>4.0931506849315067</v>
      </c>
      <c r="E84" s="28">
        <f>($B$30/100)+((($C$30+$D$30)/100)*(1-EXP(-D84/$E$30))/(D84/$E$30))-(($D$30/100)*(EXP(-D84/$E$30)))</f>
        <v>0.10683833014585717</v>
      </c>
      <c r="F84" s="28">
        <f>EXP(-E84*D84)</f>
        <v>0.64577419205155573</v>
      </c>
      <c r="G84" s="27">
        <f>B84*F84</f>
        <v>68.290620809452022</v>
      </c>
    </row>
    <row r="85" spans="1:7" ht="14.25" thickTop="1" thickBot="1">
      <c r="A85" s="49"/>
      <c r="C85" s="50"/>
      <c r="F85" s="52" t="s">
        <v>8</v>
      </c>
      <c r="G85" s="51">
        <f>SUM(G78:G84)</f>
        <v>82.308615290817286</v>
      </c>
    </row>
    <row r="86" spans="1:7" ht="14.25" thickTop="1" thickBot="1">
      <c r="A86" s="49"/>
      <c r="C86" s="50"/>
    </row>
    <row r="87" spans="1:7" ht="13.5" thickTop="1">
      <c r="A87" s="38" t="s">
        <v>15</v>
      </c>
      <c r="B87" s="36" t="s">
        <v>14</v>
      </c>
      <c r="C87" s="36" t="s">
        <v>13</v>
      </c>
      <c r="D87" s="37" t="s">
        <v>12</v>
      </c>
      <c r="E87" s="36" t="s">
        <v>11</v>
      </c>
      <c r="F87" s="36" t="s">
        <v>10</v>
      </c>
      <c r="G87" s="35" t="s">
        <v>9</v>
      </c>
    </row>
    <row r="88" spans="1:7">
      <c r="A88" s="34"/>
      <c r="B88" s="47"/>
      <c r="C88" s="33"/>
      <c r="D88" s="32"/>
      <c r="E88" s="32"/>
      <c r="F88" s="32"/>
      <c r="G88" s="31"/>
    </row>
    <row r="89" spans="1:7">
      <c r="A89" s="34"/>
      <c r="B89" s="33"/>
      <c r="C89" s="33"/>
      <c r="D89" s="32"/>
      <c r="E89" s="32"/>
      <c r="F89" s="32"/>
      <c r="G89" s="31"/>
    </row>
    <row r="90" spans="1:7">
      <c r="A90" s="34"/>
      <c r="B90" s="33"/>
      <c r="C90" s="33"/>
      <c r="D90" s="32"/>
      <c r="E90" s="32"/>
      <c r="F90" s="32"/>
      <c r="G90" s="31"/>
    </row>
    <row r="91" spans="1:7">
      <c r="A91" s="34">
        <f>A92-365</f>
        <v>45410</v>
      </c>
      <c r="B91" s="33">
        <f>C16</f>
        <v>6</v>
      </c>
      <c r="C91" s="33">
        <f>A91-$D$5-1</f>
        <v>211</v>
      </c>
      <c r="D91" s="32">
        <f>C91/365</f>
        <v>0.57808219178082187</v>
      </c>
      <c r="E91" s="32">
        <f>($B$30/100)+((($C$30+$D$30)/100)*(1-EXP(-D91/$E$30))/(D91/$E$30))-(($D$30/100)*(EXP(-D91/$E$30)))</f>
        <v>9.0745503305471376E-2</v>
      </c>
      <c r="F91" s="32">
        <f>EXP(-E91*D91)</f>
        <v>0.94889383269890526</v>
      </c>
      <c r="G91" s="31">
        <f>B91*F91</f>
        <v>5.6933629961934313</v>
      </c>
    </row>
    <row r="92" spans="1:7">
      <c r="A92" s="34">
        <f>A93-365</f>
        <v>45775</v>
      </c>
      <c r="B92" s="33">
        <f>C16</f>
        <v>6</v>
      </c>
      <c r="C92" s="33">
        <f>A92-$D$5-1</f>
        <v>576</v>
      </c>
      <c r="D92" s="32">
        <f>C92/365</f>
        <v>1.5780821917808219</v>
      </c>
      <c r="E92" s="32">
        <f>($B$30/100)+((($C$30+$D$30)/100)*(1-EXP(-D92/$E$30))/(D92/$E$30))-(($D$30/100)*(EXP(-D92/$E$30)))</f>
        <v>9.7202315488476354E-2</v>
      </c>
      <c r="F92" s="32">
        <f>EXP(-E92*D92)</f>
        <v>0.85779233458516302</v>
      </c>
      <c r="G92" s="31">
        <f>B92*F92</f>
        <v>5.1467540075109781</v>
      </c>
    </row>
    <row r="93" spans="1:7">
      <c r="A93" s="34">
        <f>A94-365</f>
        <v>46140</v>
      </c>
      <c r="B93" s="33">
        <f>C16</f>
        <v>6</v>
      </c>
      <c r="C93" s="33">
        <f>A93-$D$5-1</f>
        <v>941</v>
      </c>
      <c r="D93" s="32">
        <f>C93/365</f>
        <v>2.5780821917808221</v>
      </c>
      <c r="E93" s="32">
        <f>($B$30/100)+((($C$30+$D$30)/100)*(1-EXP(-D93/$E$30))/(D93/$E$30))-(($D$30/100)*(EXP(-D93/$E$30)))</f>
        <v>0.10195835478550191</v>
      </c>
      <c r="F93" s="32">
        <f>EXP(-E93*D93)</f>
        <v>0.76885182082706427</v>
      </c>
      <c r="G93" s="31">
        <f>B93*F93</f>
        <v>4.6131109249623856</v>
      </c>
    </row>
    <row r="94" spans="1:7">
      <c r="A94" s="34">
        <f>A95-366</f>
        <v>46505</v>
      </c>
      <c r="B94" s="33">
        <f>C16</f>
        <v>6</v>
      </c>
      <c r="C94" s="33">
        <f>A94-$D$5-1</f>
        <v>1306</v>
      </c>
      <c r="D94" s="32">
        <f>C94/365</f>
        <v>3.5780821917808221</v>
      </c>
      <c r="E94" s="32">
        <f>($B$30/100)+((($C$30+$D$30)/100)*(1-EXP(-D94/$E$30))/(D94/$E$30))-(($D$30/100)*(EXP(-D94/$E$30)))</f>
        <v>0.10543696382037253</v>
      </c>
      <c r="F94" s="32">
        <f>EXP(-E94*D94)</f>
        <v>0.68573630335257529</v>
      </c>
      <c r="G94" s="31">
        <f>B94*F94</f>
        <v>4.1144178201154515</v>
      </c>
    </row>
    <row r="95" spans="1:7" ht="13.5" thickBot="1">
      <c r="A95" s="30">
        <f>B16</f>
        <v>46871</v>
      </c>
      <c r="B95" s="29">
        <f>C16+100</f>
        <v>106</v>
      </c>
      <c r="C95" s="29">
        <f>A95-$D$5-2</f>
        <v>1671</v>
      </c>
      <c r="D95" s="28">
        <f>C95/365</f>
        <v>4.5780821917808217</v>
      </c>
      <c r="E95" s="28">
        <f>($B$30/100)+((($C$30+$D$30)/100)*(1-EXP(-D95/$E$30))/(D95/$E$30))-(($D$30/100)*(EXP(-D95/$E$30)))</f>
        <v>0.10795828319823274</v>
      </c>
      <c r="F95" s="28">
        <f>EXP(-E95*D95)</f>
        <v>0.61003320201388156</v>
      </c>
      <c r="G95" s="27">
        <f>B95*F95</f>
        <v>64.663519413471448</v>
      </c>
    </row>
    <row r="96" spans="1:7" ht="14.25" thickTop="1" thickBot="1">
      <c r="A96" s="49"/>
      <c r="C96" s="50"/>
      <c r="F96" s="26" t="s">
        <v>8</v>
      </c>
      <c r="G96" s="25">
        <f>SUM(G88:G95)</f>
        <v>84.231165162253689</v>
      </c>
    </row>
    <row r="97" spans="1:7" ht="14.25" thickTop="1" thickBot="1">
      <c r="A97" s="49"/>
      <c r="C97" s="48"/>
    </row>
    <row r="98" spans="1:7" ht="13.5" thickTop="1">
      <c r="A98" s="38" t="s">
        <v>15</v>
      </c>
      <c r="B98" s="36" t="s">
        <v>14</v>
      </c>
      <c r="C98" s="36" t="s">
        <v>13</v>
      </c>
      <c r="D98" s="37" t="s">
        <v>12</v>
      </c>
      <c r="E98" s="36" t="s">
        <v>11</v>
      </c>
      <c r="F98" s="36" t="s">
        <v>10</v>
      </c>
      <c r="G98" s="35" t="s">
        <v>9</v>
      </c>
    </row>
    <row r="99" spans="1:7">
      <c r="A99" s="34"/>
      <c r="B99" s="47"/>
      <c r="C99" s="33"/>
      <c r="D99" s="32"/>
      <c r="E99" s="32"/>
      <c r="F99" s="32"/>
      <c r="G99" s="31"/>
    </row>
    <row r="100" spans="1:7">
      <c r="A100" s="43"/>
      <c r="B100" s="45"/>
      <c r="C100" s="33"/>
      <c r="D100" s="32"/>
      <c r="E100" s="32"/>
      <c r="F100" s="32"/>
      <c r="G100" s="31"/>
    </row>
    <row r="101" spans="1:7">
      <c r="A101" s="46"/>
      <c r="B101" s="45"/>
      <c r="C101" s="44"/>
      <c r="D101" s="32"/>
      <c r="E101" s="32"/>
      <c r="F101" s="32"/>
      <c r="G101" s="31"/>
    </row>
    <row r="102" spans="1:7">
      <c r="A102" s="43">
        <v>45553</v>
      </c>
      <c r="B102" s="33">
        <f>C17</f>
        <v>7.75</v>
      </c>
      <c r="C102" s="33">
        <f>A102-$D$5</f>
        <v>355</v>
      </c>
      <c r="D102" s="32">
        <f>C102/365</f>
        <v>0.9726027397260274</v>
      </c>
      <c r="E102" s="32">
        <f>($B$30/100)+((($C$30+$D$30)/100)*(1-EXP(-D102/$E$30))/(D102/$E$30))-(($D$30/100)*(EXP(-D102/$E$30)))</f>
        <v>9.3528258052278795E-2</v>
      </c>
      <c r="F102" s="32">
        <f>EXP(-E102*D102)</f>
        <v>0.91304890009556861</v>
      </c>
      <c r="G102" s="31">
        <f>B102*F102</f>
        <v>7.0761289757406569</v>
      </c>
    </row>
    <row r="103" spans="1:7">
      <c r="A103" s="43">
        <v>45918</v>
      </c>
      <c r="B103" s="33">
        <f>C17</f>
        <v>7.75</v>
      </c>
      <c r="C103" s="33">
        <f>A103-$D$5</f>
        <v>720</v>
      </c>
      <c r="D103" s="32">
        <f>C103/365</f>
        <v>1.9726027397260273</v>
      </c>
      <c r="E103" s="32">
        <f>($B$30/100)+((($C$30+$D$30)/100)*(1-EXP(-D103/$E$30))/(D103/$E$30))-(($D$30/100)*(EXP(-D103/$E$30)))</f>
        <v>9.9255663814702397E-2</v>
      </c>
      <c r="F103" s="32">
        <f>EXP(-E103*D103)</f>
        <v>0.82218323563143347</v>
      </c>
      <c r="G103" s="31">
        <f>B103*F103</f>
        <v>6.371920076143609</v>
      </c>
    </row>
    <row r="104" spans="1:7">
      <c r="A104" s="42">
        <v>46283</v>
      </c>
      <c r="B104" s="33">
        <f>C17</f>
        <v>7.75</v>
      </c>
      <c r="C104" s="33">
        <f>A104-$D$5</f>
        <v>1085</v>
      </c>
      <c r="D104" s="32">
        <f>C104/365</f>
        <v>2.9726027397260273</v>
      </c>
      <c r="E104" s="32">
        <f>($B$30/100)+((($C$30+$D$30)/100)*(1-EXP(-D104/$E$30))/(D104/$E$30))-(($D$30/100)*(EXP(-D104/$E$30)))</f>
        <v>0.10346353385149469</v>
      </c>
      <c r="F104" s="32">
        <f>EXP(-E104*D104)</f>
        <v>0.73524170448525461</v>
      </c>
      <c r="G104" s="31">
        <f>B104*F104</f>
        <v>5.6981232097607233</v>
      </c>
    </row>
    <row r="105" spans="1:7">
      <c r="A105" s="42">
        <v>46648</v>
      </c>
      <c r="B105" s="33">
        <f>C17</f>
        <v>7.75</v>
      </c>
      <c r="C105" s="33">
        <f>A105-$D$5</f>
        <v>1450</v>
      </c>
      <c r="D105" s="32">
        <f>C105/365</f>
        <v>3.9726027397260273</v>
      </c>
      <c r="E105" s="32">
        <f>($B$30/100)+((($C$30+$D$30)/100)*(1-EXP(-D105/$E$30))/(D105/$E$30))-(($D$30/100)*(EXP(-D105/$E$30)))</f>
        <v>0.10653106627725459</v>
      </c>
      <c r="F105" s="32">
        <f>EXP(-E105*D105)</f>
        <v>0.65494395901762825</v>
      </c>
      <c r="G105" s="31">
        <f>B105*F105</f>
        <v>5.0758156823866187</v>
      </c>
    </row>
    <row r="106" spans="1:7">
      <c r="A106" s="42">
        <v>47014</v>
      </c>
      <c r="B106" s="33">
        <f>C17</f>
        <v>7.75</v>
      </c>
      <c r="C106" s="33">
        <f>A106-$D$5</f>
        <v>1816</v>
      </c>
      <c r="D106" s="32">
        <f>C106/365</f>
        <v>4.9753424657534246</v>
      </c>
      <c r="E106" s="32">
        <f>($B$30/100)+((($C$30+$D$30)/100)*(1-EXP(-D106/$E$30))/(D106/$E$30))-(($D$30/100)*(EXP(-D106/$E$30)))</f>
        <v>0.10875001130790889</v>
      </c>
      <c r="F106" s="32">
        <f>EXP(-E106*D106)</f>
        <v>0.58212588964380074</v>
      </c>
      <c r="G106" s="31">
        <f>B106*F106</f>
        <v>4.5114756447394555</v>
      </c>
    </row>
    <row r="107" spans="1:7">
      <c r="A107" s="42">
        <v>47379</v>
      </c>
      <c r="B107" s="33">
        <f>C17</f>
        <v>7.75</v>
      </c>
      <c r="C107" s="33">
        <f>A107-$D$5</f>
        <v>2181</v>
      </c>
      <c r="D107" s="32">
        <f>C107/365</f>
        <v>5.9753424657534246</v>
      </c>
      <c r="E107" s="32">
        <f>($B$30/100)+((($C$30+$D$30)/100)*(1-EXP(-D107/$E$30))/(D107/$E$30))-(($D$30/100)*(EXP(-D107/$E$30)))</f>
        <v>0.11032510497919713</v>
      </c>
      <c r="F107" s="32">
        <f>EXP(-E107*D107)</f>
        <v>0.51724931595573287</v>
      </c>
      <c r="G107" s="31">
        <f>B107*F107</f>
        <v>4.0086821986569294</v>
      </c>
    </row>
    <row r="108" spans="1:7" ht="13.5" thickBot="1">
      <c r="A108" s="41">
        <f>B17</f>
        <v>47744</v>
      </c>
      <c r="B108" s="29">
        <f>C17+100</f>
        <v>107.75</v>
      </c>
      <c r="C108" s="40">
        <f>A108-$D$5</f>
        <v>2546</v>
      </c>
      <c r="D108" s="28">
        <f>C108/365</f>
        <v>6.9753424657534246</v>
      </c>
      <c r="E108" s="28">
        <f>($B$30/100)+((($C$30+$D$30)/100)*(1-EXP(-D108/$E$30))/(D108/$E$30))-(($D$30/100)*(EXP(-D108/$E$30)))</f>
        <v>0.11142657150935437</v>
      </c>
      <c r="F108" s="28">
        <f>EXP(-E108*D108)</f>
        <v>0.4596736508005661</v>
      </c>
      <c r="G108" s="27">
        <f>B108*F108</f>
        <v>49.529835873760995</v>
      </c>
    </row>
    <row r="109" spans="1:7" ht="14.25" thickTop="1" thickBot="1">
      <c r="F109" s="26" t="s">
        <v>8</v>
      </c>
      <c r="G109" s="25">
        <f>SUM(G99:G108)</f>
        <v>82.271981661188988</v>
      </c>
    </row>
    <row r="110" spans="1:7" ht="14.25" thickTop="1" thickBot="1"/>
    <row r="111" spans="1:7" ht="13.5" thickTop="1">
      <c r="A111" s="38" t="s">
        <v>15</v>
      </c>
      <c r="B111" s="36" t="s">
        <v>14</v>
      </c>
      <c r="C111" s="36" t="s">
        <v>13</v>
      </c>
      <c r="D111" s="37" t="s">
        <v>12</v>
      </c>
      <c r="E111" s="36" t="s">
        <v>11</v>
      </c>
      <c r="F111" s="36" t="s">
        <v>10</v>
      </c>
      <c r="G111" s="35" t="s">
        <v>9</v>
      </c>
    </row>
    <row r="112" spans="1:7">
      <c r="A112" s="34"/>
      <c r="B112" s="39"/>
      <c r="C112" s="33"/>
      <c r="D112" s="32"/>
      <c r="E112" s="32"/>
      <c r="F112" s="32"/>
      <c r="G112" s="31"/>
    </row>
    <row r="113" spans="1:7">
      <c r="A113" s="34"/>
      <c r="B113" s="33"/>
      <c r="C113" s="33"/>
      <c r="D113" s="32"/>
      <c r="E113" s="32"/>
      <c r="F113" s="32"/>
      <c r="G113" s="31"/>
    </row>
    <row r="114" spans="1:7">
      <c r="A114" s="34"/>
      <c r="B114" s="33"/>
      <c r="C114" s="33"/>
      <c r="D114" s="32"/>
      <c r="E114" s="32"/>
      <c r="F114" s="32"/>
      <c r="G114" s="31"/>
    </row>
    <row r="115" spans="1:7">
      <c r="A115" s="34">
        <f>A116-365</f>
        <v>45377</v>
      </c>
      <c r="B115" s="33">
        <f>C18</f>
        <v>7</v>
      </c>
      <c r="C115" s="33">
        <f>A115-$D$5</f>
        <v>179</v>
      </c>
      <c r="D115" s="32">
        <f>C115/365</f>
        <v>0.49041095890410957</v>
      </c>
      <c r="E115" s="32">
        <f>($B$30/100)+((($C$30+$D$30)/100)*(1-EXP(-D115/$E$30))/(D115/$E$30))-(($D$30/100)*(EXP(-D115/$E$30)))</f>
        <v>9.00809908806397E-2</v>
      </c>
      <c r="F115" s="32">
        <f>EXP(-E115*D115)</f>
        <v>0.9567848737516319</v>
      </c>
      <c r="G115" s="31">
        <f>B115*F115</f>
        <v>6.6974941162614234</v>
      </c>
    </row>
    <row r="116" spans="1:7">
      <c r="A116" s="34">
        <f>A117-365</f>
        <v>45742</v>
      </c>
      <c r="B116" s="33">
        <f>B115</f>
        <v>7</v>
      </c>
      <c r="C116" s="33">
        <f>A116-$D$5</f>
        <v>544</v>
      </c>
      <c r="D116" s="32">
        <f>C116/365</f>
        <v>1.4904109589041097</v>
      </c>
      <c r="E116" s="32">
        <f>($B$30/100)+((($C$30+$D$30)/100)*(1-EXP(-D116/$E$30))/(D116/$E$30))-(($D$30/100)*(EXP(-D116/$E$30)))</f>
        <v>9.6711315710838658E-2</v>
      </c>
      <c r="F116" s="32">
        <f>EXP(-E116*D116)</f>
        <v>0.8657668744233622</v>
      </c>
      <c r="G116" s="31">
        <f>B116*F116</f>
        <v>6.0603681209635356</v>
      </c>
    </row>
    <row r="117" spans="1:7">
      <c r="A117" s="34">
        <f>A118-365</f>
        <v>46107</v>
      </c>
      <c r="B117" s="33">
        <f>B116</f>
        <v>7</v>
      </c>
      <c r="C117" s="33">
        <f>A117-$D$5</f>
        <v>909</v>
      </c>
      <c r="D117" s="32">
        <f>C117/365</f>
        <v>2.4904109589041097</v>
      </c>
      <c r="E117" s="32">
        <f>($B$30/100)+((($C$30+$D$30)/100)*(1-EXP(-D117/$E$30))/(D117/$E$30))-(($D$30/100)*(EXP(-D117/$E$30)))</f>
        <v>0.10159781499996844</v>
      </c>
      <c r="F117" s="32">
        <f>EXP(-E117*D117)</f>
        <v>0.77645211046408569</v>
      </c>
      <c r="G117" s="31">
        <f>B117*F117</f>
        <v>5.4351647732485997</v>
      </c>
    </row>
    <row r="118" spans="1:7">
      <c r="A118" s="34">
        <f>A119-366</f>
        <v>46472</v>
      </c>
      <c r="B118" s="33">
        <f>B117</f>
        <v>7</v>
      </c>
      <c r="C118" s="33">
        <f>A118-$D$5</f>
        <v>1274</v>
      </c>
      <c r="D118" s="32">
        <f>C118/365</f>
        <v>3.4904109589041097</v>
      </c>
      <c r="E118" s="32">
        <f>($B$30/100)+((($C$30+$D$30)/100)*(1-EXP(-D118/$E$30))/(D118/$E$30))-(($D$30/100)*(EXP(-D118/$E$30)))</f>
        <v>0.10517431076299791</v>
      </c>
      <c r="F118" s="32">
        <f>EXP(-E118*D118)</f>
        <v>0.69273928210201241</v>
      </c>
      <c r="G118" s="31">
        <f>B118*F118</f>
        <v>4.8491749747140869</v>
      </c>
    </row>
    <row r="119" spans="1:7">
      <c r="A119" s="34">
        <f>A120-365</f>
        <v>46838</v>
      </c>
      <c r="B119" s="33">
        <f>B118</f>
        <v>7</v>
      </c>
      <c r="C119" s="33">
        <f>A119-$D$5</f>
        <v>1640</v>
      </c>
      <c r="D119" s="32">
        <f>C119/365</f>
        <v>4.493150684931507</v>
      </c>
      <c r="E119" s="32">
        <f>($B$30/100)+((($C$30+$D$30)/100)*(1-EXP(-D119/$E$30))/(D119/$E$30))-(($D$30/100)*(EXP(-D119/$E$30)))</f>
        <v>0.10777489832335242</v>
      </c>
      <c r="F119" s="32">
        <f>EXP(-E119*D119)</f>
        <v>0.61615984638858545</v>
      </c>
      <c r="G119" s="31">
        <f>B119*F119</f>
        <v>4.3131189247200981</v>
      </c>
    </row>
    <row r="120" spans="1:7">
      <c r="A120" s="34">
        <f>A121-365</f>
        <v>47203</v>
      </c>
      <c r="B120" s="33">
        <f>B119</f>
        <v>7</v>
      </c>
      <c r="C120" s="33">
        <f>A120-$D$5</f>
        <v>2005</v>
      </c>
      <c r="D120" s="32">
        <f>C120/365</f>
        <v>5.493150684931507</v>
      </c>
      <c r="E120" s="32">
        <f>($B$30/100)+((($C$30+$D$30)/100)*(1-EXP(-D120/$E$30))/(D120/$E$30))-(($D$30/100)*(EXP(-D120/$E$30)))</f>
        <v>0.10963372102534924</v>
      </c>
      <c r="F120" s="32">
        <f>EXP(-E120*D120)</f>
        <v>0.54758665834076881</v>
      </c>
      <c r="G120" s="31">
        <f>B120*F120</f>
        <v>3.8331066083853815</v>
      </c>
    </row>
    <row r="121" spans="1:7">
      <c r="A121" s="34">
        <f>A122-365</f>
        <v>47568</v>
      </c>
      <c r="B121" s="33">
        <f>B120</f>
        <v>7</v>
      </c>
      <c r="C121" s="33">
        <f>A121-$D$5</f>
        <v>2370</v>
      </c>
      <c r="D121" s="32">
        <f>C121/365</f>
        <v>6.493150684931507</v>
      </c>
      <c r="E121" s="32">
        <f>($B$30/100)+((($C$30+$D$30)/100)*(1-EXP(-D121/$E$30))/(D121/$E$30))-(($D$30/100)*(EXP(-D121/$E$30)))</f>
        <v>0.11094600955680865</v>
      </c>
      <c r="F121" s="32">
        <f>EXP(-E121*D121)</f>
        <v>0.48656286930575349</v>
      </c>
      <c r="G121" s="31">
        <f>B121*F121</f>
        <v>3.4059400851402746</v>
      </c>
    </row>
    <row r="122" spans="1:7" ht="13.5" thickBot="1">
      <c r="A122" s="30">
        <f>B18</f>
        <v>47933</v>
      </c>
      <c r="B122" s="29">
        <f>B121+100</f>
        <v>107</v>
      </c>
      <c r="C122" s="29">
        <f>A122-$D$5</f>
        <v>2735</v>
      </c>
      <c r="D122" s="28">
        <f>C122/365</f>
        <v>7.493150684931507</v>
      </c>
      <c r="E122" s="28">
        <f>($B$30/100)+((($C$30+$D$30)/100)*(1-EXP(-D122/$E$30))/(D122/$E$30))-(($D$30/100)*(EXP(-D122/$E$30)))</f>
        <v>0.11185261834474558</v>
      </c>
      <c r="F122" s="28">
        <f>EXP(-E122*D122)</f>
        <v>0.43251921590401216</v>
      </c>
      <c r="G122" s="27">
        <f>B122*F122</f>
        <v>46.279556101729298</v>
      </c>
    </row>
    <row r="123" spans="1:7" ht="14.25" thickTop="1" thickBot="1">
      <c r="F123" s="26" t="s">
        <v>8</v>
      </c>
      <c r="G123" s="25">
        <f>SUM(G112:G122)</f>
        <v>80.873923705162696</v>
      </c>
    </row>
    <row r="124" spans="1:7" ht="14.25" thickTop="1" thickBot="1"/>
    <row r="125" spans="1:7" ht="13.5" thickTop="1">
      <c r="A125" s="38" t="s">
        <v>15</v>
      </c>
      <c r="B125" s="36" t="s">
        <v>14</v>
      </c>
      <c r="C125" s="36" t="s">
        <v>13</v>
      </c>
      <c r="D125" s="37" t="s">
        <v>12</v>
      </c>
      <c r="E125" s="36" t="s">
        <v>11</v>
      </c>
      <c r="F125" s="36" t="s">
        <v>10</v>
      </c>
      <c r="G125" s="35" t="s">
        <v>9</v>
      </c>
    </row>
    <row r="126" spans="1:7">
      <c r="A126" s="34"/>
      <c r="B126" s="33"/>
      <c r="C126" s="33"/>
      <c r="D126" s="32"/>
      <c r="E126" s="32"/>
      <c r="F126" s="32"/>
      <c r="G126" s="31"/>
    </row>
    <row r="127" spans="1:7">
      <c r="A127" s="34"/>
      <c r="B127" s="33"/>
      <c r="C127" s="33"/>
      <c r="D127" s="32"/>
      <c r="E127" s="32"/>
      <c r="F127" s="32"/>
      <c r="G127" s="31"/>
    </row>
    <row r="128" spans="1:7">
      <c r="A128" s="34"/>
      <c r="B128" s="33"/>
      <c r="C128" s="33"/>
      <c r="D128" s="32"/>
      <c r="E128" s="32"/>
      <c r="F128" s="32"/>
      <c r="G128" s="31"/>
    </row>
    <row r="129" spans="1:7">
      <c r="A129" s="34"/>
      <c r="B129" s="33"/>
      <c r="C129" s="33"/>
      <c r="D129" s="32"/>
      <c r="E129" s="32"/>
      <c r="F129" s="32"/>
      <c r="G129" s="31"/>
    </row>
    <row r="130" spans="1:7">
      <c r="A130" s="34"/>
      <c r="B130" s="33"/>
      <c r="C130" s="33"/>
      <c r="D130" s="32"/>
      <c r="E130" s="32"/>
      <c r="F130" s="32"/>
      <c r="G130" s="31"/>
    </row>
    <row r="131" spans="1:7">
      <c r="A131" s="34">
        <f>A132-365</f>
        <v>45377</v>
      </c>
      <c r="B131" s="33">
        <f>C19</f>
        <v>7</v>
      </c>
      <c r="C131" s="33">
        <f>A131-$D$5</f>
        <v>179</v>
      </c>
      <c r="D131" s="32">
        <f>C131/365</f>
        <v>0.49041095890410957</v>
      </c>
      <c r="E131" s="32">
        <f>($B$30/100)+((($C$30+$D$30)/100)*(1-EXP(-D131/$E$30))/(D131/$E$30))-(($D$30/100)*(EXP(-D131/$E$30)))</f>
        <v>9.00809908806397E-2</v>
      </c>
      <c r="F131" s="32">
        <f>EXP(-E131*D131)</f>
        <v>0.9567848737516319</v>
      </c>
      <c r="G131" s="31">
        <f>B131*F131</f>
        <v>6.6974941162614234</v>
      </c>
    </row>
    <row r="132" spans="1:7">
      <c r="A132" s="34">
        <f>A133-365</f>
        <v>45742</v>
      </c>
      <c r="B132" s="33">
        <f>B131</f>
        <v>7</v>
      </c>
      <c r="C132" s="33">
        <f>A132-$D$5</f>
        <v>544</v>
      </c>
      <c r="D132" s="32">
        <f>C132/365</f>
        <v>1.4904109589041097</v>
      </c>
      <c r="E132" s="32">
        <f>($B$30/100)+((($C$30+$D$30)/100)*(1-EXP(-D132/$E$30))/(D132/$E$30))-(($D$30/100)*(EXP(-D132/$E$30)))</f>
        <v>9.6711315710838658E-2</v>
      </c>
      <c r="F132" s="32">
        <f>EXP(-E132*D132)</f>
        <v>0.8657668744233622</v>
      </c>
      <c r="G132" s="31">
        <f>B132*F132</f>
        <v>6.0603681209635356</v>
      </c>
    </row>
    <row r="133" spans="1:7">
      <c r="A133" s="34">
        <f>A134-365</f>
        <v>46107</v>
      </c>
      <c r="B133" s="33">
        <f>B132</f>
        <v>7</v>
      </c>
      <c r="C133" s="33">
        <f>A133-$D$5</f>
        <v>909</v>
      </c>
      <c r="D133" s="32">
        <f>C133/365</f>
        <v>2.4904109589041097</v>
      </c>
      <c r="E133" s="32">
        <f>($B$30/100)+((($C$30+$D$30)/100)*(1-EXP(-D133/$E$30))/(D133/$E$30))-(($D$30/100)*(EXP(-D133/$E$30)))</f>
        <v>0.10159781499996844</v>
      </c>
      <c r="F133" s="32">
        <f>EXP(-E133*D133)</f>
        <v>0.77645211046408569</v>
      </c>
      <c r="G133" s="31">
        <f>B133*F133</f>
        <v>5.4351647732485997</v>
      </c>
    </row>
    <row r="134" spans="1:7">
      <c r="A134" s="34">
        <f>A135-366</f>
        <v>46472</v>
      </c>
      <c r="B134" s="33">
        <f>B133</f>
        <v>7</v>
      </c>
      <c r="C134" s="33">
        <f>A134-$D$5</f>
        <v>1274</v>
      </c>
      <c r="D134" s="32">
        <f>C134/365</f>
        <v>3.4904109589041097</v>
      </c>
      <c r="E134" s="32">
        <f>($B$30/100)+((($C$30+$D$30)/100)*(1-EXP(-D134/$E$30))/(D134/$E$30))-(($D$30/100)*(EXP(-D134/$E$30)))</f>
        <v>0.10517431076299791</v>
      </c>
      <c r="F134" s="32">
        <f>EXP(-E134*D134)</f>
        <v>0.69273928210201241</v>
      </c>
      <c r="G134" s="31">
        <f>B134*F134</f>
        <v>4.8491749747140869</v>
      </c>
    </row>
    <row r="135" spans="1:7">
      <c r="A135" s="34">
        <f>A136-365</f>
        <v>46838</v>
      </c>
      <c r="B135" s="33">
        <f>B134</f>
        <v>7</v>
      </c>
      <c r="C135" s="33">
        <f>A135-$D$5</f>
        <v>1640</v>
      </c>
      <c r="D135" s="32">
        <f>C135/365</f>
        <v>4.493150684931507</v>
      </c>
      <c r="E135" s="32">
        <f>($B$30/100)+((($C$30+$D$30)/100)*(1-EXP(-D135/$E$30))/(D135/$E$30))-(($D$30/100)*(EXP(-D135/$E$30)))</f>
        <v>0.10777489832335242</v>
      </c>
      <c r="F135" s="32">
        <f>EXP(-E135*D135)</f>
        <v>0.61615984638858545</v>
      </c>
      <c r="G135" s="31">
        <f>B135*F135</f>
        <v>4.3131189247200981</v>
      </c>
    </row>
    <row r="136" spans="1:7">
      <c r="A136" s="34">
        <f>A137-365</f>
        <v>47203</v>
      </c>
      <c r="B136" s="33">
        <f>B135</f>
        <v>7</v>
      </c>
      <c r="C136" s="33">
        <f>A136-$D$5</f>
        <v>2005</v>
      </c>
      <c r="D136" s="32">
        <f>C136/365</f>
        <v>5.493150684931507</v>
      </c>
      <c r="E136" s="32">
        <f>($B$30/100)+((($C$30+$D$30)/100)*(1-EXP(-D136/$E$30))/(D136/$E$30))-(($D$30/100)*(EXP(-D136/$E$30)))</f>
        <v>0.10963372102534924</v>
      </c>
      <c r="F136" s="32">
        <f>EXP(-E136*D136)</f>
        <v>0.54758665834076881</v>
      </c>
      <c r="G136" s="31">
        <f>B136*F136</f>
        <v>3.8331066083853815</v>
      </c>
    </row>
    <row r="137" spans="1:7">
      <c r="A137" s="34">
        <f>A138-365</f>
        <v>47568</v>
      </c>
      <c r="B137" s="33">
        <f>B136</f>
        <v>7</v>
      </c>
      <c r="C137" s="33">
        <f>A137-$D$5</f>
        <v>2370</v>
      </c>
      <c r="D137" s="32">
        <f>C137/365</f>
        <v>6.493150684931507</v>
      </c>
      <c r="E137" s="32">
        <f>($B$30/100)+((($C$30+$D$30)/100)*(1-EXP(-D137/$E$30))/(D137/$E$30))-(($D$30/100)*(EXP(-D137/$E$30)))</f>
        <v>0.11094600955680865</v>
      </c>
      <c r="F137" s="32">
        <f>EXP(-E137*D137)</f>
        <v>0.48656286930575349</v>
      </c>
      <c r="G137" s="31">
        <f>B137*F137</f>
        <v>3.4059400851402746</v>
      </c>
    </row>
    <row r="138" spans="1:7" ht="13.5" thickBot="1">
      <c r="A138" s="30">
        <f>B19</f>
        <v>47933</v>
      </c>
      <c r="B138" s="29">
        <f>B137+100</f>
        <v>107</v>
      </c>
      <c r="C138" s="29">
        <f>A138-$D$5</f>
        <v>2735</v>
      </c>
      <c r="D138" s="28">
        <f>C138/365</f>
        <v>7.493150684931507</v>
      </c>
      <c r="E138" s="28">
        <f>($B$30/100)+((($C$30+$D$30)/100)*(1-EXP(-D138/$E$30))/(D138/$E$30))-(($D$30/100)*(EXP(-D138/$E$30)))</f>
        <v>0.11185261834474558</v>
      </c>
      <c r="F138" s="28">
        <f>EXP(-E138*D138)</f>
        <v>0.43251921590401216</v>
      </c>
      <c r="G138" s="27">
        <f>B138*F138</f>
        <v>46.279556101729298</v>
      </c>
    </row>
    <row r="139" spans="1:7" ht="14.25" thickTop="1" thickBot="1">
      <c r="F139" s="26" t="s">
        <v>8</v>
      </c>
      <c r="G139" s="25">
        <f>SUM(G126:G138)</f>
        <v>80.873923705162696</v>
      </c>
    </row>
    <row r="140" spans="1:7" ht="14.25" thickTop="1" thickBot="1"/>
    <row r="141" spans="1:7" ht="13.5" thickTop="1">
      <c r="A141" s="38" t="s">
        <v>15</v>
      </c>
      <c r="B141" s="36" t="s">
        <v>14</v>
      </c>
      <c r="C141" s="36" t="s">
        <v>13</v>
      </c>
      <c r="D141" s="37" t="s">
        <v>12</v>
      </c>
      <c r="E141" s="36" t="s">
        <v>11</v>
      </c>
      <c r="F141" s="36" t="s">
        <v>10</v>
      </c>
      <c r="G141" s="35" t="s">
        <v>9</v>
      </c>
    </row>
    <row r="142" spans="1:7">
      <c r="A142" s="34"/>
      <c r="B142" s="39"/>
      <c r="C142" s="33"/>
      <c r="D142" s="32"/>
      <c r="E142" s="32"/>
      <c r="F142" s="32"/>
      <c r="G142" s="31"/>
    </row>
    <row r="143" spans="1:7">
      <c r="A143" s="34"/>
      <c r="B143" s="39"/>
      <c r="C143" s="33"/>
      <c r="D143" s="32"/>
      <c r="E143" s="32"/>
      <c r="F143" s="32"/>
      <c r="G143" s="31"/>
    </row>
    <row r="144" spans="1:7">
      <c r="A144" s="34"/>
      <c r="B144" s="33"/>
      <c r="C144" s="33"/>
      <c r="D144" s="32"/>
      <c r="E144" s="32"/>
      <c r="F144" s="32"/>
      <c r="G144" s="31"/>
    </row>
    <row r="145" spans="1:7">
      <c r="A145" s="34"/>
      <c r="B145" s="33"/>
      <c r="C145" s="33"/>
      <c r="D145" s="32"/>
      <c r="E145" s="32"/>
      <c r="F145" s="32"/>
      <c r="G145" s="31"/>
    </row>
    <row r="146" spans="1:7">
      <c r="A146" s="34"/>
      <c r="B146" s="33"/>
      <c r="C146" s="33"/>
      <c r="D146" s="32"/>
      <c r="E146" s="32"/>
      <c r="F146" s="32"/>
      <c r="G146" s="31"/>
    </row>
    <row r="147" spans="1:7">
      <c r="A147" s="34"/>
      <c r="B147" s="33"/>
      <c r="C147" s="33"/>
      <c r="D147" s="32"/>
      <c r="E147" s="32"/>
      <c r="F147" s="32"/>
      <c r="G147" s="31"/>
    </row>
    <row r="148" spans="1:7">
      <c r="A148" s="34">
        <f>A149-365</f>
        <v>45473</v>
      </c>
      <c r="B148" s="33">
        <f>C20</f>
        <v>7</v>
      </c>
      <c r="C148" s="33">
        <f>A148-$D$5</f>
        <v>275</v>
      </c>
      <c r="D148" s="32">
        <f>C148/365</f>
        <v>0.75342465753424659</v>
      </c>
      <c r="E148" s="32">
        <f>($B$30/100)+((($C$30+$D$30)/100)*(1-EXP(-D148/$E$30))/(D148/$E$30))-(($D$30/100)*(EXP(-D148/$E$30)))</f>
        <v>9.2023175347701824E-2</v>
      </c>
      <c r="F148" s="32">
        <f>EXP(-E148*D148)</f>
        <v>0.93301637313976393</v>
      </c>
      <c r="G148" s="31">
        <f>B148*F148</f>
        <v>6.5311146119783476</v>
      </c>
    </row>
    <row r="149" spans="1:7">
      <c r="A149" s="34">
        <f>A150-365</f>
        <v>45838</v>
      </c>
      <c r="B149" s="33">
        <f>C20</f>
        <v>7</v>
      </c>
      <c r="C149" s="33">
        <f>A149-$D$5</f>
        <v>640</v>
      </c>
      <c r="D149" s="32">
        <f>C149/365</f>
        <v>1.7534246575342465</v>
      </c>
      <c r="E149" s="32">
        <f>($B$30/100)+((($C$30+$D$30)/100)*(1-EXP(-D149/$E$30))/(D149/$E$30))-(($D$30/100)*(EXP(-D149/$E$30)))</f>
        <v>9.8145674932286139E-2</v>
      </c>
      <c r="F149" s="32">
        <f>EXP(-E149*D149)</f>
        <v>0.84190251743791167</v>
      </c>
      <c r="G149" s="31">
        <f>B149*F149</f>
        <v>5.893317622065382</v>
      </c>
    </row>
    <row r="150" spans="1:7">
      <c r="A150" s="34">
        <f>A151-365</f>
        <v>46203</v>
      </c>
      <c r="B150" s="33">
        <f>C20</f>
        <v>7</v>
      </c>
      <c r="C150" s="33">
        <f>A150-$D$5</f>
        <v>1005</v>
      </c>
      <c r="D150" s="32">
        <f>C150/365</f>
        <v>2.7534246575342465</v>
      </c>
      <c r="E150" s="32">
        <f>($B$30/100)+((($C$30+$D$30)/100)*(1-EXP(-D150/$E$30))/(D150/$E$30))-(($D$30/100)*(EXP(-D150/$E$30)))</f>
        <v>0.10265041599980257</v>
      </c>
      <c r="F150" s="32">
        <f>EXP(-E150*D150)</f>
        <v>0.75379096322018202</v>
      </c>
      <c r="G150" s="31">
        <f>B150*F150</f>
        <v>5.2765367425412739</v>
      </c>
    </row>
    <row r="151" spans="1:7">
      <c r="A151" s="34">
        <f>A152-366</f>
        <v>46568</v>
      </c>
      <c r="B151" s="33">
        <f>C20</f>
        <v>7</v>
      </c>
      <c r="C151" s="33">
        <f>A151-$D$5</f>
        <v>1370</v>
      </c>
      <c r="D151" s="32">
        <f>C151/365</f>
        <v>3.7534246575342465</v>
      </c>
      <c r="E151" s="32">
        <f>($B$30/100)+((($C$30+$D$30)/100)*(1-EXP(-D151/$E$30))/(D151/$E$30))-(($D$30/100)*(EXP(-D151/$E$30)))</f>
        <v>0.10594052730350528</v>
      </c>
      <c r="F151" s="32">
        <f>EXP(-E151*D151)</f>
        <v>0.67190401235882857</v>
      </c>
      <c r="G151" s="31">
        <f>B151*F151</f>
        <v>4.7033280865118003</v>
      </c>
    </row>
    <row r="152" spans="1:7">
      <c r="A152" s="34">
        <f>A153-365</f>
        <v>46934</v>
      </c>
      <c r="B152" s="33">
        <f>C20</f>
        <v>7</v>
      </c>
      <c r="C152" s="33">
        <f>A152-$D$5</f>
        <v>1736</v>
      </c>
      <c r="D152" s="32">
        <f>C152/365</f>
        <v>4.7561643835616438</v>
      </c>
      <c r="E152" s="32">
        <f>($B$30/100)+((($C$30+$D$30)/100)*(1-EXP(-D152/$E$30))/(D152/$E$30))-(($D$30/100)*(EXP(-D152/$E$30)))</f>
        <v>0.10832630818432674</v>
      </c>
      <c r="F152" s="32">
        <f>EXP(-E152*D152)</f>
        <v>0.59737051569881094</v>
      </c>
      <c r="G152" s="31">
        <f>B152*F152</f>
        <v>4.1815936098916762</v>
      </c>
    </row>
    <row r="153" spans="1:7">
      <c r="A153" s="34">
        <f>A154-365</f>
        <v>47299</v>
      </c>
      <c r="B153" s="33">
        <f>C20</f>
        <v>7</v>
      </c>
      <c r="C153" s="33">
        <f>A153-$D$5</f>
        <v>2101</v>
      </c>
      <c r="D153" s="32">
        <f>C153/365</f>
        <v>5.7561643835616438</v>
      </c>
      <c r="E153" s="32">
        <f>($B$30/100)+((($C$30+$D$30)/100)*(1-EXP(-D153/$E$30))/(D153/$E$30))-(($D$30/100)*(EXP(-D153/$E$30)))</f>
        <v>0.11002537791148606</v>
      </c>
      <c r="F153" s="32">
        <f>EXP(-E153*D153)</f>
        <v>0.53082431910710781</v>
      </c>
      <c r="G153" s="31">
        <f>B153*F153</f>
        <v>3.7157702337497547</v>
      </c>
    </row>
    <row r="154" spans="1:7">
      <c r="A154" s="34">
        <f>A155-365</f>
        <v>47664</v>
      </c>
      <c r="B154" s="33">
        <f>B153</f>
        <v>7</v>
      </c>
      <c r="C154" s="33">
        <f>A154-$D$5</f>
        <v>2466</v>
      </c>
      <c r="D154" s="32">
        <f>C154/365</f>
        <v>6.7561643835616438</v>
      </c>
      <c r="E154" s="32">
        <f>($B$30/100)+((($C$30+$D$30)/100)*(1-EXP(-D154/$E$30))/(D154/$E$30))-(($D$30/100)*(EXP(-D154/$E$30)))</f>
        <v>0.11121891250410836</v>
      </c>
      <c r="F154" s="32">
        <f>EXP(-E154*D154)</f>
        <v>0.47169944964585808</v>
      </c>
      <c r="G154" s="31">
        <f>B154*F154</f>
        <v>3.3018961475210067</v>
      </c>
    </row>
    <row r="155" spans="1:7">
      <c r="A155" s="34">
        <f>A156-366</f>
        <v>48029</v>
      </c>
      <c r="B155" s="33">
        <f>B154</f>
        <v>7</v>
      </c>
      <c r="C155" s="33">
        <f>A155-$D$5</f>
        <v>2831</v>
      </c>
      <c r="D155" s="32">
        <f>C155/365</f>
        <v>7.7561643835616438</v>
      </c>
      <c r="E155" s="32">
        <f>($B$30/100)+((($C$30+$D$30)/100)*(1-EXP(-D155/$E$30))/(D155/$E$30))-(($D$30/100)*(EXP(-D155/$E$30)))</f>
        <v>0.11203763314838398</v>
      </c>
      <c r="F155" s="32">
        <f>EXP(-E155*D155)</f>
        <v>0.41937813333517543</v>
      </c>
      <c r="G155" s="31">
        <f>B155*F155</f>
        <v>2.9356469333462281</v>
      </c>
    </row>
    <row r="156" spans="1:7" ht="13.5" thickBot="1">
      <c r="A156" s="30">
        <f>B20</f>
        <v>48395</v>
      </c>
      <c r="B156" s="29">
        <f>B155+100</f>
        <v>107</v>
      </c>
      <c r="C156" s="29">
        <f>A156-$D$5</f>
        <v>3197</v>
      </c>
      <c r="D156" s="28">
        <f>C156/365</f>
        <v>8.7589041095890412</v>
      </c>
      <c r="E156" s="28">
        <f>($B$30/100)+((($C$30+$D$30)/100)*(1-EXP(-D156/$E$30))/(D156/$E$30))-(($D$30/100)*(EXP(-D156/$E$30)))</f>
        <v>0.11258102747717377</v>
      </c>
      <c r="F156" s="28">
        <f>EXP(-E156*D156)</f>
        <v>0.37303373382015459</v>
      </c>
      <c r="G156" s="27">
        <f>B156*F156</f>
        <v>39.914609518756542</v>
      </c>
    </row>
    <row r="157" spans="1:7" ht="14.25" thickTop="1" thickBot="1">
      <c r="F157" s="26" t="s">
        <v>8</v>
      </c>
      <c r="G157" s="25">
        <f>SUM(G142:G156)</f>
        <v>76.45381350636201</v>
      </c>
    </row>
    <row r="158" spans="1:7" ht="14.25" thickTop="1" thickBot="1"/>
    <row r="159" spans="1:7" ht="13.5" thickTop="1">
      <c r="A159" s="38" t="s">
        <v>15</v>
      </c>
      <c r="B159" s="36" t="s">
        <v>14</v>
      </c>
      <c r="C159" s="36" t="s">
        <v>13</v>
      </c>
      <c r="D159" s="37" t="s">
        <v>12</v>
      </c>
      <c r="E159" s="36" t="s">
        <v>11</v>
      </c>
      <c r="F159" s="36" t="s">
        <v>10</v>
      </c>
      <c r="G159" s="35" t="s">
        <v>9</v>
      </c>
    </row>
    <row r="160" spans="1:7">
      <c r="A160" s="34"/>
      <c r="B160" s="33"/>
      <c r="C160" s="33"/>
      <c r="D160" s="32"/>
      <c r="E160" s="32"/>
      <c r="F160" s="32"/>
      <c r="G160" s="31"/>
    </row>
    <row r="161" spans="1:7">
      <c r="A161" s="34"/>
      <c r="B161" s="33"/>
      <c r="C161" s="33"/>
      <c r="D161" s="32"/>
      <c r="E161" s="32"/>
      <c r="F161" s="32"/>
      <c r="G161" s="31"/>
    </row>
    <row r="162" spans="1:7">
      <c r="A162" s="34"/>
      <c r="B162" s="33"/>
      <c r="C162" s="33"/>
      <c r="D162" s="32"/>
      <c r="E162" s="32"/>
      <c r="F162" s="32"/>
      <c r="G162" s="31"/>
    </row>
    <row r="163" spans="1:7">
      <c r="A163" s="34"/>
      <c r="B163" s="33"/>
      <c r="C163" s="33"/>
      <c r="D163" s="32"/>
      <c r="E163" s="32"/>
      <c r="F163" s="32"/>
      <c r="G163" s="31"/>
    </row>
    <row r="164" spans="1:7">
      <c r="A164" s="34"/>
      <c r="B164" s="33"/>
      <c r="C164" s="33"/>
      <c r="D164" s="32"/>
      <c r="E164" s="32"/>
      <c r="F164" s="32"/>
      <c r="G164" s="31"/>
    </row>
    <row r="165" spans="1:7">
      <c r="A165" s="34">
        <f>A166-366</f>
        <v>45331</v>
      </c>
      <c r="B165" s="33">
        <f>C21</f>
        <v>13.25</v>
      </c>
      <c r="C165" s="33">
        <f>A165-$D$5</f>
        <v>133</v>
      </c>
      <c r="D165" s="32">
        <f>C165/365</f>
        <v>0.36438356164383562</v>
      </c>
      <c r="E165" s="32">
        <f>($B$30/100)+((($C$30+$D$30)/100)*(1-EXP(-D165/$E$30))/(D165/$E$30))-(($D$30/100)*(EXP(-D165/$E$30)))</f>
        <v>8.9094643444241756E-2</v>
      </c>
      <c r="F165" s="32">
        <f>EXP(-E165*D165)</f>
        <v>0.96805669568169883</v>
      </c>
      <c r="G165" s="31">
        <f>B165*F165</f>
        <v>12.82675121778251</v>
      </c>
    </row>
    <row r="166" spans="1:7">
      <c r="A166" s="34">
        <f>A167-365</f>
        <v>45697</v>
      </c>
      <c r="B166" s="33">
        <f>B165</f>
        <v>13.25</v>
      </c>
      <c r="C166" s="33">
        <f>A166-$D$5</f>
        <v>499</v>
      </c>
      <c r="D166" s="32">
        <f>C166/365</f>
        <v>1.3671232876712329</v>
      </c>
      <c r="E166" s="32">
        <f>($B$30/100)+((($C$30+$D$30)/100)*(1-EXP(-D166/$E$30))/(D166/$E$30))-(($D$30/100)*(EXP(-D166/$E$30)))</f>
        <v>9.5998241390154171E-2</v>
      </c>
      <c r="F166" s="32">
        <f>EXP(-E166*D166)</f>
        <v>0.8770060120573081</v>
      </c>
      <c r="G166" s="31">
        <f>B166*F166</f>
        <v>11.620329659759332</v>
      </c>
    </row>
    <row r="167" spans="1:7">
      <c r="A167" s="34">
        <f>A168-365</f>
        <v>46062</v>
      </c>
      <c r="B167" s="33">
        <f>B166</f>
        <v>13.25</v>
      </c>
      <c r="C167" s="33">
        <f>A167-$D$5</f>
        <v>864</v>
      </c>
      <c r="D167" s="32">
        <f>C167/365</f>
        <v>2.3671232876712329</v>
      </c>
      <c r="E167" s="32">
        <f>($B$30/100)+((($C$30+$D$30)/100)*(1-EXP(-D167/$E$30))/(D167/$E$30))-(($D$30/100)*(EXP(-D167/$E$30)))</f>
        <v>0.1010738245888595</v>
      </c>
      <c r="F167" s="32">
        <f>EXP(-E167*D167)</f>
        <v>0.78721474383185741</v>
      </c>
      <c r="G167" s="31">
        <f>B167*F167</f>
        <v>10.430595355772111</v>
      </c>
    </row>
    <row r="168" spans="1:7">
      <c r="A168" s="34">
        <f>A169-365</f>
        <v>46427</v>
      </c>
      <c r="B168" s="33">
        <f>B167</f>
        <v>13.25</v>
      </c>
      <c r="C168" s="33">
        <f>A168-$D$5</f>
        <v>1229</v>
      </c>
      <c r="D168" s="32">
        <f>C168/365</f>
        <v>3.3671232876712329</v>
      </c>
      <c r="E168" s="32">
        <f>($B$30/100)+((($C$30+$D$30)/100)*(1-EXP(-D168/$E$30))/(D168/$E$30))-(($D$30/100)*(EXP(-D168/$E$30)))</f>
        <v>0.10479222722792826</v>
      </c>
      <c r="F168" s="32">
        <f>EXP(-E168*D168)</f>
        <v>0.70268374822517821</v>
      </c>
      <c r="G168" s="31">
        <f>B168*F168</f>
        <v>9.3105596639836108</v>
      </c>
    </row>
    <row r="169" spans="1:7">
      <c r="A169" s="34">
        <f>A170-366</f>
        <v>46792</v>
      </c>
      <c r="B169" s="33">
        <f>B168</f>
        <v>13.25</v>
      </c>
      <c r="C169" s="33">
        <f>A169-$D$5</f>
        <v>1594</v>
      </c>
      <c r="D169" s="32">
        <f>C169/365</f>
        <v>4.3671232876712329</v>
      </c>
      <c r="E169" s="32">
        <f>($B$30/100)+((($C$30+$D$30)/100)*(1-EXP(-D169/$E$30))/(D169/$E$30))-(($D$30/100)*(EXP(-D169/$E$30)))</f>
        <v>0.10749305594702158</v>
      </c>
      <c r="F169" s="32">
        <f>EXP(-E169*D169)</f>
        <v>0.62535522675845023</v>
      </c>
      <c r="G169" s="31">
        <f>B169*F169</f>
        <v>8.2859567545494652</v>
      </c>
    </row>
    <row r="170" spans="1:7">
      <c r="A170" s="34">
        <f>A171-365</f>
        <v>47158</v>
      </c>
      <c r="B170" s="33">
        <f>B169</f>
        <v>13.25</v>
      </c>
      <c r="C170" s="33">
        <f>A170-$D$5</f>
        <v>1960</v>
      </c>
      <c r="D170" s="32">
        <f>C170/365</f>
        <v>5.3698630136986303</v>
      </c>
      <c r="E170" s="32">
        <f>($B$30/100)+((($C$30+$D$30)/100)*(1-EXP(-D170/$E$30))/(D170/$E$30))-(($D$30/100)*(EXP(-D170/$E$30)))</f>
        <v>0.10943738126114441</v>
      </c>
      <c r="F170" s="32">
        <f>EXP(-E170*D170)</f>
        <v>0.55562384805928222</v>
      </c>
      <c r="G170" s="31">
        <f>B170*F170</f>
        <v>7.3620159867854893</v>
      </c>
    </row>
    <row r="171" spans="1:7">
      <c r="A171" s="34">
        <f>A172-365</f>
        <v>47523</v>
      </c>
      <c r="B171" s="33">
        <f>B170</f>
        <v>13.25</v>
      </c>
      <c r="C171" s="33">
        <f>A171-$D$5</f>
        <v>2325</v>
      </c>
      <c r="D171" s="32">
        <f>C171/365</f>
        <v>6.3698630136986303</v>
      </c>
      <c r="E171" s="32">
        <f>($B$30/100)+((($C$30+$D$30)/100)*(1-EXP(-D171/$E$30))/(D171/$E$30))-(($D$30/100)*(EXP(-D171/$E$30)))</f>
        <v>0.1108086250097426</v>
      </c>
      <c r="F171" s="32">
        <f>EXP(-E171*D171)</f>
        <v>0.49369578958091925</v>
      </c>
      <c r="G171" s="31">
        <f>B171*F171</f>
        <v>6.54146921194718</v>
      </c>
    </row>
    <row r="172" spans="1:7">
      <c r="A172" s="34">
        <f>A173-365</f>
        <v>47888</v>
      </c>
      <c r="B172" s="33">
        <f>B171</f>
        <v>13.25</v>
      </c>
      <c r="C172" s="33">
        <f>A172-$D$5</f>
        <v>2690</v>
      </c>
      <c r="D172" s="32">
        <f>C172/365</f>
        <v>7.3698630136986303</v>
      </c>
      <c r="E172" s="32">
        <f>($B$30/100)+((($C$30+$D$30)/100)*(1-EXP(-D172/$E$30))/(D172/$E$30))-(($D$30/100)*(EXP(-D172/$E$30)))</f>
        <v>0.11175890590344782</v>
      </c>
      <c r="F172" s="32">
        <f>EXP(-E172*D172)</f>
        <v>0.43882796276791836</v>
      </c>
      <c r="G172" s="31">
        <f>B172*F172</f>
        <v>5.814470506674918</v>
      </c>
    </row>
    <row r="173" spans="1:7">
      <c r="A173" s="34">
        <f>A174-366</f>
        <v>48253</v>
      </c>
      <c r="B173" s="33">
        <f>B172</f>
        <v>13.25</v>
      </c>
      <c r="C173" s="33">
        <f>A173-$D$5</f>
        <v>3055</v>
      </c>
      <c r="D173" s="32">
        <f>C173/365</f>
        <v>8.3698630136986303</v>
      </c>
      <c r="E173" s="32">
        <f>($B$30/100)+((($C$30+$D$30)/100)*(1-EXP(-D173/$E$30))/(D173/$E$30))-(($D$30/100)*(EXP(-D173/$E$30)))</f>
        <v>0.11239799625725297</v>
      </c>
      <c r="F173" s="32">
        <f>EXP(-E173*D173)</f>
        <v>0.39033269801369858</v>
      </c>
      <c r="G173" s="31">
        <f>B173*F173</f>
        <v>5.1719082486815058</v>
      </c>
    </row>
    <row r="174" spans="1:7" ht="13.5" thickBot="1">
      <c r="A174" s="30">
        <f>B21</f>
        <v>48619</v>
      </c>
      <c r="B174" s="29">
        <f>B173+100</f>
        <v>113.25</v>
      </c>
      <c r="C174" s="29">
        <f>A174-$D$5</f>
        <v>3421</v>
      </c>
      <c r="D174" s="28">
        <f>C174/365</f>
        <v>9.3726027397260268</v>
      </c>
      <c r="E174" s="28">
        <f>($B$30/100)+((($C$30+$D$30)/100)*(1-EXP(-D174/$E$30))/(D174/$E$30))-(($D$30/100)*(EXP(-D174/$E$30)))</f>
        <v>0.11280922686192749</v>
      </c>
      <c r="F174" s="28">
        <f>EXP(-E174*D174)</f>
        <v>0.34738692286736728</v>
      </c>
      <c r="G174" s="27">
        <f>B174*F174</f>
        <v>39.341569014729345</v>
      </c>
    </row>
    <row r="175" spans="1:7" ht="14.25" thickTop="1" thickBot="1">
      <c r="F175" s="26" t="s">
        <v>8</v>
      </c>
      <c r="G175" s="25">
        <f>SUM(G160:G174)</f>
        <v>116.70562562066547</v>
      </c>
    </row>
    <row r="176" spans="1:7" ht="14.25" thickTop="1" thickBot="1"/>
    <row r="177" spans="1:7" ht="13.5" thickTop="1">
      <c r="A177" s="38" t="s">
        <v>15</v>
      </c>
      <c r="B177" s="36" t="s">
        <v>14</v>
      </c>
      <c r="C177" s="36" t="s">
        <v>13</v>
      </c>
      <c r="D177" s="37" t="s">
        <v>12</v>
      </c>
      <c r="E177" s="36" t="s">
        <v>11</v>
      </c>
      <c r="F177" s="36" t="s">
        <v>10</v>
      </c>
      <c r="G177" s="35" t="s">
        <v>9</v>
      </c>
    </row>
    <row r="178" spans="1:7">
      <c r="A178" s="34"/>
      <c r="B178" s="33"/>
      <c r="C178" s="33"/>
      <c r="D178" s="32"/>
      <c r="E178" s="32"/>
      <c r="F178" s="32"/>
      <c r="G178" s="31"/>
    </row>
    <row r="179" spans="1:7">
      <c r="A179" s="34"/>
      <c r="B179" s="33"/>
      <c r="C179" s="33"/>
      <c r="D179" s="32"/>
      <c r="E179" s="32"/>
      <c r="F179" s="32"/>
      <c r="G179" s="31"/>
    </row>
    <row r="180" spans="1:7">
      <c r="A180" s="34"/>
      <c r="B180" s="33"/>
      <c r="C180" s="33"/>
      <c r="D180" s="32"/>
      <c r="E180" s="32"/>
      <c r="F180" s="32"/>
      <c r="G180" s="31"/>
    </row>
    <row r="181" spans="1:7">
      <c r="A181" s="34"/>
      <c r="B181" s="33"/>
      <c r="C181" s="33"/>
      <c r="D181" s="32"/>
      <c r="E181" s="32"/>
      <c r="F181" s="32"/>
      <c r="G181" s="31"/>
    </row>
    <row r="182" spans="1:7">
      <c r="A182" s="34"/>
      <c r="B182" s="33"/>
      <c r="C182" s="33"/>
      <c r="D182" s="32"/>
      <c r="E182" s="32"/>
      <c r="F182" s="32"/>
      <c r="G182" s="31"/>
    </row>
    <row r="183" spans="1:7">
      <c r="A183" s="34"/>
      <c r="B183" s="33"/>
      <c r="C183" s="33"/>
      <c r="D183" s="32"/>
      <c r="E183" s="32"/>
      <c r="F183" s="32"/>
      <c r="G183" s="31"/>
    </row>
    <row r="184" spans="1:7">
      <c r="A184" s="34"/>
      <c r="B184" s="33"/>
      <c r="C184" s="33"/>
      <c r="D184" s="32"/>
      <c r="E184" s="32"/>
      <c r="F184" s="32"/>
      <c r="G184" s="31"/>
    </row>
    <row r="185" spans="1:7">
      <c r="A185" s="34"/>
      <c r="B185" s="33"/>
      <c r="C185" s="33"/>
      <c r="D185" s="32"/>
      <c r="E185" s="32"/>
      <c r="F185" s="32"/>
      <c r="G185" s="31"/>
    </row>
    <row r="186" spans="1:7">
      <c r="A186" s="34"/>
      <c r="B186" s="33"/>
      <c r="C186" s="33"/>
      <c r="D186" s="32"/>
      <c r="E186" s="32"/>
      <c r="F186" s="32"/>
      <c r="G186" s="31"/>
    </row>
    <row r="187" spans="1:7">
      <c r="A187" s="34"/>
      <c r="B187" s="33"/>
      <c r="C187" s="33"/>
      <c r="D187" s="32"/>
      <c r="E187" s="32"/>
      <c r="F187" s="32"/>
      <c r="G187" s="31"/>
    </row>
    <row r="188" spans="1:7">
      <c r="A188" s="34">
        <f>A189-365</f>
        <v>45583</v>
      </c>
      <c r="B188" s="33">
        <f>C22</f>
        <v>7.25</v>
      </c>
      <c r="C188" s="33">
        <f>A188-$D$5</f>
        <v>385</v>
      </c>
      <c r="D188" s="32">
        <f>C188/365</f>
        <v>1.0547945205479452</v>
      </c>
      <c r="E188" s="32">
        <f>($B$30/100)+((($C$30+$D$30)/100)*(1-EXP(-D188/$E$30))/(D188/$E$30))-(($D$30/100)*(EXP(-D188/$E$30)))</f>
        <v>9.4067473077337427E-2</v>
      </c>
      <c r="F188" s="32">
        <f>EXP(-E188*D188)</f>
        <v>0.9055417866152794</v>
      </c>
      <c r="G188" s="31">
        <f>B188*F188</f>
        <v>6.5651779529607754</v>
      </c>
    </row>
    <row r="189" spans="1:7">
      <c r="A189" s="34">
        <f>A190-365</f>
        <v>45948</v>
      </c>
      <c r="B189" s="33">
        <f>C22</f>
        <v>7.25</v>
      </c>
      <c r="C189" s="33">
        <f>A189-$D$5</f>
        <v>750</v>
      </c>
      <c r="D189" s="32">
        <f>C189/365</f>
        <v>2.0547945205479454</v>
      </c>
      <c r="E189" s="32">
        <f>($B$30/100)+((($C$30+$D$30)/100)*(1-EXP(-D189/$E$30))/(D189/$E$30))-(($D$30/100)*(EXP(-D189/$E$30)))</f>
        <v>9.9652965885823661E-2</v>
      </c>
      <c r="F189" s="32">
        <f>EXP(-E189*D189)</f>
        <v>0.81483766611762287</v>
      </c>
      <c r="G189" s="31">
        <f>B189*F189</f>
        <v>5.9075730793527654</v>
      </c>
    </row>
    <row r="190" spans="1:7">
      <c r="A190" s="34">
        <f>A191-365</f>
        <v>46313</v>
      </c>
      <c r="B190" s="33">
        <f>C22</f>
        <v>7.25</v>
      </c>
      <c r="C190" s="33">
        <f>A190-$D$5</f>
        <v>1115</v>
      </c>
      <c r="D190" s="32">
        <f>C190/365</f>
        <v>3.0547945205479454</v>
      </c>
      <c r="E190" s="32">
        <f>($B$30/100)+((($C$30+$D$30)/100)*(1-EXP(-D190/$E$30))/(D190/$E$30))-(($D$30/100)*(EXP(-D190/$E$30)))</f>
        <v>0.10375423626647598</v>
      </c>
      <c r="F190" s="32">
        <f>EXP(-E190*D190)</f>
        <v>0.72836872222733984</v>
      </c>
      <c r="G190" s="31">
        <f>B190*F190</f>
        <v>5.280673236148214</v>
      </c>
    </row>
    <row r="191" spans="1:7">
      <c r="A191" s="34">
        <f>A192-366</f>
        <v>46678</v>
      </c>
      <c r="B191" s="33">
        <f>C22</f>
        <v>7.25</v>
      </c>
      <c r="C191" s="33">
        <f>A191-$D$5</f>
        <v>1480</v>
      </c>
      <c r="D191" s="32">
        <f>C191/365</f>
        <v>4.0547945205479454</v>
      </c>
      <c r="E191" s="32">
        <f>($B$30/100)+((($C$30+$D$30)/100)*(1-EXP(-D191/$E$30))/(D191/$E$30))-(($D$30/100)*(EXP(-D191/$E$30)))</f>
        <v>0.10674187490025297</v>
      </c>
      <c r="F191" s="32">
        <f>EXP(-E191*D191)</f>
        <v>0.64867959825469901</v>
      </c>
      <c r="G191" s="31">
        <f>B191*F191</f>
        <v>4.7029270873465681</v>
      </c>
    </row>
    <row r="192" spans="1:7">
      <c r="A192" s="34">
        <f>A193-365</f>
        <v>47044</v>
      </c>
      <c r="B192" s="33">
        <f>C22</f>
        <v>7.25</v>
      </c>
      <c r="C192" s="33">
        <f>A192-$D$5</f>
        <v>1846</v>
      </c>
      <c r="D192" s="32">
        <f>C192/365</f>
        <v>5.0575342465753428</v>
      </c>
      <c r="E192" s="32">
        <f>($B$30/100)+((($C$30+$D$30)/100)*(1-EXP(-D192/$E$30))/(D192/$E$30))-(($D$30/100)*(EXP(-D192/$E$30)))</f>
        <v>0.10890096110985928</v>
      </c>
      <c r="F192" s="32">
        <f>EXP(-E192*D192)</f>
        <v>0.57650553383561276</v>
      </c>
      <c r="G192" s="31">
        <f>B192*F192</f>
        <v>4.1796651203081927</v>
      </c>
    </row>
    <row r="193" spans="1:7">
      <c r="A193" s="34">
        <f>A194-365</f>
        <v>47409</v>
      </c>
      <c r="B193" s="33">
        <f>C22</f>
        <v>7.25</v>
      </c>
      <c r="C193" s="33">
        <f>A193-$D$5</f>
        <v>2211</v>
      </c>
      <c r="D193" s="32">
        <f>C193/365</f>
        <v>6.0575342465753428</v>
      </c>
      <c r="E193" s="32">
        <f>($B$30/100)+((($C$30+$D$30)/100)*(1-EXP(-D193/$E$30))/(D193/$E$30))-(($D$30/100)*(EXP(-D193/$E$30)))</f>
        <v>0.11043159707629617</v>
      </c>
      <c r="F193" s="32">
        <f>EXP(-E193*D193)</f>
        <v>0.51224964689054964</v>
      </c>
      <c r="G193" s="31">
        <f>B193*F193</f>
        <v>3.713809939956485</v>
      </c>
    </row>
    <row r="194" spans="1:7">
      <c r="A194" s="34">
        <f>A195-365</f>
        <v>47774</v>
      </c>
      <c r="B194" s="33">
        <f>C22</f>
        <v>7.25</v>
      </c>
      <c r="C194" s="33">
        <f>A194-$D$5</f>
        <v>2576</v>
      </c>
      <c r="D194" s="32">
        <f>C194/365</f>
        <v>7.0575342465753428</v>
      </c>
      <c r="E194" s="32">
        <f>($B$30/100)+((($C$30+$D$30)/100)*(1-EXP(-D194/$E$30))/(D194/$E$30))-(($D$30/100)*(EXP(-D194/$E$30)))</f>
        <v>0.11150006928243654</v>
      </c>
      <c r="F194" s="32">
        <f>EXP(-E194*D194)</f>
        <v>0.45524681458960953</v>
      </c>
      <c r="G194" s="31">
        <f>B194*F194</f>
        <v>3.3005394057746691</v>
      </c>
    </row>
    <row r="195" spans="1:7">
      <c r="A195" s="34">
        <f>A196-366</f>
        <v>48139</v>
      </c>
      <c r="B195" s="33">
        <f>C22</f>
        <v>7.25</v>
      </c>
      <c r="C195" s="33">
        <f>A195-$D$5</f>
        <v>2941</v>
      </c>
      <c r="D195" s="32">
        <f>C195/365</f>
        <v>8.0575342465753419</v>
      </c>
      <c r="E195" s="32">
        <f>($B$30/100)+((($C$30+$D$30)/100)*(1-EXP(-D195/$E$30))/(D195/$E$30))-(($D$30/100)*(EXP(-D195/$E$30)))</f>
        <v>0.11222636410848867</v>
      </c>
      <c r="F195" s="32">
        <f>EXP(-E195*D195)</f>
        <v>0.4048382104041427</v>
      </c>
      <c r="G195" s="31">
        <f>B195*F195</f>
        <v>2.9350770254300347</v>
      </c>
    </row>
    <row r="196" spans="1:7">
      <c r="A196" s="34">
        <f>A197-365</f>
        <v>48505</v>
      </c>
      <c r="B196" s="33">
        <f>C22</f>
        <v>7.25</v>
      </c>
      <c r="C196" s="33">
        <f>A196-$D$5</f>
        <v>3307</v>
      </c>
      <c r="D196" s="32">
        <f>C196/365</f>
        <v>9.0602739726027401</v>
      </c>
      <c r="E196" s="32">
        <f>($B$30/100)+((($C$30+$D$30)/100)*(1-EXP(-D196/$E$30))/(D196/$E$30))-(($D$30/100)*(EXP(-D196/$E$30)))</f>
        <v>0.11270168799818613</v>
      </c>
      <c r="F196" s="32">
        <f>EXP(-E196*D196)</f>
        <v>0.36019556085120646</v>
      </c>
      <c r="G196" s="31">
        <f>B196*F196</f>
        <v>2.6114178161712469</v>
      </c>
    </row>
    <row r="197" spans="1:7">
      <c r="A197" s="34">
        <f>A198-365</f>
        <v>48870</v>
      </c>
      <c r="B197" s="33">
        <f>B196</f>
        <v>7.25</v>
      </c>
      <c r="C197" s="33">
        <f>A197-$D$5</f>
        <v>3672</v>
      </c>
      <c r="D197" s="32">
        <f>C197/365</f>
        <v>10.06027397260274</v>
      </c>
      <c r="E197" s="32">
        <f>($B$30/100)+((($C$30+$D$30)/100)*(1-EXP(-D197/$E$30))/(D197/$E$30))-(($D$30/100)*(EXP(-D197/$E$30)))</f>
        <v>0.1129912235353048</v>
      </c>
      <c r="F197" s="32">
        <f>EXP(-E197*D197)</f>
        <v>0.32086889525912488</v>
      </c>
      <c r="G197" s="31">
        <f>B197*F197</f>
        <v>2.3262994906286552</v>
      </c>
    </row>
    <row r="198" spans="1:7" ht="13.5" thickBot="1">
      <c r="A198" s="30">
        <f>B22</f>
        <v>49235</v>
      </c>
      <c r="B198" s="29">
        <f>B197+100</f>
        <v>107.25</v>
      </c>
      <c r="C198" s="29">
        <f>A198-$D$5</f>
        <v>4037</v>
      </c>
      <c r="D198" s="28">
        <f>C198/365</f>
        <v>11.06027397260274</v>
      </c>
      <c r="E198" s="28">
        <f>($B$30/100)+((($C$30+$D$30)/100)*(1-EXP(-D198/$E$30))/(D198/$E$30))-(($D$30/100)*(EXP(-D198/$E$30)))</f>
        <v>0.11314716333308705</v>
      </c>
      <c r="F198" s="28">
        <f>EXP(-E198*D198)</f>
        <v>0.28609292003936676</v>
      </c>
      <c r="G198" s="27">
        <f>B198*F198</f>
        <v>30.683465674222084</v>
      </c>
    </row>
    <row r="199" spans="1:7" ht="14.25" thickTop="1" thickBot="1">
      <c r="F199" s="26" t="s">
        <v>8</v>
      </c>
      <c r="G199" s="25">
        <f>SUM(G178:G198)</f>
        <v>72.206625828299693</v>
      </c>
    </row>
    <row r="200" spans="1:7" ht="14.25" thickTop="1" thickBot="1"/>
    <row r="201" spans="1:7" ht="13.5" thickTop="1">
      <c r="A201" s="38" t="s">
        <v>15</v>
      </c>
      <c r="B201" s="36" t="s">
        <v>14</v>
      </c>
      <c r="C201" s="36" t="s">
        <v>13</v>
      </c>
      <c r="D201" s="37" t="s">
        <v>12</v>
      </c>
      <c r="E201" s="36" t="s">
        <v>11</v>
      </c>
      <c r="F201" s="36" t="s">
        <v>10</v>
      </c>
      <c r="G201" s="35" t="s">
        <v>9</v>
      </c>
    </row>
    <row r="202" spans="1:7">
      <c r="A202" s="34"/>
      <c r="B202" s="33"/>
      <c r="C202" s="33"/>
      <c r="D202" s="32"/>
      <c r="E202" s="32"/>
      <c r="F202" s="32"/>
      <c r="G202" s="31"/>
    </row>
    <row r="203" spans="1:7">
      <c r="A203" s="34"/>
      <c r="B203" s="33"/>
      <c r="C203" s="33"/>
      <c r="D203" s="32"/>
      <c r="E203" s="32"/>
      <c r="F203" s="32"/>
      <c r="G203" s="31"/>
    </row>
    <row r="204" spans="1:7">
      <c r="A204" s="34"/>
      <c r="B204" s="33"/>
      <c r="C204" s="33"/>
      <c r="D204" s="32"/>
      <c r="E204" s="32"/>
      <c r="F204" s="32"/>
      <c r="G204" s="31"/>
    </row>
    <row r="205" spans="1:7">
      <c r="A205" s="34"/>
      <c r="B205" s="33"/>
      <c r="C205" s="33"/>
      <c r="D205" s="32"/>
      <c r="E205" s="32"/>
      <c r="F205" s="32"/>
      <c r="G205" s="31"/>
    </row>
    <row r="206" spans="1:7">
      <c r="A206" s="34"/>
      <c r="B206" s="33"/>
      <c r="C206" s="33"/>
      <c r="D206" s="32"/>
      <c r="E206" s="32"/>
      <c r="F206" s="32"/>
      <c r="G206" s="31"/>
    </row>
    <row r="207" spans="1:7">
      <c r="A207" s="34"/>
      <c r="B207" s="33"/>
      <c r="C207" s="33"/>
      <c r="D207" s="32"/>
      <c r="E207" s="32"/>
      <c r="F207" s="32"/>
      <c r="G207" s="31"/>
    </row>
    <row r="208" spans="1:7">
      <c r="A208" s="34"/>
      <c r="B208" s="33"/>
      <c r="C208" s="33"/>
      <c r="D208" s="32"/>
      <c r="E208" s="32"/>
      <c r="F208" s="32"/>
      <c r="G208" s="31"/>
    </row>
    <row r="209" spans="1:7">
      <c r="A209" s="34"/>
      <c r="B209" s="33"/>
      <c r="C209" s="33"/>
      <c r="D209" s="32"/>
      <c r="E209" s="32"/>
      <c r="F209" s="32"/>
      <c r="G209" s="31"/>
    </row>
    <row r="210" spans="1:7">
      <c r="A210" s="34"/>
      <c r="B210" s="33"/>
      <c r="C210" s="33"/>
      <c r="D210" s="32"/>
      <c r="E210" s="32"/>
      <c r="F210" s="32"/>
      <c r="G210" s="31"/>
    </row>
    <row r="211" spans="1:7">
      <c r="A211" s="34"/>
      <c r="B211" s="33"/>
      <c r="C211" s="33"/>
      <c r="D211" s="32"/>
      <c r="E211" s="32"/>
      <c r="F211" s="32"/>
      <c r="G211" s="31"/>
    </row>
    <row r="212" spans="1:7">
      <c r="A212" s="34"/>
      <c r="B212" s="33"/>
      <c r="C212" s="33"/>
      <c r="D212" s="32"/>
      <c r="E212" s="32"/>
      <c r="F212" s="32"/>
      <c r="G212" s="31"/>
    </row>
    <row r="213" spans="1:7">
      <c r="A213" s="34"/>
      <c r="B213" s="33"/>
      <c r="C213" s="33"/>
      <c r="D213" s="32"/>
      <c r="E213" s="32"/>
      <c r="F213" s="32"/>
      <c r="G213" s="31"/>
    </row>
    <row r="214" spans="1:7">
      <c r="A214" s="34"/>
      <c r="B214" s="33"/>
      <c r="C214" s="33"/>
      <c r="D214" s="32"/>
      <c r="E214" s="32"/>
      <c r="F214" s="32"/>
      <c r="G214" s="31"/>
    </row>
    <row r="215" spans="1:7">
      <c r="A215" s="34"/>
      <c r="B215" s="33"/>
      <c r="C215" s="33"/>
      <c r="D215" s="32"/>
      <c r="E215" s="32"/>
      <c r="F215" s="32"/>
      <c r="G215" s="31"/>
    </row>
    <row r="216" spans="1:7">
      <c r="A216" s="34"/>
      <c r="B216" s="33"/>
      <c r="C216" s="33"/>
      <c r="D216" s="32"/>
      <c r="E216" s="32"/>
      <c r="F216" s="32"/>
      <c r="G216" s="31"/>
    </row>
    <row r="217" spans="1:7">
      <c r="A217" s="34"/>
      <c r="B217" s="33"/>
      <c r="C217" s="33"/>
      <c r="D217" s="32"/>
      <c r="E217" s="32"/>
      <c r="F217" s="32"/>
      <c r="G217" s="31"/>
    </row>
    <row r="218" spans="1:7">
      <c r="A218" s="34"/>
      <c r="B218" s="33"/>
      <c r="C218" s="33"/>
      <c r="D218" s="32"/>
      <c r="E218" s="32"/>
      <c r="F218" s="32"/>
      <c r="G218" s="31"/>
    </row>
    <row r="219" spans="1:7">
      <c r="A219" s="34">
        <f>A220-365</f>
        <v>45482</v>
      </c>
      <c r="B219" s="33">
        <f>C23</f>
        <v>6.25</v>
      </c>
      <c r="C219" s="33">
        <f>A219-$D$5</f>
        <v>284</v>
      </c>
      <c r="D219" s="32">
        <f>C219/365</f>
        <v>0.77808219178082194</v>
      </c>
      <c r="E219" s="32">
        <f>($B$30/100)+((($C$30+$D$30)/100)*(1-EXP(-D219/$E$30))/(D219/$E$30))-(($D$30/100)*(EXP(-D219/$E$30)))</f>
        <v>9.2197504192703339E-2</v>
      </c>
      <c r="F219" s="32">
        <f>EXP(-E219*D219)</f>
        <v>0.93077543782918271</v>
      </c>
      <c r="G219" s="31">
        <f>B219*F219</f>
        <v>5.8173464864323918</v>
      </c>
    </row>
    <row r="220" spans="1:7">
      <c r="A220" s="34">
        <f>A221-365</f>
        <v>45847</v>
      </c>
      <c r="B220" s="33">
        <f>C23</f>
        <v>6.25</v>
      </c>
      <c r="C220" s="33">
        <f>A220-$D$5</f>
        <v>649</v>
      </c>
      <c r="D220" s="32">
        <f>C220/365</f>
        <v>1.7780821917808218</v>
      </c>
      <c r="E220" s="32">
        <f>($B$30/100)+((($C$30+$D$30)/100)*(1-EXP(-D220/$E$30))/(D220/$E$30))-(($D$30/100)*(EXP(-D220/$E$30)))</f>
        <v>9.8274314646790137E-2</v>
      </c>
      <c r="F220" s="32">
        <f>EXP(-E220*D220)</f>
        <v>0.83967546853098751</v>
      </c>
      <c r="G220" s="31">
        <f>B220*F220</f>
        <v>5.2479716783186721</v>
      </c>
    </row>
    <row r="221" spans="1:7">
      <c r="A221" s="34">
        <f>A222-365</f>
        <v>46212</v>
      </c>
      <c r="B221" s="33">
        <f>C23</f>
        <v>6.25</v>
      </c>
      <c r="C221" s="33">
        <f>A221-$D$5</f>
        <v>1014</v>
      </c>
      <c r="D221" s="32">
        <f>C221/365</f>
        <v>2.7780821917808218</v>
      </c>
      <c r="E221" s="32">
        <f>($B$30/100)+((($C$30+$D$30)/100)*(1-EXP(-D221/$E$30))/(D221/$E$30))-(($D$30/100)*(EXP(-D221/$E$30)))</f>
        <v>0.10274471858476701</v>
      </c>
      <c r="F221" s="32">
        <f>EXP(-E221*D221)</f>
        <v>0.75168849742339605</v>
      </c>
      <c r="G221" s="31">
        <f>B221*F221</f>
        <v>4.6980531088962252</v>
      </c>
    </row>
    <row r="222" spans="1:7">
      <c r="A222" s="34">
        <f>A223-366</f>
        <v>46577</v>
      </c>
      <c r="B222" s="33">
        <f>C23</f>
        <v>6.25</v>
      </c>
      <c r="C222" s="33">
        <f>A222-$D$5</f>
        <v>1379</v>
      </c>
      <c r="D222" s="32">
        <f>C222/365</f>
        <v>3.7780821917808218</v>
      </c>
      <c r="E222" s="32">
        <f>($B$30/100)+((($C$30+$D$30)/100)*(1-EXP(-D222/$E$30))/(D222/$E$30))-(($D$30/100)*(EXP(-D222/$E$30)))</f>
        <v>0.10600907977163984</v>
      </c>
      <c r="F222" s="32">
        <f>EXP(-E222*D222)</f>
        <v>0.66997758897185455</v>
      </c>
      <c r="G222" s="31">
        <f>B222*F222</f>
        <v>4.1873599310740905</v>
      </c>
    </row>
    <row r="223" spans="1:7">
      <c r="A223" s="34">
        <f>A224-365</f>
        <v>46943</v>
      </c>
      <c r="B223" s="33">
        <f>C23</f>
        <v>6.25</v>
      </c>
      <c r="C223" s="33">
        <f>A223-$D$5</f>
        <v>1745</v>
      </c>
      <c r="D223" s="32">
        <f>C223/365</f>
        <v>4.7808219178082192</v>
      </c>
      <c r="E223" s="32">
        <f>($B$30/100)+((($C$30+$D$30)/100)*(1-EXP(-D223/$E$30))/(D223/$E$30))-(($D$30/100)*(EXP(-D223/$E$30)))</f>
        <v>0.10837555416774151</v>
      </c>
      <c r="F223" s="32">
        <f>EXP(-E223*D223)</f>
        <v>0.59563678149200883</v>
      </c>
      <c r="G223" s="31">
        <f>B223*F223</f>
        <v>3.7227298843250551</v>
      </c>
    </row>
    <row r="224" spans="1:7">
      <c r="A224" s="34">
        <f>A225-365</f>
        <v>47308</v>
      </c>
      <c r="B224" s="33">
        <f>C23</f>
        <v>6.25</v>
      </c>
      <c r="C224" s="33">
        <f>A224-$D$5</f>
        <v>2110</v>
      </c>
      <c r="D224" s="32">
        <f>C224/365</f>
        <v>5.7808219178082192</v>
      </c>
      <c r="E224" s="32">
        <f>($B$30/100)+((($C$30+$D$30)/100)*(1-EXP(-D224/$E$30))/(D224/$E$30))-(($D$30/100)*(EXP(-D224/$E$30)))</f>
        <v>0.11006027248632172</v>
      </c>
      <c r="F224" s="32">
        <f>EXP(-E224*D224)</f>
        <v>0.52927939192008</v>
      </c>
      <c r="G224" s="31">
        <f>B224*F224</f>
        <v>3.3079961995004998</v>
      </c>
    </row>
    <row r="225" spans="1:7">
      <c r="A225" s="34">
        <f>A226-365</f>
        <v>47673</v>
      </c>
      <c r="B225" s="33">
        <f>C23</f>
        <v>6.25</v>
      </c>
      <c r="C225" s="33">
        <f>A225-$D$5</f>
        <v>2475</v>
      </c>
      <c r="D225" s="32">
        <f>C225/365</f>
        <v>6.7808219178082192</v>
      </c>
      <c r="E225" s="32">
        <f>($B$30/100)+((($C$30+$D$30)/100)*(1-EXP(-D225/$E$30))/(D225/$E$30))-(($D$30/100)*(EXP(-D225/$E$30)))</f>
        <v>0.11124314506681096</v>
      </c>
      <c r="F225" s="32">
        <f>EXP(-E225*D225)</f>
        <v>0.47033035120486127</v>
      </c>
      <c r="G225" s="31">
        <f>B225*F225</f>
        <v>2.9395646950303829</v>
      </c>
    </row>
    <row r="226" spans="1:7">
      <c r="A226" s="34">
        <f>A227-366</f>
        <v>48038</v>
      </c>
      <c r="B226" s="33">
        <f>C23</f>
        <v>6.25</v>
      </c>
      <c r="C226" s="33">
        <f>A226-$D$5</f>
        <v>2840</v>
      </c>
      <c r="D226" s="32">
        <f>C226/365</f>
        <v>7.7808219178082192</v>
      </c>
      <c r="E226" s="32">
        <f>($B$30/100)+((($C$30+$D$30)/100)*(1-EXP(-D226/$E$30))/(D226/$E$30))-(($D$30/100)*(EXP(-D226/$E$30)))</f>
        <v>0.11205398057211276</v>
      </c>
      <c r="F226" s="32">
        <f>EXP(-E226*D226)</f>
        <v>0.41816797713222364</v>
      </c>
      <c r="G226" s="31">
        <f>B226*F226</f>
        <v>2.6135498570763978</v>
      </c>
    </row>
    <row r="227" spans="1:7">
      <c r="A227" s="34">
        <f>A228-365</f>
        <v>48404</v>
      </c>
      <c r="B227" s="33">
        <f>C23</f>
        <v>6.25</v>
      </c>
      <c r="C227" s="33">
        <f>A227-$D$5</f>
        <v>3206</v>
      </c>
      <c r="D227" s="32">
        <f>C227/365</f>
        <v>8.7835616438356166</v>
      </c>
      <c r="E227" s="32">
        <f>($B$30/100)+((($C$30+$D$30)/100)*(1-EXP(-D227/$E$30))/(D227/$E$30))-(($D$30/100)*(EXP(-D227/$E$30)))</f>
        <v>0.11259156253665674</v>
      </c>
      <c r="F227" s="32">
        <f>EXP(-E227*D227)</f>
        <v>0.37196521761460338</v>
      </c>
      <c r="G227" s="31">
        <f>B227*F227</f>
        <v>2.3247826100912712</v>
      </c>
    </row>
    <row r="228" spans="1:7">
      <c r="A228" s="34">
        <f>A229-365</f>
        <v>48769</v>
      </c>
      <c r="B228" s="33">
        <f>C23</f>
        <v>6.25</v>
      </c>
      <c r="C228" s="33">
        <f>A228-$D$5</f>
        <v>3571</v>
      </c>
      <c r="D228" s="32">
        <f>C228/365</f>
        <v>9.7835616438356166</v>
      </c>
      <c r="E228" s="32">
        <f>($B$30/100)+((($C$30+$D$30)/100)*(1-EXP(-D228/$E$30))/(D228/$E$30))-(($D$30/100)*(EXP(-D228/$E$30)))</f>
        <v>0.11292636274045172</v>
      </c>
      <c r="F228" s="32">
        <f>EXP(-E228*D228)</f>
        <v>0.33126983272873506</v>
      </c>
      <c r="G228" s="31">
        <f>B228*F228</f>
        <v>2.0704364545545939</v>
      </c>
    </row>
    <row r="229" spans="1:7">
      <c r="A229" s="34">
        <f>A230-365</f>
        <v>49134</v>
      </c>
      <c r="B229" s="33">
        <f>C23</f>
        <v>6.25</v>
      </c>
      <c r="C229" s="33">
        <f>A229-$D$5</f>
        <v>3936</v>
      </c>
      <c r="D229" s="32">
        <f>C229/365</f>
        <v>10.783561643835617</v>
      </c>
      <c r="E229" s="32">
        <f>($B$30/100)+((($C$30+$D$30)/100)*(1-EXP(-D229/$E$30))/(D229/$E$30))-(($D$30/100)*(EXP(-D229/$E$30)))</f>
        <v>0.11311501153712858</v>
      </c>
      <c r="F229" s="32">
        <f>EXP(-E229*D229)</f>
        <v>0.29529432748277168</v>
      </c>
      <c r="G229" s="31">
        <f>B229*F229</f>
        <v>1.8455895467673229</v>
      </c>
    </row>
    <row r="230" spans="1:7">
      <c r="A230" s="34">
        <f>A231-366</f>
        <v>49499</v>
      </c>
      <c r="B230" s="33">
        <f>B229</f>
        <v>6.25</v>
      </c>
      <c r="C230" s="33">
        <f>A230-$D$5</f>
        <v>4301</v>
      </c>
      <c r="D230" s="32">
        <f>C230/365</f>
        <v>11.783561643835617</v>
      </c>
      <c r="E230" s="32">
        <f>($B$30/100)+((($C$30+$D$30)/100)*(1-EXP(-D230/$E$30))/(D230/$E$30))-(($D$30/100)*(EXP(-D230/$E$30)))</f>
        <v>0.1131984526856729</v>
      </c>
      <c r="F230" s="32">
        <f>EXP(-E230*D230)</f>
        <v>0.2634528287090302</v>
      </c>
      <c r="G230" s="31">
        <f>B230*F230</f>
        <v>1.6465801794314388</v>
      </c>
    </row>
    <row r="231" spans="1:7" ht="13.5" thickBot="1">
      <c r="A231" s="30">
        <f>B23</f>
        <v>49865</v>
      </c>
      <c r="B231" s="29">
        <f>B230+100</f>
        <v>106.25</v>
      </c>
      <c r="C231" s="29">
        <f>A231-$D$5</f>
        <v>4667</v>
      </c>
      <c r="D231" s="28">
        <f>C231/365</f>
        <v>12.786301369863013</v>
      </c>
      <c r="E231" s="28">
        <f>($B$30/100)+((($C$30+$D$30)/100)*(1-EXP(-D231/$E$30))/(D231/$E$30))-(($D$30/100)*(EXP(-D231/$E$30)))</f>
        <v>0.11320710830989017</v>
      </c>
      <c r="F231" s="28">
        <f>EXP(-E231*D231)</f>
        <v>0.23515739947097045</v>
      </c>
      <c r="G231" s="27">
        <f>B231*F231</f>
        <v>24.98547369379061</v>
      </c>
    </row>
    <row r="232" spans="1:7" ht="14.25" thickTop="1" thickBot="1">
      <c r="F232" s="26" t="s">
        <v>8</v>
      </c>
      <c r="G232" s="25">
        <f>SUM(G202:G231)</f>
        <v>65.407434325288961</v>
      </c>
    </row>
    <row r="233" spans="1:7" ht="14.25" thickTop="1" thickBot="1"/>
    <row r="234" spans="1:7" ht="13.5" thickTop="1">
      <c r="A234" s="38" t="s">
        <v>15</v>
      </c>
      <c r="B234" s="36" t="s">
        <v>14</v>
      </c>
      <c r="C234" s="36" t="s">
        <v>13</v>
      </c>
      <c r="D234" s="37" t="s">
        <v>12</v>
      </c>
      <c r="E234" s="36" t="s">
        <v>11</v>
      </c>
      <c r="F234" s="36" t="s">
        <v>10</v>
      </c>
      <c r="G234" s="35" t="s">
        <v>9</v>
      </c>
    </row>
    <row r="235" spans="1:7">
      <c r="A235" s="34"/>
      <c r="B235" s="33"/>
      <c r="C235" s="33"/>
      <c r="D235" s="32"/>
      <c r="E235" s="32"/>
      <c r="F235" s="32"/>
      <c r="G235" s="31"/>
    </row>
    <row r="236" spans="1:7">
      <c r="A236" s="34"/>
      <c r="B236" s="33"/>
      <c r="C236" s="33"/>
      <c r="D236" s="32"/>
      <c r="E236" s="32"/>
      <c r="F236" s="32"/>
      <c r="G236" s="31"/>
    </row>
    <row r="237" spans="1:7">
      <c r="A237" s="34"/>
      <c r="B237" s="33"/>
      <c r="C237" s="33"/>
      <c r="D237" s="32"/>
      <c r="E237" s="32"/>
      <c r="F237" s="32"/>
      <c r="G237" s="31"/>
    </row>
    <row r="238" spans="1:7">
      <c r="A238" s="34">
        <f>A239-365</f>
        <v>45440</v>
      </c>
      <c r="B238" s="33">
        <f>C24</f>
        <v>9.25</v>
      </c>
      <c r="C238" s="33">
        <f>A238-$D$5</f>
        <v>242</v>
      </c>
      <c r="D238" s="32">
        <f>C238/365</f>
        <v>0.66301369863013704</v>
      </c>
      <c r="E238" s="32">
        <f>($B$30/100)+((($C$30+$D$30)/100)*(1-EXP(-D238/$E$30))/(D238/$E$30))-(($D$30/100)*(EXP(-D238/$E$30)))</f>
        <v>9.1372787190951071E-2</v>
      </c>
      <c r="F238" s="32">
        <f>EXP(-E238*D238)</f>
        <v>0.94121714179809857</v>
      </c>
      <c r="G238" s="31">
        <f>B238*F238</f>
        <v>8.7062585616324117</v>
      </c>
    </row>
    <row r="239" spans="1:7">
      <c r="A239" s="34">
        <f>A240-365</f>
        <v>45805</v>
      </c>
      <c r="B239" s="33">
        <f>C24</f>
        <v>9.25</v>
      </c>
      <c r="C239" s="33">
        <f>A239-$D$5</f>
        <v>607</v>
      </c>
      <c r="D239" s="32">
        <f>C239/365</f>
        <v>1.6630136986301369</v>
      </c>
      <c r="E239" s="32">
        <f>($B$30/100)+((($C$30+$D$30)/100)*(1-EXP(-D239/$E$30))/(D239/$E$30))-(($D$30/100)*(EXP(-D239/$E$30)))</f>
        <v>9.7665583739824105E-2</v>
      </c>
      <c r="F239" s="32">
        <f>EXP(-E239*D239)</f>
        <v>0.85008477120254788</v>
      </c>
      <c r="G239" s="31">
        <f>B239*F239</f>
        <v>7.8632841336235675</v>
      </c>
    </row>
    <row r="240" spans="1:7">
      <c r="A240" s="34">
        <f>A241-365</f>
        <v>46170</v>
      </c>
      <c r="B240" s="33">
        <f>C24</f>
        <v>9.25</v>
      </c>
      <c r="C240" s="33">
        <f>A240-$D$5</f>
        <v>972</v>
      </c>
      <c r="D240" s="32">
        <f>C240/365</f>
        <v>2.6630136986301371</v>
      </c>
      <c r="E240" s="32">
        <f>($B$30/100)+((($C$30+$D$30)/100)*(1-EXP(-D240/$E$30))/(D240/$E$30))-(($D$30/100)*(EXP(-D240/$E$30)))</f>
        <v>0.1022983240146844</v>
      </c>
      <c r="F240" s="32">
        <f>EXP(-E240*D240)</f>
        <v>0.76153294963668094</v>
      </c>
      <c r="G240" s="31">
        <f>B240*F240</f>
        <v>7.044179784139299</v>
      </c>
    </row>
    <row r="241" spans="1:7">
      <c r="A241" s="34">
        <f>A242-366</f>
        <v>46535</v>
      </c>
      <c r="B241" s="33">
        <f>C24</f>
        <v>9.25</v>
      </c>
      <c r="C241" s="33">
        <f>A241-$D$5</f>
        <v>1337</v>
      </c>
      <c r="D241" s="32">
        <f>C241/365</f>
        <v>3.6630136986301371</v>
      </c>
      <c r="E241" s="32">
        <f>($B$30/100)+((($C$30+$D$30)/100)*(1-EXP(-D241/$E$30))/(D241/$E$30))-(($D$30/100)*(EXP(-D241/$E$30)))</f>
        <v>0.10568443746301258</v>
      </c>
      <c r="F241" s="32">
        <f>EXP(-E241*D241)</f>
        <v>0.67900720372874457</v>
      </c>
      <c r="G241" s="31">
        <f>B241*F241</f>
        <v>6.2808166344908871</v>
      </c>
    </row>
    <row r="242" spans="1:7">
      <c r="A242" s="34">
        <f>A243-365</f>
        <v>46901</v>
      </c>
      <c r="B242" s="33">
        <f>C24</f>
        <v>9.25</v>
      </c>
      <c r="C242" s="33">
        <f>A242-$D$5</f>
        <v>1703</v>
      </c>
      <c r="D242" s="32">
        <f>C242/365</f>
        <v>4.6657534246575345</v>
      </c>
      <c r="E242" s="32">
        <f>($B$30/100)+((($C$30+$D$30)/100)*(1-EXP(-D242/$E$30))/(D242/$E$30))-(($D$30/100)*(EXP(-D242/$E$30)))</f>
        <v>0.10814220878260568</v>
      </c>
      <c r="F242" s="32">
        <f>EXP(-E242*D242)</f>
        <v>0.60376822932181917</v>
      </c>
      <c r="G242" s="31">
        <f>B242*F242</f>
        <v>5.5848561212268271</v>
      </c>
    </row>
    <row r="243" spans="1:7">
      <c r="A243" s="34">
        <f>A244-365</f>
        <v>47266</v>
      </c>
      <c r="B243" s="33">
        <f>C24</f>
        <v>9.25</v>
      </c>
      <c r="C243" s="33">
        <f>A243-$D$5</f>
        <v>2068</v>
      </c>
      <c r="D243" s="32">
        <f>C243/365</f>
        <v>5.6657534246575345</v>
      </c>
      <c r="E243" s="32">
        <f>($B$30/100)+((($C$30+$D$30)/100)*(1-EXP(-D243/$E$30))/(D243/$E$30))-(($D$30/100)*(EXP(-D243/$E$30)))</f>
        <v>0.10989480272369474</v>
      </c>
      <c r="F243" s="32">
        <f>EXP(-E243*D243)</f>
        <v>0.53652782469929494</v>
      </c>
      <c r="G243" s="31">
        <f>B243*F243</f>
        <v>4.9628823784684784</v>
      </c>
    </row>
    <row r="244" spans="1:7">
      <c r="A244" s="34">
        <f>A245-365</f>
        <v>47631</v>
      </c>
      <c r="B244" s="33">
        <f>C24</f>
        <v>9.25</v>
      </c>
      <c r="C244" s="33">
        <f>A244-$D$5</f>
        <v>2433</v>
      </c>
      <c r="D244" s="32">
        <f>C244/365</f>
        <v>6.6657534246575345</v>
      </c>
      <c r="E244" s="32">
        <f>($B$30/100)+((($C$30+$D$30)/100)*(1-EXP(-D244/$E$30))/(D244/$E$30))-(($D$30/100)*(EXP(-D244/$E$30)))</f>
        <v>0.11112811111007014</v>
      </c>
      <c r="F244" s="32">
        <f>EXP(-E244*D244)</f>
        <v>0.47675498077340156</v>
      </c>
      <c r="G244" s="31">
        <f>B244*F244</f>
        <v>4.4099835721539646</v>
      </c>
    </row>
    <row r="245" spans="1:7">
      <c r="A245" s="34">
        <f>A246-366</f>
        <v>47996</v>
      </c>
      <c r="B245" s="33">
        <f>C24</f>
        <v>9.25</v>
      </c>
      <c r="C245" s="33">
        <f>A245-$D$5</f>
        <v>2798</v>
      </c>
      <c r="D245" s="32">
        <f>C245/365</f>
        <v>7.6657534246575345</v>
      </c>
      <c r="E245" s="32">
        <f>($B$30/100)+((($C$30+$D$30)/100)*(1-EXP(-D245/$E$30))/(D245/$E$30))-(($D$30/100)*(EXP(-D245/$E$30)))</f>
        <v>0.11197625512832814</v>
      </c>
      <c r="F245" s="32">
        <f>EXP(-E245*D245)</f>
        <v>0.42384715966241648</v>
      </c>
      <c r="G245" s="31">
        <f>B245*F245</f>
        <v>3.9205862268773526</v>
      </c>
    </row>
    <row r="246" spans="1:7">
      <c r="A246" s="34">
        <f>A247-365</f>
        <v>48362</v>
      </c>
      <c r="B246" s="33">
        <f>C24</f>
        <v>9.25</v>
      </c>
      <c r="C246" s="33">
        <f>A246-$D$5</f>
        <v>3164</v>
      </c>
      <c r="D246" s="32">
        <f>C246/365</f>
        <v>8.668493150684931</v>
      </c>
      <c r="E246" s="32">
        <f>($B$30/100)+((($C$30+$D$30)/100)*(1-EXP(-D246/$E$30))/(D246/$E$30))-(($D$30/100)*(EXP(-D246/$E$30)))</f>
        <v>0.11254134606299614</v>
      </c>
      <c r="F246" s="32">
        <f>EXP(-E246*D246)</f>
        <v>0.37697971946036518</v>
      </c>
      <c r="G246" s="31">
        <f>B246*F246</f>
        <v>3.4870624050083778</v>
      </c>
    </row>
    <row r="247" spans="1:7">
      <c r="A247" s="34">
        <f>A248-365</f>
        <v>48727</v>
      </c>
      <c r="B247" s="33">
        <f>C24</f>
        <v>9.25</v>
      </c>
      <c r="C247" s="33">
        <f>A247-$D$5</f>
        <v>3529</v>
      </c>
      <c r="D247" s="32">
        <f>C247/365</f>
        <v>9.668493150684931</v>
      </c>
      <c r="E247" s="32">
        <f>($B$30/100)+((($C$30+$D$30)/100)*(1-EXP(-D247/$E$30))/(D247/$E$30))-(($D$30/100)*(EXP(-D247/$E$30)))</f>
        <v>0.11289617785977542</v>
      </c>
      <c r="F247" s="32">
        <f>EXP(-E247*D247)</f>
        <v>0.33570048764502297</v>
      </c>
      <c r="G247" s="31">
        <f>B247*F247</f>
        <v>3.1052295107164625</v>
      </c>
    </row>
    <row r="248" spans="1:7">
      <c r="A248" s="34">
        <f>A249-365</f>
        <v>49092</v>
      </c>
      <c r="B248" s="33">
        <f>C24</f>
        <v>9.25</v>
      </c>
      <c r="C248" s="33">
        <f>A248-$D$5</f>
        <v>3894</v>
      </c>
      <c r="D248" s="32">
        <f>C248/365</f>
        <v>10.668493150684931</v>
      </c>
      <c r="E248" s="32">
        <f>($B$30/100)+((($C$30+$D$30)/100)*(1-EXP(-D248/$E$30))/(D248/$E$30))-(($D$30/100)*(EXP(-D248/$E$30)))</f>
        <v>0.11309933083804964</v>
      </c>
      <c r="F248" s="32">
        <f>EXP(-E248*D248)</f>
        <v>0.2992130443538607</v>
      </c>
      <c r="G248" s="31">
        <f>B248*F248</f>
        <v>2.7677206602732114</v>
      </c>
    </row>
    <row r="249" spans="1:7">
      <c r="A249" s="34">
        <f>A250-366</f>
        <v>49457</v>
      </c>
      <c r="B249" s="33">
        <f>C24</f>
        <v>9.25</v>
      </c>
      <c r="C249" s="33">
        <f>A249-$D$5</f>
        <v>4259</v>
      </c>
      <c r="D249" s="32">
        <f>C249/365</f>
        <v>11.668493150684931</v>
      </c>
      <c r="E249" s="32">
        <f>($B$30/100)+((($C$30+$D$30)/100)*(1-EXP(-D249/$E$30))/(D249/$E$30))-(($D$30/100)*(EXP(-D249/$E$30)))</f>
        <v>0.113193154027925</v>
      </c>
      <c r="F249" s="32">
        <f>EXP(-E249*D249)</f>
        <v>0.266923402842626</v>
      </c>
      <c r="G249" s="31">
        <f>B249*F249</f>
        <v>2.4690414762942905</v>
      </c>
    </row>
    <row r="250" spans="1:7">
      <c r="A250" s="34">
        <f>A251-365</f>
        <v>49823</v>
      </c>
      <c r="B250" s="33">
        <f>B249</f>
        <v>9.25</v>
      </c>
      <c r="C250" s="33">
        <f>A250-$D$5</f>
        <v>4625</v>
      </c>
      <c r="D250" s="32">
        <f>C250/365</f>
        <v>12.671232876712329</v>
      </c>
      <c r="E250" s="32">
        <f>($B$30/100)+((($C$30+$D$30)/100)*(1-EXP(-D250/$E$30))/(D250/$E$30))-(($D$30/100)*(EXP(-D250/$E$30)))</f>
        <v>0.11320914499415753</v>
      </c>
      <c r="F250" s="32">
        <f>EXP(-E250*D250)</f>
        <v>0.23823458487872576</v>
      </c>
      <c r="G250" s="31">
        <f>B250*F250</f>
        <v>2.2036699101282133</v>
      </c>
    </row>
    <row r="251" spans="1:7">
      <c r="A251" s="34">
        <f>A252-365</f>
        <v>50188</v>
      </c>
      <c r="B251" s="33">
        <f>B250</f>
        <v>9.25</v>
      </c>
      <c r="C251" s="33">
        <f>A251-$D$5</f>
        <v>4990</v>
      </c>
      <c r="D251" s="32">
        <f>C251/365</f>
        <v>13.671232876712329</v>
      </c>
      <c r="E251" s="32">
        <f>($B$30/100)+((($C$30+$D$30)/100)*(1-EXP(-D251/$E$30))/(D251/$E$30))-(($D$30/100)*(EXP(-D251/$E$30)))</f>
        <v>0.11317065725547182</v>
      </c>
      <c r="F251" s="32">
        <f>EXP(-E251*D251)</f>
        <v>0.21284684485371852</v>
      </c>
      <c r="G251" s="31">
        <f>B251*F251</f>
        <v>1.9688333148968964</v>
      </c>
    </row>
    <row r="252" spans="1:7">
      <c r="A252" s="34">
        <f>A253-365</f>
        <v>50553</v>
      </c>
      <c r="B252" s="33">
        <f>B251</f>
        <v>9.25</v>
      </c>
      <c r="C252" s="33">
        <f>A252-$D$5</f>
        <v>5355</v>
      </c>
      <c r="D252" s="32">
        <f>C252/365</f>
        <v>14.671232876712329</v>
      </c>
      <c r="E252" s="32">
        <f>($B$30/100)+((($C$30+$D$30)/100)*(1-EXP(-D252/$E$30))/(D252/$E$30))-(($D$30/100)*(EXP(-D252/$E$30)))</f>
        <v>0.11309509091082086</v>
      </c>
      <c r="F252" s="32">
        <f>EXP(-E252*D252)</f>
        <v>0.19028270036873352</v>
      </c>
      <c r="G252" s="31">
        <f>B252*F252</f>
        <v>1.760114978410785</v>
      </c>
    </row>
    <row r="253" spans="1:7">
      <c r="A253" s="34">
        <f>A254-366</f>
        <v>50918</v>
      </c>
      <c r="B253" s="33">
        <f>B252</f>
        <v>9.25</v>
      </c>
      <c r="C253" s="33">
        <f>A253-$D$5</f>
        <v>5720</v>
      </c>
      <c r="D253" s="32">
        <f>C253/365</f>
        <v>15.671232876712329</v>
      </c>
      <c r="E253" s="32">
        <f>($B$30/100)+((($C$30+$D$30)/100)*(1-EXP(-D253/$E$30))/(D253/$E$30))-(($D$30/100)*(EXP(-D253/$E$30)))</f>
        <v>0.11299512014531927</v>
      </c>
      <c r="F253" s="32">
        <f>EXP(-E253*D253)</f>
        <v>0.17020139923926531</v>
      </c>
      <c r="G253" s="31">
        <f>B253*F253</f>
        <v>1.574362942963204</v>
      </c>
    </row>
    <row r="254" spans="1:7">
      <c r="A254" s="34">
        <f>A255-365</f>
        <v>51284</v>
      </c>
      <c r="B254" s="33">
        <f>B253</f>
        <v>9.25</v>
      </c>
      <c r="C254" s="33">
        <f>A254-$D$5</f>
        <v>6086</v>
      </c>
      <c r="D254" s="32">
        <f>C254/365</f>
        <v>16.673972602739727</v>
      </c>
      <c r="E254" s="32">
        <f>($B$30/100)+((($C$30+$D$30)/100)*(1-EXP(-D254/$E$30))/(D254/$E$30))-(($D$30/100)*(EXP(-D254/$E$30)))</f>
        <v>0.11287965490538396</v>
      </c>
      <c r="F254" s="32">
        <f>EXP(-E254*D254)</f>
        <v>0.15226204331321716</v>
      </c>
      <c r="G254" s="31">
        <f>B254*F254</f>
        <v>1.4084239006472588</v>
      </c>
    </row>
    <row r="255" spans="1:7">
      <c r="A255" s="34">
        <f>A256-365</f>
        <v>51649</v>
      </c>
      <c r="B255" s="33">
        <f>B254</f>
        <v>9.25</v>
      </c>
      <c r="C255" s="33">
        <f>A255-$D$5</f>
        <v>6451</v>
      </c>
      <c r="D255" s="32">
        <f>C255/365</f>
        <v>17.673972602739727</v>
      </c>
      <c r="E255" s="32">
        <f>($B$30/100)+((($C$30+$D$30)/100)*(1-EXP(-D255/$E$30))/(D255/$E$30))-(($D$30/100)*(EXP(-D255/$E$30)))</f>
        <v>0.11275601391108239</v>
      </c>
      <c r="F255" s="32">
        <f>EXP(-E255*D255)</f>
        <v>0.13630684783236263</v>
      </c>
      <c r="G255" s="31">
        <f>B255*F255</f>
        <v>1.2608383424493543</v>
      </c>
    </row>
    <row r="256" spans="1:7" ht="13.5" thickBot="1">
      <c r="A256" s="30">
        <f>B24</f>
        <v>52014</v>
      </c>
      <c r="B256" s="29">
        <f>B255+100</f>
        <v>109.25</v>
      </c>
      <c r="C256" s="29">
        <f>A256-$D$5</f>
        <v>6816</v>
      </c>
      <c r="D256" s="28">
        <f>C256/365</f>
        <v>18.673972602739727</v>
      </c>
      <c r="E256" s="28">
        <f>($B$30/100)+((($C$30+$D$30)/100)*(1-EXP(-D256/$E$30))/(D256/$E$30))-(($D$30/100)*(EXP(-D256/$E$30)))</f>
        <v>0.11262866135379615</v>
      </c>
      <c r="F256" s="28">
        <f>EXP(-E256*D256)</f>
        <v>0.12206219898706883</v>
      </c>
      <c r="G256" s="27">
        <f>B256*F256</f>
        <v>13.335295239337269</v>
      </c>
    </row>
    <row r="257" spans="1:7" ht="14.25" thickTop="1" thickBot="1">
      <c r="F257" s="26" t="s">
        <v>8</v>
      </c>
      <c r="G257" s="25">
        <f>SUM(G236:G256)</f>
        <v>84.11344009373812</v>
      </c>
    </row>
    <row r="258" spans="1:7" ht="14.25" thickTop="1" thickBot="1"/>
    <row r="259" spans="1:7" ht="13.5" thickTop="1">
      <c r="A259" s="38" t="s">
        <v>15</v>
      </c>
      <c r="B259" s="36" t="s">
        <v>14</v>
      </c>
      <c r="C259" s="36" t="s">
        <v>13</v>
      </c>
      <c r="D259" s="37" t="s">
        <v>12</v>
      </c>
      <c r="E259" s="36" t="s">
        <v>11</v>
      </c>
      <c r="F259" s="36" t="s">
        <v>10</v>
      </c>
      <c r="G259" s="35" t="s">
        <v>9</v>
      </c>
    </row>
    <row r="260" spans="1:7">
      <c r="A260" s="34"/>
      <c r="B260" s="33"/>
      <c r="C260" s="33"/>
      <c r="D260" s="32"/>
      <c r="E260" s="32"/>
      <c r="F260" s="32"/>
      <c r="G260" s="31"/>
    </row>
    <row r="261" spans="1:7">
      <c r="A261" s="34"/>
      <c r="B261" s="33"/>
      <c r="C261" s="33"/>
      <c r="D261" s="32"/>
      <c r="E261" s="32"/>
      <c r="F261" s="32"/>
      <c r="G261" s="31"/>
    </row>
    <row r="262" spans="1:7">
      <c r="A262" s="34">
        <f>A263-365</f>
        <v>45591</v>
      </c>
      <c r="B262" s="33">
        <f>C25</f>
        <v>7.25</v>
      </c>
      <c r="C262" s="33">
        <f>A262-$D$5</f>
        <v>393</v>
      </c>
      <c r="D262" s="32">
        <f>C262/365</f>
        <v>1.0767123287671232</v>
      </c>
      <c r="E262" s="32">
        <f>($B$30/100)+((($C$30+$D$30)/100)*(1-EXP(-D262/$E$30))/(D262/$E$30))-(($D$30/100)*(EXP(-D262/$E$30)))</f>
        <v>9.4209013435199163E-2</v>
      </c>
      <c r="F262" s="32">
        <f>EXP(-E262*D262)</f>
        <v>0.90353899834396068</v>
      </c>
      <c r="G262" s="31">
        <f>B262*F262</f>
        <v>6.5506577379937152</v>
      </c>
    </row>
    <row r="263" spans="1:7">
      <c r="A263" s="34">
        <f>A264-365</f>
        <v>45956</v>
      </c>
      <c r="B263" s="33">
        <f>C25</f>
        <v>7.25</v>
      </c>
      <c r="C263" s="33">
        <f>A263-$D$5</f>
        <v>758</v>
      </c>
      <c r="D263" s="32">
        <f>C263/365</f>
        <v>2.0767123287671234</v>
      </c>
      <c r="E263" s="32">
        <f>($B$30/100)+((($C$30+$D$30)/100)*(1-EXP(-D263/$E$30))/(D263/$E$30))-(($D$30/100)*(EXP(-D263/$E$30)))</f>
        <v>9.9757221202465954E-2</v>
      </c>
      <c r="F263" s="32">
        <f>EXP(-E263*D263)</f>
        <v>0.81288384545970593</v>
      </c>
      <c r="G263" s="31">
        <f>B263*F263</f>
        <v>5.8934078795828677</v>
      </c>
    </row>
    <row r="264" spans="1:7">
      <c r="A264" s="34">
        <f>A265-365</f>
        <v>46321</v>
      </c>
      <c r="B264" s="33">
        <f>C25</f>
        <v>7.25</v>
      </c>
      <c r="C264" s="33">
        <f>A264-$D$5</f>
        <v>1123</v>
      </c>
      <c r="D264" s="32">
        <f>C264/365</f>
        <v>3.0767123287671234</v>
      </c>
      <c r="E264" s="32">
        <f>($B$30/100)+((($C$30+$D$30)/100)*(1-EXP(-D264/$E$30))/(D264/$E$30))-(($D$30/100)*(EXP(-D264/$E$30)))</f>
        <v>0.1038304874918316</v>
      </c>
      <c r="F264" s="32">
        <f>EXP(-E264*D264)</f>
        <v>0.72654377657911229</v>
      </c>
      <c r="G264" s="31">
        <f>B264*F264</f>
        <v>5.2674423801985641</v>
      </c>
    </row>
    <row r="265" spans="1:7">
      <c r="A265" s="34">
        <f>A266-366</f>
        <v>46686</v>
      </c>
      <c r="B265" s="33">
        <f>C25</f>
        <v>7.25</v>
      </c>
      <c r="C265" s="33">
        <f>A265-$D$5</f>
        <v>1488</v>
      </c>
      <c r="D265" s="32">
        <f>C265/365</f>
        <v>4.0767123287671234</v>
      </c>
      <c r="E265" s="32">
        <f>($B$30/100)+((($C$30+$D$30)/100)*(1-EXP(-D265/$E$30))/(D265/$E$30))-(($D$30/100)*(EXP(-D265/$E$30)))</f>
        <v>0.10679714044889932</v>
      </c>
      <c r="F265" s="32">
        <f>EXP(-E265*D265)</f>
        <v>0.64701796442187198</v>
      </c>
      <c r="G265" s="31">
        <f>B265*F265</f>
        <v>4.6908802420585722</v>
      </c>
    </row>
    <row r="266" spans="1:7">
      <c r="A266" s="34">
        <f>A267-365</f>
        <v>47052</v>
      </c>
      <c r="B266" s="33">
        <f>C25</f>
        <v>7.25</v>
      </c>
      <c r="C266" s="33">
        <f>A266-$D$5</f>
        <v>1854</v>
      </c>
      <c r="D266" s="32">
        <f>C266/365</f>
        <v>5.0794520547945208</v>
      </c>
      <c r="E266" s="32">
        <f>($B$30/100)+((($C$30+$D$30)/100)*(1-EXP(-D266/$E$30))/(D266/$E$30))-(($D$30/100)*(EXP(-D266/$E$30)))</f>
        <v>0.10894050597966877</v>
      </c>
      <c r="F266" s="32">
        <f>EXP(-E266*D266)</f>
        <v>0.57501561792280198</v>
      </c>
      <c r="G266" s="31">
        <f>B266*F266</f>
        <v>4.1688632299403148</v>
      </c>
    </row>
    <row r="267" spans="1:7">
      <c r="A267" s="34">
        <f>A268-365</f>
        <v>47417</v>
      </c>
      <c r="B267" s="33">
        <f>C25</f>
        <v>7.25</v>
      </c>
      <c r="C267" s="33">
        <f>A267-$D$5</f>
        <v>2219</v>
      </c>
      <c r="D267" s="32">
        <f>C267/365</f>
        <v>6.0794520547945208</v>
      </c>
      <c r="E267" s="32">
        <f>($B$30/100)+((($C$30+$D$30)/100)*(1-EXP(-D267/$E$30))/(D267/$E$30))-(($D$30/100)*(EXP(-D267/$E$30)))</f>
        <v>0.11045946821955679</v>
      </c>
      <c r="F267" s="32">
        <f>EXP(-E267*D267)</f>
        <v>0.51092470854222338</v>
      </c>
      <c r="G267" s="31">
        <f>B267*F267</f>
        <v>3.7042041369311196</v>
      </c>
    </row>
    <row r="268" spans="1:7">
      <c r="A268" s="34">
        <f>A269-365</f>
        <v>47782</v>
      </c>
      <c r="B268" s="33">
        <f>C25</f>
        <v>7.25</v>
      </c>
      <c r="C268" s="33">
        <f>A268-$D$5</f>
        <v>2584</v>
      </c>
      <c r="D268" s="32">
        <f>C268/365</f>
        <v>7.0794520547945208</v>
      </c>
      <c r="E268" s="32">
        <f>($B$30/100)+((($C$30+$D$30)/100)*(1-EXP(-D268/$E$30))/(D268/$E$30))-(($D$30/100)*(EXP(-D268/$E$30)))</f>
        <v>0.1115192787168028</v>
      </c>
      <c r="F268" s="32">
        <f>EXP(-E268*D268)</f>
        <v>0.45407386912115361</v>
      </c>
      <c r="G268" s="31">
        <f>B268*F268</f>
        <v>3.2920355511283637</v>
      </c>
    </row>
    <row r="269" spans="1:7">
      <c r="A269" s="34">
        <f>A270-366</f>
        <v>48147</v>
      </c>
      <c r="B269" s="33">
        <f>C25</f>
        <v>7.25</v>
      </c>
      <c r="C269" s="33">
        <f>A269-$D$5</f>
        <v>2949</v>
      </c>
      <c r="D269" s="32">
        <f>C269/365</f>
        <v>8.0794520547945208</v>
      </c>
      <c r="E269" s="32">
        <f>($B$30/100)+((($C$30+$D$30)/100)*(1-EXP(-D269/$E$30))/(D269/$E$30))-(($D$30/100)*(EXP(-D269/$E$30)))</f>
        <v>0.1122391777166195</v>
      </c>
      <c r="F269" s="32">
        <f>EXP(-E269*D269)</f>
        <v>0.40380182440176099</v>
      </c>
      <c r="G269" s="31">
        <f>B269*F269</f>
        <v>2.9275632269127674</v>
      </c>
    </row>
    <row r="270" spans="1:7">
      <c r="A270" s="34">
        <f>A271-365</f>
        <v>48513</v>
      </c>
      <c r="B270" s="33">
        <f>C25</f>
        <v>7.25</v>
      </c>
      <c r="C270" s="33">
        <f>A270-$D$5</f>
        <v>3315</v>
      </c>
      <c r="D270" s="32">
        <f>C270/365</f>
        <v>9.0821917808219172</v>
      </c>
      <c r="E270" s="32">
        <f>($B$30/100)+((($C$30+$D$30)/100)*(1-EXP(-D270/$E$30))/(D270/$E$30))-(($D$30/100)*(EXP(-D270/$E$30)))</f>
        <v>0.11270979621609589</v>
      </c>
      <c r="F270" s="32">
        <f>EXP(-E270*D270)</f>
        <v>0.35928045462986374</v>
      </c>
      <c r="G270" s="31">
        <f>B270*F270</f>
        <v>2.604783296066512</v>
      </c>
    </row>
    <row r="271" spans="1:7">
      <c r="A271" s="34">
        <f>A272-365</f>
        <v>48878</v>
      </c>
      <c r="B271" s="33">
        <f>C25</f>
        <v>7.25</v>
      </c>
      <c r="C271" s="33">
        <f>A271-$D$5</f>
        <v>3680</v>
      </c>
      <c r="D271" s="32">
        <f>C271/365</f>
        <v>10.082191780821917</v>
      </c>
      <c r="E271" s="32">
        <f>($B$30/100)+((($C$30+$D$30)/100)*(1-EXP(-D271/$E$30))/(D271/$E$30))-(($D$30/100)*(EXP(-D271/$E$30)))</f>
        <v>0.11299591500121559</v>
      </c>
      <c r="F271" s="32">
        <f>EXP(-E271*D271)</f>
        <v>0.32006010090615949</v>
      </c>
      <c r="G271" s="31">
        <f>B271*F271</f>
        <v>2.3204357315696562</v>
      </c>
    </row>
    <row r="272" spans="1:7">
      <c r="A272" s="34">
        <f>A273-365</f>
        <v>49243</v>
      </c>
      <c r="B272" s="33">
        <f>C25</f>
        <v>7.25</v>
      </c>
      <c r="C272" s="33">
        <f>A272-$D$5</f>
        <v>4045</v>
      </c>
      <c r="D272" s="32">
        <f>C272/365</f>
        <v>11.082191780821917</v>
      </c>
      <c r="E272" s="32">
        <f>($B$30/100)+((($C$30+$D$30)/100)*(1-EXP(-D272/$E$30))/(D272/$E$30))-(($D$30/100)*(EXP(-D272/$E$30)))</f>
        <v>0.1131493897918046</v>
      </c>
      <c r="F272" s="32">
        <f>EXP(-E272*D272)</f>
        <v>0.28537726490948517</v>
      </c>
      <c r="G272" s="31">
        <f>B272*F272</f>
        <v>2.0689851705937676</v>
      </c>
    </row>
    <row r="273" spans="1:7">
      <c r="A273" s="34">
        <f>A274-366</f>
        <v>49608</v>
      </c>
      <c r="B273" s="33">
        <f>C25</f>
        <v>7.25</v>
      </c>
      <c r="C273" s="33">
        <f>A273-$D$5</f>
        <v>4410</v>
      </c>
      <c r="D273" s="32">
        <f>C273/365</f>
        <v>12.082191780821917</v>
      </c>
      <c r="E273" s="32">
        <f>($B$30/100)+((($C$30+$D$30)/100)*(1-EXP(-D273/$E$30))/(D273/$E$30))-(($D$30/100)*(EXP(-D273/$E$30)))</f>
        <v>0.11320772349575466</v>
      </c>
      <c r="F273" s="32">
        <f>EXP(-E273*D273)</f>
        <v>0.25466726567845382</v>
      </c>
      <c r="G273" s="31">
        <f>B273*F273</f>
        <v>1.8463376761687902</v>
      </c>
    </row>
    <row r="274" spans="1:7">
      <c r="A274" s="34">
        <f>A275-365</f>
        <v>49974</v>
      </c>
      <c r="B274" s="33">
        <f>C25</f>
        <v>7.25</v>
      </c>
      <c r="C274" s="33">
        <f>A274-$D$5</f>
        <v>4776</v>
      </c>
      <c r="D274" s="32">
        <f>C274/365</f>
        <v>13.084931506849315</v>
      </c>
      <c r="E274" s="32">
        <f>($B$30/100)+((($C$30+$D$30)/100)*(1-EXP(-D274/$E$30))/(D274/$E$30))-(($D$30/100)*(EXP(-D274/$E$30)))</f>
        <v>0.11319870651787736</v>
      </c>
      <c r="F274" s="32">
        <f>EXP(-E274*D274)</f>
        <v>0.22736529599976338</v>
      </c>
      <c r="G274" s="31">
        <f>B274*F274</f>
        <v>1.6483983959982844</v>
      </c>
    </row>
    <row r="275" spans="1:7">
      <c r="A275" s="34">
        <f>A276-365</f>
        <v>50339</v>
      </c>
      <c r="B275" s="33">
        <f>C25</f>
        <v>7.25</v>
      </c>
      <c r="C275" s="33">
        <f>A275-$D$5</f>
        <v>5141</v>
      </c>
      <c r="D275" s="32">
        <f>C275/365</f>
        <v>14.084931506849315</v>
      </c>
      <c r="E275" s="32">
        <f>($B$30/100)+((($C$30+$D$30)/100)*(1-EXP(-D275/$E$30))/(D275/$E$30))-(($D$30/100)*(EXP(-D275/$E$30)))</f>
        <v>0.11314307815290499</v>
      </c>
      <c r="F275" s="32">
        <f>EXP(-E275*D275)</f>
        <v>0.20319025821999984</v>
      </c>
      <c r="G275" s="31">
        <f>B275*F275</f>
        <v>1.4731293720949987</v>
      </c>
    </row>
    <row r="276" spans="1:7">
      <c r="A276" s="34">
        <f>A277-365</f>
        <v>50704</v>
      </c>
      <c r="B276" s="33">
        <f>C25</f>
        <v>7.25</v>
      </c>
      <c r="C276" s="33">
        <f>A276-$D$5</f>
        <v>5506</v>
      </c>
      <c r="D276" s="32">
        <f>C276/365</f>
        <v>15.084931506849315</v>
      </c>
      <c r="E276" s="32">
        <f>($B$30/100)+((($C$30+$D$30)/100)*(1-EXP(-D276/$E$30))/(D276/$E$30))-(($D$30/100)*(EXP(-D276/$E$30)))</f>
        <v>0.1130560976156781</v>
      </c>
      <c r="F276" s="32">
        <f>EXP(-E276*D276)</f>
        <v>0.18169179000118499</v>
      </c>
      <c r="G276" s="31">
        <f>B276*F276</f>
        <v>1.3172654775085912</v>
      </c>
    </row>
    <row r="277" spans="1:7">
      <c r="A277" s="34">
        <f>A278-366</f>
        <v>51069</v>
      </c>
      <c r="B277" s="33">
        <f>B276</f>
        <v>7.25</v>
      </c>
      <c r="C277" s="33">
        <f>A277-$D$5</f>
        <v>5871</v>
      </c>
      <c r="D277" s="32">
        <f>C277/365</f>
        <v>16.084931506849315</v>
      </c>
      <c r="E277" s="32">
        <f>($B$30/100)+((($C$30+$D$30)/100)*(1-EXP(-D277/$E$30))/(D277/$E$30))-(($D$30/100)*(EXP(-D277/$E$30)))</f>
        <v>0.11294889628695791</v>
      </c>
      <c r="F277" s="32">
        <f>EXP(-E277*D277)</f>
        <v>0.16254908511952887</v>
      </c>
      <c r="G277" s="31">
        <f>B277*F277</f>
        <v>1.1784808671165843</v>
      </c>
    </row>
    <row r="278" spans="1:7">
      <c r="A278" s="34">
        <f>A279-365</f>
        <v>51435</v>
      </c>
      <c r="B278" s="33">
        <f>B277</f>
        <v>7.25</v>
      </c>
      <c r="C278" s="33">
        <f>A278-$D$5</f>
        <v>6237</v>
      </c>
      <c r="D278" s="32">
        <f>C278/365</f>
        <v>17.087671232876712</v>
      </c>
      <c r="E278" s="32">
        <f>($B$30/100)+((($C$30+$D$30)/100)*(1-EXP(-D278/$E$30))/(D278/$E$30))-(($D$30/100)*(EXP(-D278/$E$30)))</f>
        <v>0.11282922316273476</v>
      </c>
      <c r="F278" s="32">
        <f>EXP(-E278*D278)</f>
        <v>0.14544043307548263</v>
      </c>
      <c r="G278" s="31">
        <f>B278*F278</f>
        <v>1.0544431397972491</v>
      </c>
    </row>
    <row r="279" spans="1:7">
      <c r="A279" s="34">
        <f>A280-365</f>
        <v>51800</v>
      </c>
      <c r="B279" s="33">
        <f>B278</f>
        <v>7.25</v>
      </c>
      <c r="C279" s="33">
        <f>A279-$D$5</f>
        <v>6602</v>
      </c>
      <c r="D279" s="32">
        <f>C279/365</f>
        <v>18.087671232876712</v>
      </c>
      <c r="E279" s="32">
        <f>($B$30/100)+((($C$30+$D$30)/100)*(1-EXP(-D279/$E$30))/(D279/$E$30))-(($D$30/100)*(EXP(-D279/$E$30)))</f>
        <v>0.1127035595909496</v>
      </c>
      <c r="F279" s="32">
        <f>EXP(-E279*D279)</f>
        <v>0.13021804912594881</v>
      </c>
      <c r="G279" s="31">
        <f>B279*F279</f>
        <v>0.94408085616312887</v>
      </c>
    </row>
    <row r="280" spans="1:7">
      <c r="A280" s="34">
        <f>A281-365</f>
        <v>52165</v>
      </c>
      <c r="B280" s="33">
        <f>B279</f>
        <v>7.25</v>
      </c>
      <c r="C280" s="33">
        <f>A280-$D$5</f>
        <v>6967</v>
      </c>
      <c r="D280" s="32">
        <f>C280/365</f>
        <v>19.087671232876712</v>
      </c>
      <c r="E280" s="32">
        <f>($B$30/100)+((($C$30+$D$30)/100)*(1-EXP(-D280/$E$30))/(D280/$E$30))-(($D$30/100)*(EXP(-D280/$E$30)))</f>
        <v>0.11257571769594525</v>
      </c>
      <c r="F280" s="32">
        <f>EXP(-E280*D280)</f>
        <v>0.11662305606746654</v>
      </c>
      <c r="G280" s="31">
        <f>B280*F280</f>
        <v>0.84551715648913239</v>
      </c>
    </row>
    <row r="281" spans="1:7">
      <c r="A281" s="34">
        <f>A282-366</f>
        <v>52530</v>
      </c>
      <c r="B281" s="33">
        <f>B280</f>
        <v>7.25</v>
      </c>
      <c r="C281" s="33">
        <f>A281-$D$5</f>
        <v>7332</v>
      </c>
      <c r="D281" s="32">
        <f>C281/365</f>
        <v>20.087671232876712</v>
      </c>
      <c r="E281" s="32">
        <f>($B$30/100)+((($C$30+$D$30)/100)*(1-EXP(-D281/$E$30))/(D281/$E$30))-(($D$30/100)*(EXP(-D281/$E$30)))</f>
        <v>0.11244857555732243</v>
      </c>
      <c r="F281" s="32">
        <f>EXP(-E281*D281)</f>
        <v>0.10447264455904653</v>
      </c>
      <c r="G281" s="31">
        <f>B281*F281</f>
        <v>0.75742667305308742</v>
      </c>
    </row>
    <row r="282" spans="1:7">
      <c r="A282" s="34">
        <f>A283-365</f>
        <v>52896</v>
      </c>
      <c r="B282" s="33">
        <f>B281</f>
        <v>7.25</v>
      </c>
      <c r="C282" s="33">
        <f>A282-$D$5</f>
        <v>7698</v>
      </c>
      <c r="D282" s="32">
        <f>C282/365</f>
        <v>21.090410958904108</v>
      </c>
      <c r="E282" s="32">
        <f>($B$30/100)+((($C$30+$D$30)/100)*(1-EXP(-D282/$E$30))/(D282/$E$30))-(($D$30/100)*(EXP(-D282/$E$30)))</f>
        <v>0.11232375649668735</v>
      </c>
      <c r="F282" s="32">
        <f>EXP(-E282*D282)</f>
        <v>9.3578540966389387E-2</v>
      </c>
      <c r="G282" s="31">
        <f>B282*F282</f>
        <v>0.67844442200632304</v>
      </c>
    </row>
    <row r="283" spans="1:7">
      <c r="A283" s="34">
        <f>A284-365</f>
        <v>53261</v>
      </c>
      <c r="B283" s="33">
        <f>B282</f>
        <v>7.25</v>
      </c>
      <c r="C283" s="33">
        <f>A283-$D$5</f>
        <v>8063</v>
      </c>
      <c r="D283" s="32">
        <f>C283/365</f>
        <v>22.090410958904108</v>
      </c>
      <c r="E283" s="32">
        <f>($B$30/100)+((($C$30+$D$30)/100)*(1-EXP(-D283/$E$30))/(D283/$E$30))-(($D$30/100)*(EXP(-D283/$E$30)))</f>
        <v>0.11220323183991567</v>
      </c>
      <c r="F283" s="32">
        <f>EXP(-E283*D283)</f>
        <v>8.3859248196674438E-2</v>
      </c>
      <c r="G283" s="31">
        <f>B283*F283</f>
        <v>0.60797954942588972</v>
      </c>
    </row>
    <row r="284" spans="1:7">
      <c r="A284" s="34">
        <f>A285-365</f>
        <v>53626</v>
      </c>
      <c r="B284" s="33">
        <f>B283</f>
        <v>7.25</v>
      </c>
      <c r="C284" s="33">
        <f>A284-$D$5</f>
        <v>8428</v>
      </c>
      <c r="D284" s="32">
        <f>C284/365</f>
        <v>23.090410958904108</v>
      </c>
      <c r="E284" s="32">
        <f>($B$30/100)+((($C$30+$D$30)/100)*(1-EXP(-D284/$E$30))/(D284/$E$30))-(($D$30/100)*(EXP(-D284/$E$30)))</f>
        <v>0.11208745375208232</v>
      </c>
      <c r="F284" s="32">
        <f>EXP(-E284*D284)</f>
        <v>7.5159303567970848E-2</v>
      </c>
      <c r="G284" s="31">
        <f>B284*F284</f>
        <v>0.54490495086778867</v>
      </c>
    </row>
    <row r="285" spans="1:7">
      <c r="A285" s="34">
        <f>A286-366</f>
        <v>53991</v>
      </c>
      <c r="B285" s="33">
        <f>B284</f>
        <v>7.25</v>
      </c>
      <c r="C285" s="33">
        <f>A285-$D$5</f>
        <v>8793</v>
      </c>
      <c r="D285" s="32">
        <f>C285/365</f>
        <v>24.090410958904108</v>
      </c>
      <c r="E285" s="32">
        <f>($B$30/100)+((($C$30+$D$30)/100)*(1-EXP(-D285/$E$30))/(D285/$E$30))-(($D$30/100)*(EXP(-D285/$E$30)))</f>
        <v>0.11197686884905549</v>
      </c>
      <c r="F285" s="32">
        <f>EXP(-E285*D285)</f>
        <v>6.736910233741436E-2</v>
      </c>
      <c r="G285" s="31">
        <f>B285*F285</f>
        <v>0.48842599194625413</v>
      </c>
    </row>
    <row r="286" spans="1:7">
      <c r="A286" s="34">
        <f>A287-365</f>
        <v>54357</v>
      </c>
      <c r="B286" s="33">
        <f>B285</f>
        <v>7.25</v>
      </c>
      <c r="C286" s="33">
        <f>A286-$D$5</f>
        <v>9159</v>
      </c>
      <c r="D286" s="32">
        <f>C286/365</f>
        <v>25.093150684931508</v>
      </c>
      <c r="E286" s="32">
        <f>($B$30/100)+((($C$30+$D$30)/100)*(1-EXP(-D286/$E$30))/(D286/$E$30))-(($D$30/100)*(EXP(-D286/$E$30)))</f>
        <v>0.11187139371402935</v>
      </c>
      <c r="F286" s="32">
        <f>EXP(-E286*D286)</f>
        <v>6.0373456062542956E-2</v>
      </c>
      <c r="G286" s="31">
        <f>B286*F286</f>
        <v>0.43770755645343645</v>
      </c>
    </row>
    <row r="287" spans="1:7">
      <c r="A287" s="34">
        <f>A288-365</f>
        <v>54722</v>
      </c>
      <c r="B287" s="33">
        <f>B286</f>
        <v>7.25</v>
      </c>
      <c r="C287" s="33">
        <f>A287-$D$5</f>
        <v>9524</v>
      </c>
      <c r="D287" s="32">
        <f>C287/365</f>
        <v>26.093150684931508</v>
      </c>
      <c r="E287" s="32">
        <f>($B$30/100)+((($C$30+$D$30)/100)*(1-EXP(-D287/$E$30))/(D287/$E$30))-(($D$30/100)*(EXP(-D287/$E$30)))</f>
        <v>0.11177162777907546</v>
      </c>
      <c r="F287" s="32">
        <f>EXP(-E287*D287)</f>
        <v>5.4124197154673925E-2</v>
      </c>
      <c r="G287" s="31">
        <f>B287*F287</f>
        <v>0.39240042937138597</v>
      </c>
    </row>
    <row r="288" spans="1:7" ht="13.5" thickBot="1">
      <c r="A288" s="30">
        <f>B25</f>
        <v>55087</v>
      </c>
      <c r="B288" s="29">
        <f>B287+100</f>
        <v>107.25</v>
      </c>
      <c r="C288" s="29">
        <f>A288-$D$5</f>
        <v>9889</v>
      </c>
      <c r="D288" s="28">
        <f>C288/365</f>
        <v>27.093150684931508</v>
      </c>
      <c r="E288" s="28">
        <f>($B$30/100)+((($C$30+$D$30)/100)*(1-EXP(-D288/$E$30))/(D288/$E$30))-(($D$30/100)*(EXP(-D288/$E$30)))</f>
        <v>0.11167717949501935</v>
      </c>
      <c r="F288" s="28">
        <f>EXP(-E288*D288)</f>
        <v>4.8524490383438562E-2</v>
      </c>
      <c r="G288" s="27">
        <f>B288*F288</f>
        <v>5.2042515936237859</v>
      </c>
    </row>
    <row r="289" spans="1:19" ht="14.25" thickTop="1" thickBot="1">
      <c r="F289" s="26" t="s">
        <v>8</v>
      </c>
      <c r="G289" s="25">
        <f>SUM(G261:G288)</f>
        <v>62.908452691060937</v>
      </c>
    </row>
    <row r="290" spans="1:19" ht="13.5" thickTop="1"/>
    <row r="291" spans="1:19" ht="13.5" thickBot="1"/>
    <row r="292" spans="1:19" ht="18.75" thickBot="1">
      <c r="A292" s="24" t="s">
        <v>7</v>
      </c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2"/>
    </row>
    <row r="293" spans="1:19">
      <c r="A293" s="2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19"/>
    </row>
    <row r="294" spans="1:19">
      <c r="A294" s="9" t="s">
        <v>6</v>
      </c>
      <c r="B294" s="18">
        <f>B8</f>
        <v>45265</v>
      </c>
      <c r="C294" s="18">
        <f>B9</f>
        <v>45356</v>
      </c>
      <c r="D294" s="18">
        <f>B10</f>
        <v>45448</v>
      </c>
      <c r="E294" s="18">
        <f>B11</f>
        <v>45539</v>
      </c>
      <c r="F294" s="18">
        <f>B12</f>
        <v>45497</v>
      </c>
      <c r="G294" s="18">
        <f>B13</f>
        <v>45987</v>
      </c>
      <c r="H294" s="18">
        <f>B14</f>
        <v>46260</v>
      </c>
      <c r="I294" s="18">
        <f>B15</f>
        <v>46694</v>
      </c>
      <c r="J294" s="18">
        <f>B16</f>
        <v>46871</v>
      </c>
      <c r="K294" s="18">
        <f>B17</f>
        <v>47744</v>
      </c>
      <c r="L294" s="18">
        <f>B18</f>
        <v>47933</v>
      </c>
      <c r="M294" s="18">
        <f>B19</f>
        <v>47933</v>
      </c>
      <c r="N294" s="18">
        <f>B20</f>
        <v>48395</v>
      </c>
      <c r="O294" s="18">
        <f>B21</f>
        <v>48619</v>
      </c>
      <c r="P294" s="18">
        <f>B22</f>
        <v>49235</v>
      </c>
      <c r="Q294" s="18">
        <f>B23</f>
        <v>49865</v>
      </c>
      <c r="R294" s="18">
        <f>B24</f>
        <v>52014</v>
      </c>
      <c r="S294" s="17">
        <f>B25</f>
        <v>55087</v>
      </c>
    </row>
    <row r="295" spans="1:19">
      <c r="A295" s="9" t="s">
        <v>5</v>
      </c>
      <c r="B295" s="16">
        <f>E8</f>
        <v>97.846000000000004</v>
      </c>
      <c r="C295" s="16">
        <f>E9</f>
        <v>95.468000000000004</v>
      </c>
      <c r="D295" s="16">
        <f>E10</f>
        <v>92.356999999999999</v>
      </c>
      <c r="E295" s="16">
        <f>E11</f>
        <v>90.183000000000007</v>
      </c>
      <c r="F295" s="16">
        <f>E12</f>
        <v>102.4812191780822</v>
      </c>
      <c r="G295" s="16">
        <f>E13</f>
        <v>96.958726027397262</v>
      </c>
      <c r="H295" s="16">
        <f>E14</f>
        <v>92.085082191780813</v>
      </c>
      <c r="I295" s="16">
        <f>E15</f>
        <v>87.651876712328757</v>
      </c>
      <c r="J295" s="16">
        <f>E16</f>
        <v>84.012630136986303</v>
      </c>
      <c r="K295" s="16">
        <f>E17</f>
        <v>82.675095890410958</v>
      </c>
      <c r="L295" s="16">
        <f>E18</f>
        <v>80.741945205479453</v>
      </c>
      <c r="M295" s="16">
        <f>E19</f>
        <v>80.376945205479444</v>
      </c>
      <c r="N295" s="16">
        <f>E20</f>
        <v>75.551671232876714</v>
      </c>
      <c r="O295" s="16">
        <f>E21</f>
        <v>113.64401369863015</v>
      </c>
      <c r="P295" s="16">
        <f>E22</f>
        <v>77.399013698630142</v>
      </c>
      <c r="Q295" s="16">
        <f>E23</f>
        <v>63.502616438356164</v>
      </c>
      <c r="R295" s="16">
        <f>E24</f>
        <v>80.066753424657534</v>
      </c>
      <c r="S295" s="15">
        <f>E25</f>
        <v>66.99365753424658</v>
      </c>
    </row>
    <row r="296" spans="1:19">
      <c r="A296" s="9" t="s">
        <v>4</v>
      </c>
      <c r="B296" s="14">
        <f>C8</f>
        <v>0</v>
      </c>
      <c r="C296" s="14">
        <f>C9</f>
        <v>0</v>
      </c>
      <c r="D296" s="14">
        <f>C10</f>
        <v>0</v>
      </c>
      <c r="E296" s="14">
        <f>C11</f>
        <v>0</v>
      </c>
      <c r="F296" s="14">
        <f>C12</f>
        <v>10</v>
      </c>
      <c r="G296" s="14">
        <f>C13</f>
        <v>6.25</v>
      </c>
      <c r="H296" s="14">
        <f>C14</f>
        <v>7.5</v>
      </c>
      <c r="I296" s="14">
        <f>C15</f>
        <v>5.75</v>
      </c>
      <c r="J296" s="14">
        <f>C16</f>
        <v>6</v>
      </c>
      <c r="K296" s="14">
        <f>C17</f>
        <v>7.75</v>
      </c>
      <c r="L296" s="14">
        <f>C18</f>
        <v>7</v>
      </c>
      <c r="M296" s="14">
        <f>C19</f>
        <v>7</v>
      </c>
      <c r="N296" s="14">
        <f>C20</f>
        <v>7</v>
      </c>
      <c r="O296" s="14">
        <f>C21</f>
        <v>13.25</v>
      </c>
      <c r="P296" s="14">
        <f>C22</f>
        <v>7.25</v>
      </c>
      <c r="Q296" s="14">
        <f>C23</f>
        <v>6.25</v>
      </c>
      <c r="R296" s="14">
        <f>C24</f>
        <v>9.25</v>
      </c>
      <c r="S296" s="13">
        <f>C25</f>
        <v>7.25</v>
      </c>
    </row>
    <row r="297" spans="1:19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0"/>
    </row>
    <row r="298" spans="1:19">
      <c r="A298" s="9" t="s">
        <v>3</v>
      </c>
      <c r="B298" s="11">
        <f>G36</f>
        <v>98.40462597935246</v>
      </c>
      <c r="C298" s="11">
        <f>G41</f>
        <v>96.194207697835012</v>
      </c>
      <c r="D298" s="11">
        <f>G46</f>
        <v>93.923157742191862</v>
      </c>
      <c r="E298" s="11">
        <f>G52</f>
        <v>91.654964151530223</v>
      </c>
      <c r="F298" s="11">
        <f>G59</f>
        <v>102.00149572924494</v>
      </c>
      <c r="G298" s="11">
        <f>G67</f>
        <v>97.329101297102937</v>
      </c>
      <c r="H298" s="11">
        <f>G75</f>
        <v>92.736575910646465</v>
      </c>
      <c r="I298" s="11">
        <f>G85</f>
        <v>82.308615290817286</v>
      </c>
      <c r="J298" s="11">
        <f>G96</f>
        <v>84.231165162253689</v>
      </c>
      <c r="K298" s="11">
        <f>G109</f>
        <v>82.271981661188988</v>
      </c>
      <c r="L298" s="11">
        <f>G123</f>
        <v>80.873923705162696</v>
      </c>
      <c r="M298" s="11">
        <f>G139</f>
        <v>80.873923705162696</v>
      </c>
      <c r="N298" s="11">
        <f>G157</f>
        <v>76.45381350636201</v>
      </c>
      <c r="O298" s="11">
        <f>G175</f>
        <v>116.70562562066547</v>
      </c>
      <c r="P298" s="11">
        <f>G199</f>
        <v>72.206625828299693</v>
      </c>
      <c r="Q298" s="11">
        <f>G232</f>
        <v>65.407434325288961</v>
      </c>
      <c r="R298" s="11">
        <f>G257</f>
        <v>84.11344009373812</v>
      </c>
      <c r="S298" s="10">
        <f>G289</f>
        <v>62.908452691060937</v>
      </c>
    </row>
    <row r="299" spans="1:19">
      <c r="A299" s="9" t="s">
        <v>2</v>
      </c>
      <c r="B299" s="8">
        <f>B295-B298</f>
        <v>-0.55862597935245617</v>
      </c>
      <c r="C299" s="8">
        <f>C295-C298</f>
        <v>-0.72620769783500805</v>
      </c>
      <c r="D299" s="8">
        <f>D295-D298</f>
        <v>-1.5661577421918622</v>
      </c>
      <c r="E299" s="8">
        <f>E295-E298</f>
        <v>-1.4719641515302158</v>
      </c>
      <c r="F299" s="8">
        <f>F295-F298</f>
        <v>0.47972344883726237</v>
      </c>
      <c r="G299" s="8">
        <f>G295-G298</f>
        <v>-0.37037526970567569</v>
      </c>
      <c r="H299" s="8">
        <f>H295-H298</f>
        <v>-0.65149371886565177</v>
      </c>
      <c r="I299" s="8">
        <f>I295-I298</f>
        <v>5.3432614215114711</v>
      </c>
      <c r="J299" s="8">
        <f>J295-J298</f>
        <v>-0.21853502526738566</v>
      </c>
      <c r="K299" s="8">
        <f>K295-K298</f>
        <v>0.40311422922196982</v>
      </c>
      <c r="L299" s="8">
        <f>L295-L298</f>
        <v>-0.13197849968324249</v>
      </c>
      <c r="M299" s="8">
        <f>M295-M298</f>
        <v>-0.49697849968325158</v>
      </c>
      <c r="N299" s="8">
        <f>N295-N298</f>
        <v>-0.90214227348529619</v>
      </c>
      <c r="O299" s="8">
        <f>O295-O298</f>
        <v>-3.0616119220353255</v>
      </c>
      <c r="P299" s="8">
        <f>P295-P298</f>
        <v>5.1923878703304496</v>
      </c>
      <c r="Q299" s="8">
        <f>Q295-Q298</f>
        <v>-1.904817886932797</v>
      </c>
      <c r="R299" s="8">
        <f>R295-R298</f>
        <v>-4.0466866690805858</v>
      </c>
      <c r="S299" s="7">
        <f>S295-S298</f>
        <v>4.0852048431856431</v>
      </c>
    </row>
    <row r="300" spans="1:19" ht="15" thickBot="1">
      <c r="A300" s="6" t="s">
        <v>1</v>
      </c>
      <c r="B300" s="5">
        <f>B299^2</f>
        <v>0.31206298480749078</v>
      </c>
      <c r="C300" s="5">
        <f>C299^2</f>
        <v>0.52737762039482239</v>
      </c>
      <c r="D300" s="5">
        <f>D299^2</f>
        <v>2.4528500734275114</v>
      </c>
      <c r="E300" s="5">
        <f>E299^2</f>
        <v>2.1666784633900682</v>
      </c>
      <c r="F300" s="5">
        <f>F299^2</f>
        <v>0.23013458736431749</v>
      </c>
      <c r="G300" s="5">
        <f>G299^2</f>
        <v>0.137177840409552</v>
      </c>
      <c r="H300" s="5">
        <f>H299^2</f>
        <v>0.42444406572139692</v>
      </c>
      <c r="I300" s="5">
        <f>I299^2</f>
        <v>28.550442618612788</v>
      </c>
      <c r="J300" s="5">
        <f>J299^2</f>
        <v>4.7757557268616892E-2</v>
      </c>
      <c r="K300" s="5">
        <f>K299^2</f>
        <v>0.16250108180122283</v>
      </c>
      <c r="L300" s="5">
        <f>L299^2</f>
        <v>1.7418324378639639E-2</v>
      </c>
      <c r="M300" s="5">
        <f>M299^2</f>
        <v>0.2469876291474157</v>
      </c>
      <c r="N300" s="5">
        <f>N299^2</f>
        <v>0.81386068160921898</v>
      </c>
      <c r="O300" s="5">
        <f>O299^2</f>
        <v>9.3734675611488409</v>
      </c>
      <c r="P300" s="5">
        <f>P299^2</f>
        <v>26.960891795954783</v>
      </c>
      <c r="Q300" s="5">
        <f>Q299^2</f>
        <v>3.6283311823791258</v>
      </c>
      <c r="R300" s="5">
        <f>R299^2</f>
        <v>16.375672997714528</v>
      </c>
      <c r="S300" s="4">
        <f>S299^2</f>
        <v>16.688898610787437</v>
      </c>
    </row>
    <row r="303" spans="1:19" ht="18.75" thickBot="1">
      <c r="A303" s="3" t="s">
        <v>0</v>
      </c>
    </row>
    <row r="304" spans="1:19" ht="13.5" thickBot="1">
      <c r="A304" s="2">
        <f>SUM(B300:S300)</f>
        <v>109.11695567631777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E7EC-C603-4CC8-94D6-EEEB2CDBDFF4}">
  <dimension ref="B2:N10"/>
  <sheetViews>
    <sheetView workbookViewId="0">
      <selection activeCell="F23" sqref="F23"/>
    </sheetView>
  </sheetViews>
  <sheetFormatPr baseColWidth="10" defaultRowHeight="12.75"/>
  <cols>
    <col min="1" max="16384" width="11.42578125" style="1"/>
  </cols>
  <sheetData>
    <row r="2" spans="2:14">
      <c r="B2" s="71" t="s">
        <v>28</v>
      </c>
      <c r="C2" s="71" t="s">
        <v>4</v>
      </c>
      <c r="D2" s="71" t="s">
        <v>29</v>
      </c>
      <c r="E2" s="71" t="s">
        <v>52</v>
      </c>
      <c r="F2" s="71" t="s">
        <v>30</v>
      </c>
      <c r="G2" s="105" t="s">
        <v>53</v>
      </c>
    </row>
    <row r="3" spans="2:14" ht="15">
      <c r="B3" s="71">
        <v>10</v>
      </c>
      <c r="C3" s="71">
        <v>8</v>
      </c>
      <c r="D3" s="71">
        <v>86.41</v>
      </c>
      <c r="E3" s="103">
        <v>0.23297263184423267</v>
      </c>
      <c r="F3" s="71">
        <v>7.07</v>
      </c>
      <c r="G3" s="107">
        <v>55.646380362589397</v>
      </c>
      <c r="J3"/>
      <c r="K3"/>
      <c r="L3" s="108"/>
      <c r="M3"/>
      <c r="N3"/>
    </row>
    <row r="4" spans="2:14">
      <c r="B4" s="71">
        <v>30</v>
      </c>
      <c r="C4" s="71">
        <v>6</v>
      </c>
      <c r="D4" s="71">
        <v>100</v>
      </c>
      <c r="E4" s="103">
        <v>-0.1555007767292394</v>
      </c>
      <c r="F4" s="71">
        <v>13.84</v>
      </c>
      <c r="G4" s="106">
        <v>69.674964768905411</v>
      </c>
    </row>
    <row r="5" spans="2:14">
      <c r="B5" s="71">
        <v>1</v>
      </c>
      <c r="C5" s="71">
        <v>0</v>
      </c>
      <c r="D5" s="71">
        <v>88.495599999999996</v>
      </c>
      <c r="E5" s="103">
        <v>1.0782334099691249</v>
      </c>
      <c r="F5" s="71">
        <v>0.88500000000000001</v>
      </c>
      <c r="G5" s="106">
        <v>1.5663</v>
      </c>
    </row>
    <row r="6" spans="2:14">
      <c r="B6" s="71">
        <v>20</v>
      </c>
      <c r="C6" s="71">
        <v>6</v>
      </c>
      <c r="D6" s="71">
        <v>100</v>
      </c>
      <c r="E6" s="104"/>
      <c r="F6" s="71">
        <v>11.56</v>
      </c>
      <c r="G6" s="106">
        <v>186.22710547036095</v>
      </c>
    </row>
    <row r="8" spans="2:14">
      <c r="C8" s="1">
        <f>D3*E3+D5*E5+D4*E4</f>
        <v>99.999999999999886</v>
      </c>
      <c r="D8" s="1" t="s">
        <v>54</v>
      </c>
    </row>
    <row r="9" spans="2:14">
      <c r="C9" s="1">
        <f>F3*D3*E3+F4*E4*D4+F5*E5*D5</f>
        <v>11.55999999999824</v>
      </c>
      <c r="D9" s="1" t="s">
        <v>56</v>
      </c>
    </row>
    <row r="10" spans="2:14">
      <c r="C10" s="1">
        <f>G3*E3*D3+G5*E5*D5+G4*E4*D4</f>
        <v>186.22999999999956</v>
      </c>
      <c r="D10" s="1" t="s">
        <v>55</v>
      </c>
    </row>
  </sheetData>
  <pageMargins left="0.7" right="0.7" top="0.75" bottom="0.75" header="0.3" footer="0.3"/>
  <ignoredErrors>
    <ignoredError sqref="G3:G6" calculatedColumn="1"/>
  </ignoredErrors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CBC2-B24B-46DC-8DF0-27700F769EAF}">
  <dimension ref="A1:AO111"/>
  <sheetViews>
    <sheetView tabSelected="1" zoomScale="130" zoomScaleNormal="130" workbookViewId="0">
      <selection activeCell="M17" sqref="M17"/>
    </sheetView>
  </sheetViews>
  <sheetFormatPr baseColWidth="10" defaultColWidth="8.7109375" defaultRowHeight="12.75"/>
  <cols>
    <col min="1" max="1" width="26.7109375" style="72" customWidth="1"/>
    <col min="2" max="4" width="11.42578125" style="72" customWidth="1"/>
    <col min="5" max="5" width="13.28515625" style="72" customWidth="1"/>
    <col min="6" max="200" width="11.42578125" style="72" customWidth="1"/>
    <col min="201" max="16384" width="8.7109375" style="72"/>
  </cols>
  <sheetData>
    <row r="1" spans="1:41" ht="13.5" thickBot="1"/>
    <row r="2" spans="1:41" ht="13.5" thickBot="1">
      <c r="A2" s="73" t="s">
        <v>31</v>
      </c>
      <c r="B2" s="74">
        <v>100</v>
      </c>
      <c r="E2" s="75" t="s">
        <v>32</v>
      </c>
      <c r="F2" s="76">
        <v>114.72017410282933</v>
      </c>
    </row>
    <row r="3" spans="1:41" ht="13.5" thickBot="1">
      <c r="E3" s="75" t="s">
        <v>33</v>
      </c>
      <c r="F3" s="76">
        <v>7.4450204680594156</v>
      </c>
    </row>
    <row r="4" spans="1:41" ht="13.5" thickBot="1">
      <c r="A4" s="73" t="s">
        <v>34</v>
      </c>
      <c r="B4" s="77">
        <v>0.08</v>
      </c>
      <c r="E4" s="75" t="s">
        <v>35</v>
      </c>
      <c r="F4" s="76">
        <v>107.02358154093258</v>
      </c>
    </row>
    <row r="5" spans="1:41" ht="13.5" thickBot="1">
      <c r="B5" s="72" t="s">
        <v>36</v>
      </c>
      <c r="E5" s="75" t="s">
        <v>37</v>
      </c>
      <c r="F5" s="72">
        <v>106.66268311891514</v>
      </c>
    </row>
    <row r="6" spans="1:41" ht="13.5" thickBot="1">
      <c r="A6" s="78" t="str">
        <f>VLOOKUP(B8,A109:B111,2)</f>
        <v>TIR anual</v>
      </c>
      <c r="B6" s="79">
        <v>0.06</v>
      </c>
    </row>
    <row r="7" spans="1:41" ht="13.5" thickBot="1">
      <c r="E7" s="80" t="s">
        <v>38</v>
      </c>
      <c r="F7" s="72">
        <f>0.01*B28*-B22</f>
        <v>-8.0574909839141888</v>
      </c>
      <c r="H7" s="76"/>
    </row>
    <row r="8" spans="1:41" ht="13.15" customHeight="1" thickBot="1">
      <c r="A8" s="81" t="s">
        <v>39</v>
      </c>
      <c r="B8" s="82">
        <v>1</v>
      </c>
      <c r="E8" s="72" t="s">
        <v>40</v>
      </c>
      <c r="F8" s="76">
        <f>B22+F7</f>
        <v>106.66268311891514</v>
      </c>
    </row>
    <row r="9" spans="1:41" ht="13.5" thickBot="1"/>
    <row r="10" spans="1:41" ht="13.5" thickBot="1">
      <c r="A10" s="73" t="s">
        <v>41</v>
      </c>
      <c r="B10" s="83">
        <v>10</v>
      </c>
    </row>
    <row r="12" spans="1:41" ht="13.5" thickBot="1"/>
    <row r="13" spans="1:41" ht="13.5" thickBot="1">
      <c r="B13" s="84">
        <v>1</v>
      </c>
      <c r="C13" s="84">
        <v>2</v>
      </c>
      <c r="D13" s="84">
        <v>3</v>
      </c>
      <c r="E13" s="84">
        <v>4</v>
      </c>
      <c r="F13" s="84">
        <v>5</v>
      </c>
      <c r="G13" s="84">
        <v>6</v>
      </c>
      <c r="H13" s="84">
        <v>7</v>
      </c>
      <c r="I13" s="84">
        <v>8</v>
      </c>
      <c r="J13" s="84">
        <v>9</v>
      </c>
      <c r="K13" s="84">
        <v>10</v>
      </c>
      <c r="L13" s="84">
        <v>11</v>
      </c>
      <c r="M13" s="84">
        <v>12</v>
      </c>
      <c r="N13" s="84">
        <v>13</v>
      </c>
      <c r="O13" s="84">
        <v>14</v>
      </c>
      <c r="P13" s="84">
        <v>15</v>
      </c>
      <c r="Q13" s="84">
        <v>16</v>
      </c>
      <c r="R13" s="84">
        <v>17</v>
      </c>
      <c r="S13" s="84">
        <v>18</v>
      </c>
      <c r="T13" s="84">
        <v>19</v>
      </c>
      <c r="U13" s="84">
        <v>20</v>
      </c>
      <c r="V13" s="84">
        <v>21</v>
      </c>
      <c r="W13" s="84">
        <v>22</v>
      </c>
      <c r="X13" s="84">
        <v>23</v>
      </c>
      <c r="Y13" s="84">
        <v>24</v>
      </c>
      <c r="Z13" s="84">
        <v>25</v>
      </c>
      <c r="AA13" s="84">
        <v>26</v>
      </c>
      <c r="AB13" s="84">
        <v>27</v>
      </c>
      <c r="AC13" s="84">
        <v>28</v>
      </c>
      <c r="AD13" s="84">
        <v>29</v>
      </c>
      <c r="AE13" s="84">
        <v>30</v>
      </c>
      <c r="AF13" s="84">
        <v>31</v>
      </c>
      <c r="AG13" s="84">
        <v>32</v>
      </c>
      <c r="AH13" s="84">
        <v>33</v>
      </c>
      <c r="AI13" s="84">
        <v>34</v>
      </c>
      <c r="AJ13" s="84">
        <v>35</v>
      </c>
      <c r="AK13" s="84">
        <v>36</v>
      </c>
      <c r="AL13" s="84">
        <v>37</v>
      </c>
      <c r="AM13" s="84">
        <v>38</v>
      </c>
      <c r="AN13" s="84">
        <v>39</v>
      </c>
      <c r="AO13" s="84">
        <v>40</v>
      </c>
    </row>
    <row r="14" spans="1:41" ht="13.5" thickBot="1"/>
    <row r="15" spans="1:41" ht="13.5" thickBot="1">
      <c r="A15" s="85" t="s">
        <v>42</v>
      </c>
      <c r="B15" s="86">
        <f>IF($B$10*$B$8&gt;B13,$B$4*$B$2/$B$8,IF($B$10*$B$8=B13,$B$4*$B$2/$B$8+$B$2,0))</f>
        <v>8</v>
      </c>
      <c r="C15" s="87">
        <f>IF($B$10*$B$8&gt;C13,$B$4*$B$2/$B$8,IF($B$10*$B$8=C13,$B$4*$B$2/$B$8+$B$2,0))</f>
        <v>8</v>
      </c>
      <c r="D15" s="87">
        <f>IF($B$10*$B$8&gt;D13,$B$4*$B$2/$B$8,IF($B$10*$B$8=D13,$B$4*$B$2/$B$8+$B$2,0))</f>
        <v>8</v>
      </c>
      <c r="E15" s="87">
        <f>IF($B$10*$B$8&gt;E13,$B$4*$B$2/$B$8,IF($B$10*$B$8=E13,$B$4*$B$2/$B$8+$B$2,0))</f>
        <v>8</v>
      </c>
      <c r="F15" s="87">
        <f>IF($B$10*$B$8&gt;F13,$B$4*$B$2/$B$8,IF($B$10*$B$8=F13,$B$4*$B$2/$B$8+$B$2,0))</f>
        <v>8</v>
      </c>
      <c r="G15" s="87">
        <f>IF($B$10*$B$8&gt;G13,$B$4*$B$2/$B$8,IF($B$10*$B$8=G13,$B$4*$B$2/$B$8+$B$2,0))</f>
        <v>8</v>
      </c>
      <c r="H15" s="87">
        <f>IF($B$10*$B$8&gt;H13,$B$4*$B$2/$B$8,IF($B$10*$B$8=H13,$B$4*$B$2/$B$8+$B$2,0))</f>
        <v>8</v>
      </c>
      <c r="I15" s="87">
        <f>IF($B$10*$B$8&gt;I13,$B$4*$B$2/$B$8,IF($B$10*$B$8=I13,$B$4*$B$2/$B$8+$B$2,0))</f>
        <v>8</v>
      </c>
      <c r="J15" s="87">
        <f>IF($B$10*$B$8&gt;J13,$B$4*$B$2/$B$8,IF($B$10*$B$8=J13,$B$4*$B$2/$B$8+$B$2,0))</f>
        <v>8</v>
      </c>
      <c r="K15" s="87">
        <f>IF($B$10*$B$8&gt;K13,$B$4*$B$2/$B$8,IF($B$10*$B$8=K13,$B$4*$B$2/$B$8+$B$2,0))</f>
        <v>108</v>
      </c>
      <c r="L15" s="87">
        <f>IF($B$10*$B$8&gt;L13,$B$4*$B$2/$B$8,IF($B$10*$B$8=L13,$B$4*$B$2/$B$8+$B$2,0))</f>
        <v>0</v>
      </c>
      <c r="M15" s="87">
        <f>IF($B$10*$B$8&gt;M13,$B$4*$B$2/$B$8,IF($B$10*$B$8=M13,$B$4*$B$2/$B$8+$B$2,0))</f>
        <v>0</v>
      </c>
      <c r="N15" s="87">
        <f>IF($B$10*$B$8&gt;N13,$B$4*$B$2/$B$8,IF($B$10*$B$8=N13,$B$4*$B$2/$B$8+$B$2,0))</f>
        <v>0</v>
      </c>
      <c r="O15" s="87">
        <f>IF($B$10*$B$8&gt;O13,$B$4*$B$2/$B$8,IF($B$10*$B$8=O13,$B$4*$B$2/$B$8+$B$2,0))</f>
        <v>0</v>
      </c>
      <c r="P15" s="87">
        <f>IF($B$10*$B$8&gt;P13,$B$4*$B$2/$B$8,IF($B$10*$B$8=P13,$B$4*$B$2/$B$8+$B$2,0))</f>
        <v>0</v>
      </c>
      <c r="Q15" s="87">
        <f>IF($B$10*$B$8&gt;Q13,$B$4*$B$2/$B$8,IF($B$10*$B$8=Q13,$B$4*$B$2/$B$8+$B$2,0))</f>
        <v>0</v>
      </c>
      <c r="R15" s="87">
        <f>IF($B$10*$B$8&gt;R13,$B$4*$B$2/$B$8,IF($B$10*$B$8=R13,$B$4*$B$2/$B$8+$B$2,0))</f>
        <v>0</v>
      </c>
      <c r="S15" s="87">
        <f>IF($B$10*$B$8&gt;S13,$B$4*$B$2/$B$8,IF($B$10*$B$8=S13,$B$4*$B$2/$B$8+$B$2,0))</f>
        <v>0</v>
      </c>
      <c r="T15" s="87">
        <f>IF($B$10*$B$8&gt;T13,$B$4*$B$2/$B$8,IF($B$10*$B$8=T13,$B$4*$B$2/$B$8+$B$2,0))</f>
        <v>0</v>
      </c>
      <c r="U15" s="87">
        <f>IF($B$10*$B$8&gt;U13,$B$4*$B$2/$B$8,IF($B$10*$B$8=U13,$B$4*$B$2/$B$8+$B$2,0))</f>
        <v>0</v>
      </c>
      <c r="V15" s="87">
        <f>IF($B$10*$B$8&gt;V13,$B$4*$B$2/$B$8,IF($B$10*$B$8=V13,$B$4*$B$2/$B$8+$B$2,0))</f>
        <v>0</v>
      </c>
      <c r="W15" s="87">
        <f>IF($B$10*$B$8&gt;W13,$B$4*$B$2/$B$8,IF($B$10*$B$8=W13,$B$4*$B$2/$B$8+$B$2,0))</f>
        <v>0</v>
      </c>
      <c r="X15" s="87">
        <f>IF($B$10*$B$8&gt;X13,$B$4*$B$2/$B$8,IF($B$10*$B$8=X13,$B$4*$B$2/$B$8+$B$2,0))</f>
        <v>0</v>
      </c>
      <c r="Y15" s="87">
        <f>IF($B$10*$B$8&gt;Y13,$B$4*$B$2/$B$8,IF($B$10*$B$8=Y13,$B$4*$B$2/$B$8+$B$2,0))</f>
        <v>0</v>
      </c>
      <c r="Z15" s="87">
        <f>IF($B$10*$B$8&gt;Z13,$B$4*$B$2/$B$8,IF($B$10*$B$8=Z13,$B$4*$B$2/$B$8+$B$2,0))</f>
        <v>0</v>
      </c>
      <c r="AA15" s="87">
        <f>IF($B$10*$B$8&gt;AA13,$B$4*$B$2/$B$8,IF($B$10*$B$8=AA13,$B$4*$B$2/$B$8+$B$2,0))</f>
        <v>0</v>
      </c>
      <c r="AB15" s="87">
        <f>IF($B$10*$B$8&gt;AB13,$B$4*$B$2/$B$8,IF($B$10*$B$8=AB13,$B$4*$B$2/$B$8+$B$2,0))</f>
        <v>0</v>
      </c>
      <c r="AC15" s="87">
        <f>IF($B$10*$B$8&gt;AC13,$B$4*$B$2/$B$8,IF($B$10*$B$8=AC13,$B$4*$B$2/$B$8+$B$2,0))</f>
        <v>0</v>
      </c>
      <c r="AD15" s="87">
        <f>IF($B$10*$B$8&gt;AD13,$B$4*$B$2/$B$8,IF($B$10*$B$8=AD13,$B$4*$B$2/$B$8+$B$2,0))</f>
        <v>0</v>
      </c>
      <c r="AE15" s="87">
        <f>IF($B$10*$B$8&gt;AE13,$B$4*$B$2/$B$8,IF($B$10*$B$8=AE13,$B$4*$B$2/$B$8+$B$2,0))</f>
        <v>0</v>
      </c>
      <c r="AF15" s="87">
        <f>IF($B$10*$B$8&gt;AF13,$B$4*$B$2/$B$8,IF($B$10*$B$8=AF13,$B$4*$B$2/$B$8+$B$2,0))</f>
        <v>0</v>
      </c>
      <c r="AG15" s="87">
        <f>IF($B$10*$B$8&gt;AG13,$B$4*$B$2/$B$8,IF($B$10*$B$8=AG13,$B$4*$B$2/$B$8+$B$2,0))</f>
        <v>0</v>
      </c>
      <c r="AH15" s="87">
        <f>IF($B$10*$B$8&gt;AH13,$B$4*$B$2/$B$8,IF($B$10*$B$8=AH13,$B$4*$B$2/$B$8+$B$2,0))</f>
        <v>0</v>
      </c>
      <c r="AI15" s="87">
        <f>IF($B$10*$B$8&gt;AI13,$B$4*$B$2/$B$8,IF($B$10*$B$8=AI13,$B$4*$B$2/$B$8+$B$2,0))</f>
        <v>0</v>
      </c>
      <c r="AJ15" s="87">
        <f>IF($B$10*$B$8&gt;AJ13,$B$4*$B$2/$B$8,IF($B$10*$B$8=AJ13,$B$4*$B$2/$B$8+$B$2,0))</f>
        <v>0</v>
      </c>
      <c r="AK15" s="87">
        <f>IF($B$10*$B$8&gt;AK13,$B$4*$B$2/$B$8,IF($B$10*$B$8=AK13,$B$4*$B$2/$B$8+$B$2,0))</f>
        <v>0</v>
      </c>
      <c r="AL15" s="87">
        <f>IF($B$10*$B$8&gt;AL13,$B$4*$B$2/$B$8,IF($B$10*$B$8=AL13,$B$4*$B$2/$B$8+$B$2,0))</f>
        <v>0</v>
      </c>
      <c r="AM15" s="87">
        <f>IF($B$10*$B$8&gt;AM13,$B$4*$B$2/$B$8,IF($B$10*$B$8=AM13,$B$4*$B$2/$B$8+$B$2,0))</f>
        <v>0</v>
      </c>
      <c r="AN15" s="87">
        <f>IF($B$10*$B$8&gt;AN13,$B$4*$B$2/$B$8,IF($B$10*$B$8=AN13,$B$4*$B$2/$B$8+$B$2,0))</f>
        <v>0</v>
      </c>
      <c r="AO15" s="87">
        <f>IF($B$10*$B$8&gt;AO13,$B$4*$B$2/$B$8,IF($B$10*$B$8=AO13,$B$4*$B$2/$B$8+$B$2,0))</f>
        <v>0</v>
      </c>
    </row>
    <row r="16" spans="1:41" ht="13.5" thickBot="1">
      <c r="A16" s="88"/>
    </row>
    <row r="17" spans="1:41" ht="13.5" thickBot="1">
      <c r="A17" s="85" t="s">
        <v>43</v>
      </c>
      <c r="B17" s="89">
        <f>1/(1+$B$6/$B$8)^B13</f>
        <v>0.94339622641509424</v>
      </c>
      <c r="C17" s="90">
        <f>1/(1+$B$6/$B$8)^C13</f>
        <v>0.88999644001423983</v>
      </c>
      <c r="D17" s="90">
        <f>1/(1+$B$6/$B$8)^D13</f>
        <v>0.8396192830323016</v>
      </c>
      <c r="E17" s="90">
        <f>1/(1+$B$6/$B$8)^E13</f>
        <v>0.79209366323802044</v>
      </c>
      <c r="F17" s="90">
        <f>1/(1+$B$6/$B$8)^F13</f>
        <v>0.74725817286605689</v>
      </c>
      <c r="G17" s="87">
        <f>1/(1+$B$6/$B$8)^G13</f>
        <v>0.70496054043967626</v>
      </c>
      <c r="H17" s="90">
        <f>1/(1+$B$6/$B$8)^H13</f>
        <v>0.66505711362233599</v>
      </c>
      <c r="I17" s="90">
        <f>1/(1+$B$6/$B$8)^I13</f>
        <v>0.62741237134182648</v>
      </c>
      <c r="J17" s="90">
        <f>1/(1+$B$6/$B$8)^J13</f>
        <v>0.59189846353002495</v>
      </c>
      <c r="K17" s="90">
        <f>1/(1+$B$6/$B$8)^K13</f>
        <v>0.55839477691511785</v>
      </c>
      <c r="L17" s="90">
        <f>1/(1+$B$6/$B$8)^L13</f>
        <v>0.52678752539162055</v>
      </c>
      <c r="M17" s="90">
        <f>1/(1+$B$6/$B$8)^M13</f>
        <v>0.4969693635770005</v>
      </c>
      <c r="N17" s="90">
        <f>1/(1+$B$6/$B$8)^N13</f>
        <v>0.46883902224245327</v>
      </c>
      <c r="O17" s="90">
        <f>1/(1+$B$6/$B$8)^O13</f>
        <v>0.44230096437967292</v>
      </c>
      <c r="P17" s="90">
        <f>1/(1+$B$6/$B$8)^P13</f>
        <v>0.41726506073554037</v>
      </c>
      <c r="Q17" s="90">
        <f>1/(1+$B$6/$B$8)^Q13</f>
        <v>0.39364628371277405</v>
      </c>
      <c r="R17" s="90">
        <f>1/(1+$B$6/$B$8)^R13</f>
        <v>0.37136441859695657</v>
      </c>
      <c r="S17" s="90">
        <f>1/(1+$B$6/$B$8)^S13</f>
        <v>0.35034379112920433</v>
      </c>
      <c r="T17" s="90">
        <f>1/(1+$B$6/$B$8)^T13</f>
        <v>0.3305130104992493</v>
      </c>
      <c r="U17" s="90">
        <f>1/(1+$B$6/$B$8)^U13</f>
        <v>0.31180472688608429</v>
      </c>
      <c r="V17" s="90">
        <f>1/(1+$B$6/$B$8)^V13</f>
        <v>0.29415540272272095</v>
      </c>
      <c r="W17" s="90">
        <f>1/(1+$B$6/$B$8)^W13</f>
        <v>0.27750509690822728</v>
      </c>
      <c r="X17" s="90">
        <f>1/(1+$B$6/$B$8)^X13</f>
        <v>0.26179726123417668</v>
      </c>
      <c r="Y17" s="90">
        <f>1/(1+$B$6/$B$8)^Y13</f>
        <v>0.24697854833412897</v>
      </c>
      <c r="Z17" s="90">
        <f>1/(1+$B$6/$B$8)^Z13</f>
        <v>0.23299863050389524</v>
      </c>
      <c r="AA17" s="90">
        <f>1/(1+$B$6/$B$8)^AA13</f>
        <v>0.21981002877725966</v>
      </c>
      <c r="AB17" s="90">
        <f>1/(1+$B$6/$B$8)^AB13</f>
        <v>0.20736795167666003</v>
      </c>
      <c r="AC17" s="90">
        <f>1/(1+$B$6/$B$8)^AC13</f>
        <v>0.1956301430911887</v>
      </c>
      <c r="AD17" s="90">
        <f>1/(1+$B$6/$B$8)^AD13</f>
        <v>0.18455673876527234</v>
      </c>
      <c r="AE17" s="90">
        <f>1/(1+$B$6/$B$8)^AE13</f>
        <v>0.17411013091063426</v>
      </c>
      <c r="AF17" s="90">
        <f>1/(1+$B$6/$B$8)^AF13</f>
        <v>0.16425484048173042</v>
      </c>
      <c r="AG17" s="90">
        <f>1/(1+$B$6/$B$8)^AG13</f>
        <v>0.15495739668087777</v>
      </c>
      <c r="AH17" s="90">
        <f>1/(1+$B$6/$B$8)^AH13</f>
        <v>0.14618622328384695</v>
      </c>
      <c r="AI17" s="90">
        <f>1/(1+$B$6/$B$8)^AI13</f>
        <v>0.1379115313998556</v>
      </c>
      <c r="AJ17" s="90">
        <f>1/(1+$B$6/$B$8)^AJ13</f>
        <v>0.13010521830175056</v>
      </c>
      <c r="AK17" s="90">
        <f>1/(1+$B$6/$B$8)^AK13</f>
        <v>0.12274077198278353</v>
      </c>
      <c r="AL17" s="90">
        <f>1/(1+$B$6/$B$8)^AL13</f>
        <v>0.11579318111583352</v>
      </c>
      <c r="AM17" s="90">
        <f>1/(1+$B$6/$B$8)^AM13</f>
        <v>0.10923885010927689</v>
      </c>
      <c r="AN17" s="90">
        <f>1/(1+$B$6/$B$8)^AN13</f>
        <v>0.10305551897101592</v>
      </c>
      <c r="AO17" s="90">
        <f>1/(1+$B$6/$B$8)^AO13</f>
        <v>9.7222187708505589E-2</v>
      </c>
    </row>
    <row r="18" spans="1:41" ht="13.5" thickBot="1">
      <c r="A18" s="88"/>
    </row>
    <row r="19" spans="1:41" ht="13.5" thickBot="1">
      <c r="A19" s="85" t="s">
        <v>9</v>
      </c>
      <c r="B19" s="91">
        <f>B15*B17</f>
        <v>7.5471698113207539</v>
      </c>
      <c r="C19" s="92">
        <f>C15*C17</f>
        <v>7.1199715201139187</v>
      </c>
      <c r="D19" s="92">
        <f>D15*D17</f>
        <v>6.7169542642584128</v>
      </c>
      <c r="E19" s="92">
        <f>E15*E17</f>
        <v>6.3367493059041635</v>
      </c>
      <c r="F19" s="92">
        <f>F15*F17</f>
        <v>5.9780653829284551</v>
      </c>
      <c r="G19" s="87">
        <f>G15*G17</f>
        <v>5.6396843235174101</v>
      </c>
      <c r="H19" s="92">
        <f>H15*H17</f>
        <v>5.3204569089786879</v>
      </c>
      <c r="I19" s="92">
        <f>I15*I17</f>
        <v>5.0192989707346118</v>
      </c>
      <c r="J19" s="92">
        <f>J15*J17</f>
        <v>4.7351877082401996</v>
      </c>
      <c r="K19" s="92">
        <f>K15*K17</f>
        <v>60.306635906832724</v>
      </c>
      <c r="L19" s="92">
        <f>L15*L17</f>
        <v>0</v>
      </c>
      <c r="M19" s="92">
        <f>M15*M17</f>
        <v>0</v>
      </c>
      <c r="N19" s="92">
        <f>N15*N17</f>
        <v>0</v>
      </c>
      <c r="O19" s="92">
        <f>O15*O17</f>
        <v>0</v>
      </c>
      <c r="P19" s="92">
        <f>P15*P17</f>
        <v>0</v>
      </c>
      <c r="Q19" s="92">
        <f>Q15*Q17</f>
        <v>0</v>
      </c>
      <c r="R19" s="92">
        <f>R15*R17</f>
        <v>0</v>
      </c>
      <c r="S19" s="92">
        <f>S15*S17</f>
        <v>0</v>
      </c>
      <c r="T19" s="92">
        <f>T15*T17</f>
        <v>0</v>
      </c>
      <c r="U19" s="92">
        <f>U15*U17</f>
        <v>0</v>
      </c>
      <c r="V19" s="92">
        <f>V15*V17</f>
        <v>0</v>
      </c>
      <c r="W19" s="92">
        <f>W15*W17</f>
        <v>0</v>
      </c>
      <c r="X19" s="92">
        <f>X15*X17</f>
        <v>0</v>
      </c>
      <c r="Y19" s="92">
        <f>Y15*Y17</f>
        <v>0</v>
      </c>
      <c r="Z19" s="92">
        <f>Z15*Z17</f>
        <v>0</v>
      </c>
      <c r="AA19" s="92">
        <f>AA15*AA17</f>
        <v>0</v>
      </c>
      <c r="AB19" s="92">
        <f>AB15*AB17</f>
        <v>0</v>
      </c>
      <c r="AC19" s="92">
        <f>AC15*AC17</f>
        <v>0</v>
      </c>
      <c r="AD19" s="92">
        <f>AD15*AD17</f>
        <v>0</v>
      </c>
      <c r="AE19" s="92">
        <f>AE15*AE17</f>
        <v>0</v>
      </c>
      <c r="AF19" s="92">
        <f>AF15*AF17</f>
        <v>0</v>
      </c>
      <c r="AG19" s="92">
        <f>AG15*AG17</f>
        <v>0</v>
      </c>
      <c r="AH19" s="92">
        <f>AH15*AH17</f>
        <v>0</v>
      </c>
      <c r="AI19" s="92">
        <f>AI15*AI17</f>
        <v>0</v>
      </c>
      <c r="AJ19" s="92">
        <f>AJ15*AJ17</f>
        <v>0</v>
      </c>
      <c r="AK19" s="92">
        <f>AK15*AK17</f>
        <v>0</v>
      </c>
      <c r="AL19" s="92">
        <f>AL15*AL17</f>
        <v>0</v>
      </c>
      <c r="AM19" s="92">
        <f>AM15*AM17</f>
        <v>0</v>
      </c>
      <c r="AN19" s="92">
        <f>AN15*AN17</f>
        <v>0</v>
      </c>
      <c r="AO19" s="92">
        <f>AO15*AO17</f>
        <v>0</v>
      </c>
    </row>
    <row r="20" spans="1:41" ht="13.5">
      <c r="A20" s="88"/>
      <c r="B20" s="93" t="str">
        <f>REPT("|",B19)</f>
        <v>|||||||</v>
      </c>
      <c r="C20" s="93" t="str">
        <f>REPT("|",C19)</f>
        <v>|||||||</v>
      </c>
      <c r="D20" s="93" t="str">
        <f>REPT("|",D19)</f>
        <v>||||||</v>
      </c>
      <c r="E20" s="93" t="str">
        <f>REPT("|",E19)</f>
        <v>||||||</v>
      </c>
      <c r="F20" s="93" t="str">
        <f>REPT("|",F19)</f>
        <v>|||||</v>
      </c>
      <c r="G20" s="93" t="str">
        <f>REPT("|",G19)</f>
        <v>|||||</v>
      </c>
      <c r="H20" s="93" t="str">
        <f>REPT("|",H19)</f>
        <v>|||||</v>
      </c>
      <c r="I20" s="93" t="str">
        <f>REPT("|",I19)</f>
        <v>|||||</v>
      </c>
      <c r="J20" s="93" t="str">
        <f>REPT("|",J19)</f>
        <v>||||</v>
      </c>
      <c r="K20" s="93" t="str">
        <f>REPT("|",K19)</f>
        <v>||||||||||||||||||||||||||||||||||||||||||||||||||||||||||||</v>
      </c>
      <c r="L20" s="93" t="str">
        <f>REPT("|",L19)</f>
        <v/>
      </c>
      <c r="M20" s="93" t="str">
        <f>REPT("|",M19)</f>
        <v/>
      </c>
      <c r="N20" s="93" t="str">
        <f>REPT("|",N19)</f>
        <v/>
      </c>
      <c r="O20" s="93" t="str">
        <f>REPT("|",O19)</f>
        <v/>
      </c>
      <c r="P20" s="93" t="str">
        <f>REPT("|",P19)</f>
        <v/>
      </c>
      <c r="Q20" s="93" t="str">
        <f>REPT("|",Q19)</f>
        <v/>
      </c>
      <c r="R20" s="93" t="str">
        <f>REPT("|",R19)</f>
        <v/>
      </c>
      <c r="S20" s="93" t="str">
        <f>REPT("|",S19)</f>
        <v/>
      </c>
      <c r="T20" s="93" t="str">
        <f>REPT("|",T19)</f>
        <v/>
      </c>
      <c r="U20" s="93" t="str">
        <f>REPT("|",U19)</f>
        <v/>
      </c>
      <c r="V20" s="93" t="str">
        <f>REPT("|",V19)</f>
        <v/>
      </c>
      <c r="W20" s="93" t="str">
        <f>REPT("|",W19)</f>
        <v/>
      </c>
      <c r="X20" s="93" t="str">
        <f>REPT("|",X19)</f>
        <v/>
      </c>
      <c r="Y20" s="93" t="str">
        <f>REPT("|",Y19)</f>
        <v/>
      </c>
      <c r="Z20" s="93" t="str">
        <f>REPT("|",Z19)</f>
        <v/>
      </c>
      <c r="AA20" s="93" t="str">
        <f>REPT("|",AA19)</f>
        <v/>
      </c>
      <c r="AB20" s="93" t="str">
        <f>REPT("|",AB19)</f>
        <v/>
      </c>
      <c r="AC20" s="93" t="str">
        <f>REPT("|",AC19)</f>
        <v/>
      </c>
      <c r="AD20" s="93" t="str">
        <f>REPT("|",AD19)</f>
        <v/>
      </c>
      <c r="AE20" s="93" t="str">
        <f>REPT("|",AE19)</f>
        <v/>
      </c>
      <c r="AF20" s="93" t="str">
        <f>REPT("|",AF19)</f>
        <v/>
      </c>
      <c r="AG20" s="93" t="str">
        <f>REPT("|",AG19)</f>
        <v/>
      </c>
      <c r="AH20" s="93" t="str">
        <f>REPT("|",AH19)</f>
        <v/>
      </c>
      <c r="AI20" s="93" t="str">
        <f>REPT("|",AI19)</f>
        <v/>
      </c>
      <c r="AJ20" s="93" t="str">
        <f>REPT("|",AJ19)</f>
        <v/>
      </c>
      <c r="AK20" s="93" t="str">
        <f>REPT("|",AK19)</f>
        <v/>
      </c>
      <c r="AL20" s="93" t="str">
        <f>REPT("|",AL19)</f>
        <v/>
      </c>
      <c r="AM20" s="93" t="str">
        <f>REPT("|",AM19)</f>
        <v/>
      </c>
      <c r="AN20" s="93" t="str">
        <f>REPT("|",AN19)</f>
        <v/>
      </c>
      <c r="AO20" s="93" t="str">
        <f>REPT("|",AO19)</f>
        <v/>
      </c>
    </row>
    <row r="21" spans="1:41" ht="14.25" thickBot="1">
      <c r="A21" s="94">
        <f>FV(B6,B26,,B22)</f>
        <v>-177.0282117192786</v>
      </c>
      <c r="B21" s="95">
        <f>FV($B$6,$B$26-B13,,-B15)</f>
        <v>11.646268720288557</v>
      </c>
      <c r="C21" s="95">
        <f>FV($B$6,$B$26-C13,,-C15)</f>
        <v>10.987045962536373</v>
      </c>
      <c r="D21" s="95">
        <f>FV($B$6,$B$26-D13,,-D15)</f>
        <v>10.365137700506011</v>
      </c>
      <c r="E21" s="95">
        <f>FV($B$6,$B$26-E13,,-E15)</f>
        <v>9.7784317929301992</v>
      </c>
      <c r="F21" s="95">
        <f>PV($B$6,F13-B26,,-F15)</f>
        <v>9.2249356537077354</v>
      </c>
    </row>
    <row r="22" spans="1:41" ht="16.5" thickBot="1">
      <c r="A22" s="96" t="s">
        <v>44</v>
      </c>
      <c r="B22" s="97">
        <f>SUM(B19:AO19)</f>
        <v>114.72017410282933</v>
      </c>
      <c r="E22" s="94"/>
      <c r="F22" s="94">
        <f>+SUM(A21:F21)</f>
        <v>-125.02639188930972</v>
      </c>
    </row>
    <row r="23" spans="1:41" ht="13.5" thickBot="1">
      <c r="D23" s="94"/>
    </row>
    <row r="24" spans="1:41" ht="13.5" thickBot="1">
      <c r="A24" s="98" t="s">
        <v>45</v>
      </c>
      <c r="B24" s="91">
        <f>(B13/$B$8)*B19</f>
        <v>7.5471698113207539</v>
      </c>
      <c r="C24" s="92">
        <f>(C13/$B$8)*C19</f>
        <v>14.239943040227837</v>
      </c>
      <c r="D24" s="92">
        <f>(D13/$B$8)*D19</f>
        <v>20.150862792775239</v>
      </c>
      <c r="E24" s="92">
        <f>(E13/$B$8)*E19</f>
        <v>25.346997223616654</v>
      </c>
      <c r="F24" s="92">
        <f>(F13/$B$8)*F19</f>
        <v>29.890326914642277</v>
      </c>
      <c r="G24" s="92">
        <f>(G13/$B$8)*G19</f>
        <v>33.838105941104459</v>
      </c>
      <c r="H24" s="92">
        <f>(H13/$B$8)*H19</f>
        <v>37.243198362850819</v>
      </c>
      <c r="I24" s="92">
        <f>(I13/$B$8)*I19</f>
        <v>40.154391765876895</v>
      </c>
      <c r="J24" s="92">
        <f>(J13/$B$8)*J19</f>
        <v>42.616689374161794</v>
      </c>
      <c r="K24" s="92">
        <f>(K13/$B$8)*K19</f>
        <v>603.0663590683273</v>
      </c>
      <c r="L24" s="92">
        <f>(L13/$B$8)*L19</f>
        <v>0</v>
      </c>
      <c r="M24" s="92">
        <f>(M13/$B$8)*M19</f>
        <v>0</v>
      </c>
      <c r="N24" s="92">
        <f>(N13/$B$8)*N19</f>
        <v>0</v>
      </c>
      <c r="O24" s="92">
        <f>(O13/$B$8)*O19</f>
        <v>0</v>
      </c>
      <c r="P24" s="92">
        <f>(P13/$B$8)*P19</f>
        <v>0</v>
      </c>
      <c r="Q24" s="92">
        <f>(Q13/$B$8)*Q19</f>
        <v>0</v>
      </c>
      <c r="R24" s="92">
        <f>(R13/$B$8)*R19</f>
        <v>0</v>
      </c>
      <c r="S24" s="92">
        <f>(S13/$B$8)*S19</f>
        <v>0</v>
      </c>
      <c r="T24" s="92">
        <f>(T13/$B$8)*T19</f>
        <v>0</v>
      </c>
      <c r="U24" s="92">
        <f>(U13/$B$8)*U19</f>
        <v>0</v>
      </c>
      <c r="V24" s="92">
        <f>(V13/$B$8)*V19</f>
        <v>0</v>
      </c>
      <c r="W24" s="92">
        <f>(W13/$B$8)*W19</f>
        <v>0</v>
      </c>
      <c r="X24" s="92">
        <f>(X13/$B$8)*X19</f>
        <v>0</v>
      </c>
      <c r="Y24" s="92">
        <f>(Y13/$B$8)*Y19</f>
        <v>0</v>
      </c>
      <c r="Z24" s="92">
        <f>(Z13/$B$8)*Z19</f>
        <v>0</v>
      </c>
      <c r="AA24" s="92">
        <f>(AA13/$B$8)*AA19</f>
        <v>0</v>
      </c>
      <c r="AB24" s="92">
        <f>(AB13/$B$8)*AB19</f>
        <v>0</v>
      </c>
      <c r="AC24" s="92">
        <f>(AC13/$B$8)*AC19</f>
        <v>0</v>
      </c>
      <c r="AD24" s="92">
        <f>(AD13/$B$8)*AD19</f>
        <v>0</v>
      </c>
      <c r="AE24" s="92">
        <f>(AE13/$B$8)*AE19</f>
        <v>0</v>
      </c>
      <c r="AF24" s="92">
        <f>(AF13/$B$8)*AF19</f>
        <v>0</v>
      </c>
      <c r="AG24" s="92">
        <f>(AG13/$B$8)*AG19</f>
        <v>0</v>
      </c>
      <c r="AH24" s="92">
        <f>(AH13/$B$8)*AH19</f>
        <v>0</v>
      </c>
      <c r="AI24" s="92">
        <f>(AI13/$B$8)*AI19</f>
        <v>0</v>
      </c>
      <c r="AJ24" s="92">
        <f>(AJ13/$B$8)*AJ19</f>
        <v>0</v>
      </c>
      <c r="AK24" s="92">
        <f>(AK13/$B$8)*AK19</f>
        <v>0</v>
      </c>
      <c r="AL24" s="92">
        <f>(AL13/$B$8)*AL19</f>
        <v>0</v>
      </c>
      <c r="AM24" s="92">
        <f>(AM13/$B$8)*AM19</f>
        <v>0</v>
      </c>
      <c r="AN24" s="92">
        <f>(AN13/$B$8)*AN19</f>
        <v>0</v>
      </c>
      <c r="AO24" s="92">
        <f>(AO13/$B$8)*AO19</f>
        <v>0</v>
      </c>
    </row>
    <row r="25" spans="1:41" ht="13.5" thickBot="1">
      <c r="A25" s="88"/>
    </row>
    <row r="26" spans="1:41" ht="13.5" thickBot="1">
      <c r="A26" s="98" t="s">
        <v>45</v>
      </c>
      <c r="B26" s="99">
        <f>SUM(B24:AO24)/B22</f>
        <v>7.4450204680594156</v>
      </c>
    </row>
    <row r="27" spans="1:41" ht="13.5" thickBot="1">
      <c r="A27" s="88"/>
    </row>
    <row r="28" spans="1:41" ht="13.5" thickBot="1">
      <c r="A28" s="85" t="s">
        <v>46</v>
      </c>
      <c r="B28" s="99">
        <f>+B26*(1/(1+$B$6/$B$8))</f>
        <v>7.0236042151503915</v>
      </c>
      <c r="C28" s="76"/>
    </row>
    <row r="29" spans="1:41">
      <c r="A29" s="88"/>
    </row>
    <row r="30" spans="1:41" ht="13.5" thickBot="1">
      <c r="A30" s="88"/>
    </row>
    <row r="31" spans="1:41" ht="13.5" thickBot="1">
      <c r="A31" s="100" t="s">
        <v>47</v>
      </c>
      <c r="B31" s="91">
        <f>B13*(B13+1)*B19</f>
        <v>15.094339622641508</v>
      </c>
      <c r="C31" s="92">
        <f>C13*(C13+1)*C19</f>
        <v>42.719829120683514</v>
      </c>
      <c r="D31" s="92">
        <f>D13*(D13+1)*D19</f>
        <v>80.603451171100957</v>
      </c>
      <c r="E31" s="92">
        <f>E13*(E13+1)*E19</f>
        <v>126.73498611808327</v>
      </c>
      <c r="F31" s="92">
        <f>F13*(F13+1)*F19</f>
        <v>179.34196148785367</v>
      </c>
      <c r="G31" s="92">
        <f>G13*(G13+1)*G19</f>
        <v>236.86674158773121</v>
      </c>
      <c r="H31" s="92">
        <f>H13*(H13+1)*H19</f>
        <v>297.94558690280655</v>
      </c>
      <c r="I31" s="92">
        <f>I13*(I13+1)*I19</f>
        <v>361.38952589289204</v>
      </c>
      <c r="J31" s="92">
        <f>J13*(J13+1)*J19</f>
        <v>426.16689374161797</v>
      </c>
      <c r="K31" s="92">
        <f>K13*(K13+1)*K19</f>
        <v>6633.7299497515996</v>
      </c>
      <c r="L31" s="92">
        <f>L13*(L13+1)*L19</f>
        <v>0</v>
      </c>
      <c r="M31" s="92">
        <f>M13*(M13+1)*M19</f>
        <v>0</v>
      </c>
      <c r="N31" s="92">
        <f>N13*(N13+1)*N19</f>
        <v>0</v>
      </c>
      <c r="O31" s="92">
        <f>O13*(O13+1)*O19</f>
        <v>0</v>
      </c>
      <c r="P31" s="92">
        <f>P13*(P13+1)*P19</f>
        <v>0</v>
      </c>
      <c r="Q31" s="92">
        <f>Q13*(Q13+1)*Q19</f>
        <v>0</v>
      </c>
      <c r="R31" s="92">
        <f>R13*(R13+1)*R19</f>
        <v>0</v>
      </c>
      <c r="S31" s="92">
        <f>S13*(S13+1)*S19</f>
        <v>0</v>
      </c>
      <c r="T31" s="92">
        <f>T13*(T13+1)*T19</f>
        <v>0</v>
      </c>
      <c r="U31" s="92">
        <f>U13*(U13+1)*U19</f>
        <v>0</v>
      </c>
      <c r="V31" s="92">
        <f>V13*(V13+1)*V19</f>
        <v>0</v>
      </c>
      <c r="W31" s="92">
        <f>W13*(W13+1)*W19</f>
        <v>0</v>
      </c>
      <c r="X31" s="92">
        <f>X13*(X13+1)*X19</f>
        <v>0</v>
      </c>
      <c r="Y31" s="92">
        <f>Y13*(Y13+1)*Y19</f>
        <v>0</v>
      </c>
      <c r="Z31" s="92">
        <f>Z13*(Z13+1)*Z19</f>
        <v>0</v>
      </c>
      <c r="AA31" s="92">
        <f>AA13*(AA13+1)*AA19</f>
        <v>0</v>
      </c>
      <c r="AB31" s="92">
        <f>AB13*(AB13+1)*AB19</f>
        <v>0</v>
      </c>
      <c r="AC31" s="92">
        <f>AC13*(AC13+1)*AC19</f>
        <v>0</v>
      </c>
      <c r="AD31" s="92">
        <f>AD13*(AD13+1)*AD19</f>
        <v>0</v>
      </c>
      <c r="AE31" s="92">
        <f>AE13*(AE13+1)*AE19</f>
        <v>0</v>
      </c>
      <c r="AF31" s="92">
        <f>AF13*(AF13+1)*AF19</f>
        <v>0</v>
      </c>
      <c r="AG31" s="92">
        <f>AG13*(AG13+1)*AG19</f>
        <v>0</v>
      </c>
      <c r="AH31" s="92">
        <f>AH13*(AH13+1)*AH19</f>
        <v>0</v>
      </c>
      <c r="AI31" s="92">
        <f>AI13*(AI13+1)*AI19</f>
        <v>0</v>
      </c>
      <c r="AJ31" s="92">
        <f>AJ13*(AJ13+1)*AJ19</f>
        <v>0</v>
      </c>
      <c r="AK31" s="92">
        <f>AK13*(AK13+1)*AK19</f>
        <v>0</v>
      </c>
      <c r="AL31" s="92">
        <f>AL13*(AL13+1)*AL19</f>
        <v>0</v>
      </c>
      <c r="AM31" s="92">
        <f>AM13*(AM13+1)*AM19</f>
        <v>0</v>
      </c>
      <c r="AN31" s="92">
        <f>AN13*(AN13+1)*AN19</f>
        <v>0</v>
      </c>
      <c r="AO31" s="92">
        <f>AO13*(AO13+1)*AO19</f>
        <v>0</v>
      </c>
    </row>
    <row r="32" spans="1:41" ht="13.5" thickBot="1">
      <c r="A32" s="88"/>
    </row>
    <row r="33" spans="1:5" ht="13.5" thickBot="1">
      <c r="A33" s="100" t="s">
        <v>47</v>
      </c>
      <c r="B33" s="99">
        <f>SUM(B31:U31)*((1/$B$8)^2)*(1/(1+$B$6/$B$8)^2)/B22</f>
        <v>65.171606987881518</v>
      </c>
    </row>
    <row r="34" spans="1:5" ht="13.5" thickBot="1"/>
    <row r="35" spans="1:5" ht="13.5" thickBot="1">
      <c r="A35" s="85" t="s">
        <v>48</v>
      </c>
      <c r="B35" s="99">
        <f>B2-B22</f>
        <v>-14.720174102829333</v>
      </c>
    </row>
    <row r="36" spans="1:5">
      <c r="C36" s="76"/>
      <c r="D36" s="76"/>
    </row>
    <row r="37" spans="1:5">
      <c r="C37" s="76"/>
      <c r="E37" s="101"/>
    </row>
    <row r="38" spans="1:5">
      <c r="C38" s="76"/>
      <c r="E38" s="102"/>
    </row>
    <row r="39" spans="1:5">
      <c r="E39" s="102"/>
    </row>
    <row r="109" spans="1:2">
      <c r="A109" s="72">
        <v>1</v>
      </c>
      <c r="B109" s="72" t="s">
        <v>49</v>
      </c>
    </row>
    <row r="110" spans="1:2">
      <c r="A110" s="72">
        <v>2</v>
      </c>
      <c r="B110" s="72" t="s">
        <v>50</v>
      </c>
    </row>
    <row r="111" spans="1:2">
      <c r="A111" s="72">
        <v>4</v>
      </c>
      <c r="B111" s="72" t="s">
        <v>51</v>
      </c>
    </row>
  </sheetData>
  <conditionalFormatting sqref="B20:B21 C20:F20 I20:AO2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{BFE60A79-535E-416A-A687-3945CA02D3D5}</x14:id>
        </ext>
      </extLst>
    </cfRule>
  </conditionalFormatting>
  <conditionalFormatting sqref="B13:AO13">
    <cfRule type="expression" dxfId="20" priority="20">
      <formula>$B$8=4</formula>
    </cfRule>
    <cfRule type="expression" dxfId="19" priority="21">
      <formula>$B$8=1</formula>
    </cfRule>
    <cfRule type="expression" dxfId="18" priority="22">
      <formula>$B$8=2</formula>
    </cfRule>
  </conditionalFormatting>
  <conditionalFormatting sqref="C21:F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{0AD3CD4E-872B-4151-A8FC-FE668E813CB5}</x14:id>
        </ext>
      </extLst>
    </cfRule>
  </conditionalFormatting>
  <conditionalFormatting sqref="C13:AO13">
    <cfRule type="expression" dxfId="17" priority="19">
      <formula>B13&gt;=$B$10*$B$8</formula>
    </cfRule>
  </conditionalFormatting>
  <conditionalFormatting sqref="G15:G31">
    <cfRule type="expression" dxfId="16" priority="18">
      <formula>$G$13&gt;$B$10*$B$8</formula>
    </cfRule>
  </conditionalFormatting>
  <conditionalFormatting sqref="H15:H31">
    <cfRule type="expression" dxfId="15" priority="17">
      <formula>$H$13&gt;$B$10*$B$8</formula>
    </cfRule>
  </conditionalFormatting>
  <conditionalFormatting sqref="I15:I24 I31">
    <cfRule type="expression" dxfId="14" priority="16">
      <formula>$I$13&gt;$B$10*$B$8</formula>
    </cfRule>
  </conditionalFormatting>
  <conditionalFormatting sqref="J15:J31">
    <cfRule type="expression" dxfId="13" priority="15">
      <formula>$J$13&gt;$B$10*$B$8</formula>
    </cfRule>
  </conditionalFormatting>
  <conditionalFormatting sqref="K15:K31">
    <cfRule type="expression" dxfId="12" priority="14">
      <formula>$K$13&gt;$B$10*$B$8</formula>
    </cfRule>
  </conditionalFormatting>
  <conditionalFormatting sqref="L15:L31">
    <cfRule type="expression" dxfId="11" priority="13">
      <formula>$L$13&gt;$B$10*$B$8</formula>
    </cfRule>
  </conditionalFormatting>
  <conditionalFormatting sqref="M15:M31">
    <cfRule type="expression" dxfId="10" priority="12">
      <formula>$M$13&gt;$B$10*$B$8</formula>
    </cfRule>
  </conditionalFormatting>
  <conditionalFormatting sqref="N15:N31">
    <cfRule type="expression" dxfId="9" priority="11">
      <formula>$N$13&gt;$B$10*$B$8</formula>
    </cfRule>
  </conditionalFormatting>
  <conditionalFormatting sqref="O15:O31">
    <cfRule type="expression" dxfId="8" priority="10">
      <formula>$O$13&gt;$B$10*$B$8</formula>
    </cfRule>
  </conditionalFormatting>
  <conditionalFormatting sqref="P15:P31">
    <cfRule type="expression" dxfId="7" priority="9">
      <formula>$P$13&gt;$B$10*$B$8</formula>
    </cfRule>
  </conditionalFormatting>
  <conditionalFormatting sqref="Q15:Q31">
    <cfRule type="expression" dxfId="6" priority="8">
      <formula>$Q$13&gt;$B$10*$B$8</formula>
    </cfRule>
  </conditionalFormatting>
  <conditionalFormatting sqref="R15:R31">
    <cfRule type="expression" dxfId="5" priority="7">
      <formula>$R$13&gt;$B$10*$B$8</formula>
    </cfRule>
  </conditionalFormatting>
  <conditionalFormatting sqref="S15:S31">
    <cfRule type="expression" dxfId="4" priority="6">
      <formula>$S$13&gt;$B$10*$B$8</formula>
    </cfRule>
  </conditionalFormatting>
  <conditionalFormatting sqref="T15:T31">
    <cfRule type="expression" dxfId="3" priority="5">
      <formula>$T$13&gt;$B$10*$B$8</formula>
    </cfRule>
  </conditionalFormatting>
  <conditionalFormatting sqref="U15:U31">
    <cfRule type="expression" dxfId="2" priority="4">
      <formula>$U$13&gt;$B$10*$B$8</formula>
    </cfRule>
  </conditionalFormatting>
  <conditionalFormatting sqref="V15:V31">
    <cfRule type="expression" dxfId="1" priority="3">
      <formula>$V$13&gt;$B$10*$B$8</formula>
    </cfRule>
  </conditionalFormatting>
  <conditionalFormatting sqref="W15:W31">
    <cfRule type="expression" dxfId="0" priority="2">
      <formula>$W$13&gt;$B$10*$B$8</formula>
    </cfRule>
  </conditionalFormatting>
  <dataValidations count="1">
    <dataValidation type="list" allowBlank="1" showInputMessage="1" showErrorMessage="1" sqref="B8" xr:uid="{5AD33FBE-72F0-4DF7-99E8-9DF3CAF25961}">
      <formula1>$A$109:$A$111</formula1>
    </dataValidation>
  </dataValidations>
  <pageMargins left="0.75" right="0.75" top="1" bottom="1" header="0" footer="0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60A79-535E-416A-A687-3945CA02D3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B20:B21 C20:F20 I20:AO20</xm:sqref>
        </x14:conditionalFormatting>
        <x14:conditionalFormatting xmlns:xm="http://schemas.microsoft.com/office/excel/2006/main">
          <x14:cfRule type="dataBar" id="{0AD3CD4E-872B-4151-A8FC-FE668E813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C21:F21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6A35-EE90-4098-8390-6891AE495C3A}">
  <dimension ref="A1"/>
  <sheetViews>
    <sheetView workbookViewId="0">
      <selection activeCell="B10" sqref="B10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1</vt:lpstr>
      <vt:lpstr>Punto 2</vt:lpstr>
      <vt:lpstr>Punto 3</vt:lpstr>
      <vt:lpstr>Punto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2023-12-03T16:50:24Z</dcterms:created>
  <dcterms:modified xsi:type="dcterms:W3CDTF">2023-12-03T17:15:44Z</dcterms:modified>
</cp:coreProperties>
</file>