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NIGOJ\OneDrive\Desktop\NICO\MAF\Semestre 1\Contabilidad Financiera (NIIF)\"/>
    </mc:Choice>
  </mc:AlternateContent>
  <xr:revisionPtr revIDLastSave="0" documentId="13_ncr:1_{E4FE07AE-EAA5-4BF8-8761-B84EEEF7F767}" xr6:coauthVersionLast="47" xr6:coauthVersionMax="47" xr10:uidLastSave="{00000000-0000-0000-0000-000000000000}"/>
  <bookViews>
    <workbookView xWindow="-108" yWindow="-108" windowWidth="23256" windowHeight="12456" xr2:uid="{00000000-000D-0000-FFFF-FFFF00000000}"/>
  </bookViews>
  <sheets>
    <sheet name="Escenario 1" sheetId="1" r:id="rId1"/>
    <sheet name="Propuesta de Mercadeo" sheetId="4" r:id="rId2"/>
    <sheet name="Análi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1" l="1"/>
  <c r="N21" i="1"/>
  <c r="N26" i="1"/>
  <c r="N20" i="1"/>
  <c r="G24" i="3"/>
  <c r="G22" i="3"/>
  <c r="D15" i="3"/>
  <c r="D16" i="3"/>
  <c r="D17" i="3"/>
  <c r="D18" i="3"/>
  <c r="D12" i="3"/>
  <c r="D11" i="3"/>
  <c r="D10" i="3"/>
  <c r="D9" i="3"/>
  <c r="D8" i="3"/>
  <c r="C19" i="3"/>
  <c r="B19" i="3"/>
  <c r="N10" i="4"/>
  <c r="N13" i="4"/>
  <c r="F31" i="4"/>
  <c r="F30" i="4"/>
  <c r="F29" i="4"/>
  <c r="F28" i="4"/>
  <c r="F27" i="4"/>
  <c r="F21" i="4"/>
  <c r="F20" i="4"/>
  <c r="F19" i="4"/>
  <c r="F18" i="4"/>
  <c r="F17" i="4"/>
  <c r="J13" i="4"/>
  <c r="J12" i="4"/>
  <c r="D12" i="4"/>
  <c r="O8" i="4" s="1"/>
  <c r="C12" i="4"/>
  <c r="N8" i="4" s="1"/>
  <c r="O11" i="4"/>
  <c r="N11" i="4"/>
  <c r="J11" i="4"/>
  <c r="O10" i="4"/>
  <c r="J10" i="4"/>
  <c r="O9" i="4"/>
  <c r="N9" i="4"/>
  <c r="J9" i="4"/>
  <c r="I14" i="4" s="1"/>
  <c r="I6" i="4"/>
  <c r="N15" i="4" s="1"/>
  <c r="O5" i="4"/>
  <c r="N5" i="4"/>
  <c r="U4" i="4"/>
  <c r="S4" i="4"/>
  <c r="P4" i="4"/>
  <c r="U3" i="4"/>
  <c r="S3" i="4"/>
  <c r="S5" i="4" s="1"/>
  <c r="P3" i="4"/>
  <c r="J12" i="1"/>
  <c r="F28" i="3"/>
  <c r="F27" i="3"/>
  <c r="G26" i="3"/>
  <c r="F26" i="3"/>
  <c r="F25" i="3"/>
  <c r="F24" i="3"/>
  <c r="F23" i="3"/>
  <c r="F22" i="3"/>
  <c r="U4" i="1"/>
  <c r="U3" i="1"/>
  <c r="S4" i="1"/>
  <c r="S3" i="1"/>
  <c r="D19" i="3" l="1"/>
  <c r="O13" i="4"/>
  <c r="O21" i="4" s="1"/>
  <c r="T4" i="4"/>
  <c r="N37" i="4"/>
  <c r="Y4" i="4"/>
  <c r="N29" i="4"/>
  <c r="N23" i="4"/>
  <c r="N17" i="4"/>
  <c r="N30" i="4"/>
  <c r="N32" i="4"/>
  <c r="O15" i="4"/>
  <c r="O17" i="4" s="1"/>
  <c r="V4" i="4" s="1"/>
  <c r="N31" i="4"/>
  <c r="N33" i="4" s="1"/>
  <c r="N26" i="4"/>
  <c r="T3" i="4"/>
  <c r="O20" i="4"/>
  <c r="Y3" i="4"/>
  <c r="N20" i="4"/>
  <c r="N24" i="4"/>
  <c r="Y4" i="1"/>
  <c r="S5" i="1"/>
  <c r="T3" i="1" s="1"/>
  <c r="Y3" i="1"/>
  <c r="P4" i="1"/>
  <c r="T5" i="4" l="1"/>
  <c r="Y5" i="4"/>
  <c r="N25" i="4" s="1"/>
  <c r="V3" i="4"/>
  <c r="N38" i="4"/>
  <c r="N39" i="4" s="1"/>
  <c r="W4" i="4"/>
  <c r="X4" i="4" s="1"/>
  <c r="Z4" i="4"/>
  <c r="AA4" i="4" s="1"/>
  <c r="T4" i="1"/>
  <c r="T5" i="1" s="1"/>
  <c r="Y5" i="1"/>
  <c r="P3" i="1"/>
  <c r="J13" i="1"/>
  <c r="J10" i="1"/>
  <c r="J11" i="1"/>
  <c r="J9" i="1"/>
  <c r="I6" i="1"/>
  <c r="O10" i="1"/>
  <c r="N10" i="1"/>
  <c r="O11" i="1"/>
  <c r="N11" i="1"/>
  <c r="O5" i="1"/>
  <c r="N5" i="1"/>
  <c r="N29" i="1" s="1"/>
  <c r="N40" i="4" l="1"/>
  <c r="N41" i="4" s="1"/>
  <c r="Z3" i="4"/>
  <c r="W3" i="4"/>
  <c r="X3" i="4" s="1"/>
  <c r="I14" i="1"/>
  <c r="N37" i="1"/>
  <c r="Z5" i="4" l="1"/>
  <c r="AA3" i="4"/>
  <c r="AA5" i="4" s="1"/>
  <c r="O15" i="1"/>
  <c r="N32" i="1"/>
  <c r="N15" i="1"/>
  <c r="F28" i="1"/>
  <c r="F18" i="1"/>
  <c r="F31" i="1"/>
  <c r="F30" i="1"/>
  <c r="F29" i="1"/>
  <c r="F27" i="1"/>
  <c r="F21" i="1"/>
  <c r="F20" i="1"/>
  <c r="F19" i="1"/>
  <c r="F17" i="1"/>
  <c r="D12" i="1"/>
  <c r="O8" i="1" s="1"/>
  <c r="C12" i="1"/>
  <c r="N8" i="1" s="1"/>
  <c r="N22" i="4" l="1"/>
  <c r="N21" i="4"/>
  <c r="O9" i="1"/>
  <c r="O13" i="1" s="1"/>
  <c r="N9" i="1"/>
  <c r="N13" i="1" s="1"/>
  <c r="N24" i="1" s="1"/>
  <c r="N30" i="1" l="1"/>
  <c r="N23" i="1"/>
  <c r="O21" i="1"/>
  <c r="O20" i="1"/>
  <c r="N17" i="1"/>
  <c r="O17" i="1"/>
  <c r="V4" i="1" s="1"/>
  <c r="N31" i="1" l="1"/>
  <c r="N33" i="1" s="1"/>
  <c r="Z4" i="1"/>
  <c r="AA4" i="1" s="1"/>
  <c r="W4" i="1"/>
  <c r="X4" i="1" s="1"/>
  <c r="N25" i="1"/>
  <c r="V3" i="1"/>
  <c r="Z3" i="1" s="1"/>
  <c r="AA3" i="1" s="1"/>
  <c r="AA5" i="1" s="1"/>
  <c r="N38" i="1"/>
  <c r="N39" i="1" s="1"/>
  <c r="N40" i="1" l="1"/>
  <c r="N41" i="1" s="1"/>
  <c r="Z5" i="1"/>
  <c r="W3" i="1"/>
  <c r="X3" i="1" s="1"/>
</calcChain>
</file>

<file path=xl/sharedStrings.xml><?xml version="1.0" encoding="utf-8"?>
<sst xmlns="http://schemas.openxmlformats.org/spreadsheetml/2006/main" count="263" uniqueCount="95">
  <si>
    <t xml:space="preserve">Chasis </t>
  </si>
  <si>
    <t>Motor</t>
  </si>
  <si>
    <t>Tanque</t>
  </si>
  <si>
    <t>Conexiones Electricas</t>
  </si>
  <si>
    <t>Partes de Pintura</t>
  </si>
  <si>
    <t>Defensas</t>
  </si>
  <si>
    <t>Otros</t>
  </si>
  <si>
    <t>Transporte en Contenedor</t>
  </si>
  <si>
    <t>$/und</t>
  </si>
  <si>
    <t>Costos Variables</t>
  </si>
  <si>
    <t>Tipo A</t>
  </si>
  <si>
    <t>Tipo B</t>
  </si>
  <si>
    <t>Total</t>
  </si>
  <si>
    <t>MOTO TIPO A</t>
  </si>
  <si>
    <t xml:space="preserve">Recursos </t>
  </si>
  <si>
    <t>Recepción</t>
  </si>
  <si>
    <t>Pintura</t>
  </si>
  <si>
    <t>Ensamble</t>
  </si>
  <si>
    <t>Nro Personas</t>
  </si>
  <si>
    <t>Pago a destajo</t>
  </si>
  <si>
    <t>Consumo de energía</t>
  </si>
  <si>
    <t>Depreciación activos logísticos</t>
  </si>
  <si>
    <t>Transportes internos</t>
  </si>
  <si>
    <t>MOTO TIPO B</t>
  </si>
  <si>
    <t>Costos Fijos</t>
  </si>
  <si>
    <t>Arrendamiento</t>
  </si>
  <si>
    <t>Labor de Ing</t>
  </si>
  <si>
    <t>Vigilancia</t>
  </si>
  <si>
    <t>Unidades</t>
  </si>
  <si>
    <t>Precio de V</t>
  </si>
  <si>
    <t>Ingreso x V</t>
  </si>
  <si>
    <t>Gastos Operativos</t>
  </si>
  <si>
    <t>Salario Gestion H</t>
  </si>
  <si>
    <t xml:space="preserve">Contabilidad </t>
  </si>
  <si>
    <t>Auditoria</t>
  </si>
  <si>
    <t xml:space="preserve">Publicidad </t>
  </si>
  <si>
    <t>Salario basico a vendedores</t>
  </si>
  <si>
    <t>Comisión</t>
  </si>
  <si>
    <t>Transporte x U</t>
  </si>
  <si>
    <t>1 a 8000 und</t>
  </si>
  <si>
    <t>8001 a 13000</t>
  </si>
  <si>
    <t>mas de 13001</t>
  </si>
  <si>
    <t>3 vendedores</t>
  </si>
  <si>
    <t>Factor Prestacional</t>
  </si>
  <si>
    <t>COSTOS VARIABLES</t>
  </si>
  <si>
    <t>TIPO A</t>
  </si>
  <si>
    <t>TIPO B</t>
  </si>
  <si>
    <t>COMPONENTES O PARTES</t>
  </si>
  <si>
    <t>ENSAMBLE</t>
  </si>
  <si>
    <t xml:space="preserve">Capacidad </t>
  </si>
  <si>
    <t>COMISIONES</t>
  </si>
  <si>
    <t xml:space="preserve">TRANSPORTE </t>
  </si>
  <si>
    <t>TOTAL COSTO VARIABLE UNI</t>
  </si>
  <si>
    <t>TOTAL</t>
  </si>
  <si>
    <t>TOTAL COSTOS FIJOS UND</t>
  </si>
  <si>
    <t>TOTAL COSTOS UND</t>
  </si>
  <si>
    <t>INGRESOS OPERACIONALES</t>
  </si>
  <si>
    <t xml:space="preserve"> - COSTOS</t>
  </si>
  <si>
    <t>UTILIDAD BRUTA</t>
  </si>
  <si>
    <t xml:space="preserve"> - GASTOS FIJOS</t>
  </si>
  <si>
    <t>UTILIDAD OPERATIVA</t>
  </si>
  <si>
    <t>MCU</t>
  </si>
  <si>
    <t>COEF</t>
  </si>
  <si>
    <t>PE</t>
  </si>
  <si>
    <t>UN EQ</t>
  </si>
  <si>
    <t>MS</t>
  </si>
  <si>
    <t>Moto Tipo A</t>
  </si>
  <si>
    <t>Moto Tipo B</t>
  </si>
  <si>
    <t>MC%</t>
  </si>
  <si>
    <t>Contribución Marginal</t>
  </si>
  <si>
    <t>APALANCAMIENTO</t>
  </si>
  <si>
    <t>Variación %</t>
  </si>
  <si>
    <t>Escenario 1</t>
  </si>
  <si>
    <t>Propuesta de Mercadeo</t>
  </si>
  <si>
    <t>•	Si se acepta la propuesta del departamento de mercadeo ¿cuál sería el nuevo punto de equilibrio en pesos de la compañía?</t>
  </si>
  <si>
    <t>Analizar si es conveniente disminuir los precios de venta e identificar qué otras consideraciones se deben tener en cuenta para aceptar la propuesta del departamento de mercadeo.</t>
  </si>
  <si>
    <t>Consideramos que no es conveniente aceptar la propuesta de mercadeo ya que realizando el analisis de las variaciones de los estados de resultado se evidencia una disminución de la utilidad operativa en un 47%, dado que los costos de ventas se incrementan y la utilidad no aumenta lo suficiente para cubrir el total de los ingresos por las unidades vendidas. Adicional el margen de contribución se disminuye en un 32% afectando el respaldo para el pago de los costos y gastos fijos de la operación.</t>
  </si>
  <si>
    <t>El punto de equilibrio aumentaría en un 64% pasando de $709.189.346,61 a $1.166.448.944,05.</t>
  </si>
  <si>
    <t>Planta</t>
  </si>
  <si>
    <t>ACT</t>
  </si>
  <si>
    <t>Gasto Fijo Total</t>
  </si>
  <si>
    <t>Extras</t>
  </si>
  <si>
    <t>Tipos</t>
  </si>
  <si>
    <t>Cantidades</t>
  </si>
  <si>
    <t>% Unidades</t>
  </si>
  <si>
    <t>Precio</t>
  </si>
  <si>
    <t>Costo</t>
  </si>
  <si>
    <t>Utilidad</t>
  </si>
  <si>
    <t>Ventas Totales</t>
  </si>
  <si>
    <t>Costos Totales</t>
  </si>
  <si>
    <t>Utilidad Total</t>
  </si>
  <si>
    <t>ESTADO DE RESULTADOS (COSTOS VARIABLES)</t>
  </si>
  <si>
    <t>ESTADO DE RESULTADOS (COSTO ABSORBENTE)</t>
  </si>
  <si>
    <t>INDICADORES</t>
  </si>
  <si>
    <t>Integrantes: Liset Bahamon, Johana Bastidas, Diana Cerquera, Nicolás González, Sara Salazar y Santiago Ulloa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</si>
</sst>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 #,##0.00_-;\-&quot;$&quot;\ * #,##0.00_-;_-&quot;$&quot;\ * &quot;-&quot;??_-;_-@_-"/>
    <numFmt numFmtId="43" formatCode="_-* #,##0.00_-;\-* #,##0.00_-;_-* &quot;-&quot;??_-;_-@_-"/>
    <numFmt numFmtId="164" formatCode="&quot;$&quot;\ #,##0.00"/>
    <numFmt numFmtId="165" formatCode="_-&quot;$&quot;\ * #,##0_-;\-&quot;$&quot;\ * #,##0_-;_-&quot;$&quot;\ * &quot;-&quot;??_-;_-@_-"/>
    <numFmt numFmtId="166" formatCode="_-* #,##0_-;\-* #,##0_-;_-* &quot;-&quot;??_-;_-@_-"/>
    <numFmt numFmtId="167" formatCode="&quot;$&quot;\ #,##0"/>
    <numFmt numFmtId="168" formatCode="_-&quot;$&quot;\ * #,##0.000_-;\-&quot;$&quot;\ * #,##0.000_-;_-&quot;$&quot;\ * &quot;-&quot;??_-;_-@_-"/>
    <numFmt numFmtId="169"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6" tint="0.79998168889431442"/>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bottom style="double">
        <color indexed="64"/>
      </bottom>
      <diagonal/>
    </border>
    <border>
      <left style="thin">
        <color indexed="64"/>
      </left>
      <right/>
      <top/>
      <bottom/>
      <diagonal/>
    </border>
    <border>
      <left/>
      <right style="thin">
        <color indexed="64"/>
      </right>
      <top/>
      <bottom/>
      <diagonal/>
    </border>
    <border>
      <left style="thin">
        <color indexed="64"/>
      </left>
      <right/>
      <top/>
      <bottom style="double">
        <color indexed="64"/>
      </bottom>
      <diagonal/>
    </border>
    <border>
      <left/>
      <right style="thin">
        <color indexed="64"/>
      </right>
      <top/>
      <bottom style="double">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18">
    <xf numFmtId="0" fontId="0" fillId="0" borderId="0" xfId="0"/>
    <xf numFmtId="0" fontId="0" fillId="0" borderId="0" xfId="0" applyBorder="1"/>
    <xf numFmtId="0" fontId="0" fillId="0" borderId="6" xfId="0" applyBorder="1"/>
    <xf numFmtId="0" fontId="0" fillId="0" borderId="10" xfId="0" applyBorder="1"/>
    <xf numFmtId="0" fontId="0" fillId="0" borderId="12" xfId="0" applyBorder="1"/>
    <xf numFmtId="0" fontId="2" fillId="0" borderId="2" xfId="0" applyFont="1" applyBorder="1"/>
    <xf numFmtId="0" fontId="2" fillId="0" borderId="5" xfId="0" applyFont="1" applyFill="1" applyBorder="1" applyAlignment="1">
      <alignment horizontal="center"/>
    </xf>
    <xf numFmtId="0" fontId="0" fillId="0" borderId="0" xfId="0" applyFill="1" applyAlignment="1">
      <alignment horizontal="center"/>
    </xf>
    <xf numFmtId="0" fontId="2" fillId="0" borderId="0" xfId="0" applyFont="1" applyFill="1" applyAlignment="1">
      <alignment horizontal="center"/>
    </xf>
    <xf numFmtId="10" fontId="0" fillId="0" borderId="0" xfId="3" applyNumberFormat="1" applyFont="1" applyFill="1" applyAlignment="1">
      <alignment horizontal="center"/>
    </xf>
    <xf numFmtId="2" fontId="0" fillId="0" borderId="0" xfId="0" applyNumberFormat="1" applyFill="1" applyAlignment="1">
      <alignment horizontal="center"/>
    </xf>
    <xf numFmtId="166" fontId="0" fillId="0" borderId="0" xfId="1" applyNumberFormat="1" applyFont="1" applyFill="1" applyAlignment="1">
      <alignment horizontal="center"/>
    </xf>
    <xf numFmtId="0" fontId="0" fillId="0" borderId="10" xfId="0" applyFill="1" applyBorder="1" applyAlignment="1">
      <alignment horizontal="center"/>
    </xf>
    <xf numFmtId="0" fontId="2" fillId="0" borderId="1" xfId="0" applyFont="1" applyFill="1" applyBorder="1" applyAlignment="1">
      <alignment horizontal="center"/>
    </xf>
    <xf numFmtId="0" fontId="0" fillId="0" borderId="12" xfId="0" applyFill="1" applyBorder="1" applyAlignment="1">
      <alignment horizontal="center"/>
    </xf>
    <xf numFmtId="164" fontId="0" fillId="0" borderId="0" xfId="0" applyNumberFormat="1" applyFill="1" applyAlignment="1">
      <alignment horizontal="center"/>
    </xf>
    <xf numFmtId="44" fontId="0" fillId="0" borderId="0" xfId="2" applyFont="1" applyFill="1" applyAlignment="1">
      <alignment horizontal="center"/>
    </xf>
    <xf numFmtId="165" fontId="0" fillId="0" borderId="0" xfId="2" applyNumberFormat="1" applyFont="1" applyFill="1" applyAlignment="1">
      <alignment horizontal="center"/>
    </xf>
    <xf numFmtId="165" fontId="0" fillId="0" borderId="0" xfId="0" applyNumberFormat="1" applyFill="1" applyAlignment="1">
      <alignment horizontal="center"/>
    </xf>
    <xf numFmtId="44" fontId="0" fillId="0" borderId="13" xfId="2" applyFont="1" applyFill="1" applyBorder="1" applyAlignment="1">
      <alignment horizontal="center"/>
    </xf>
    <xf numFmtId="0" fontId="0" fillId="0" borderId="6" xfId="0" applyFill="1" applyBorder="1" applyAlignment="1">
      <alignment horizontal="center"/>
    </xf>
    <xf numFmtId="167" fontId="0" fillId="0" borderId="0" xfId="0" applyNumberFormat="1" applyFill="1" applyAlignment="1">
      <alignment horizontal="center"/>
    </xf>
    <xf numFmtId="0" fontId="2" fillId="0" borderId="7" xfId="0" applyFont="1" applyFill="1" applyBorder="1" applyAlignment="1">
      <alignment horizontal="center"/>
    </xf>
    <xf numFmtId="44" fontId="0" fillId="0" borderId="14" xfId="2" applyFont="1" applyFill="1" applyBorder="1" applyAlignment="1">
      <alignment horizontal="center"/>
    </xf>
    <xf numFmtId="0" fontId="0" fillId="0" borderId="9" xfId="0" applyFill="1" applyBorder="1" applyAlignment="1">
      <alignment horizontal="center"/>
    </xf>
    <xf numFmtId="0" fontId="2" fillId="0" borderId="10" xfId="0" applyFont="1" applyFill="1" applyBorder="1" applyAlignment="1">
      <alignment horizontal="center"/>
    </xf>
    <xf numFmtId="44" fontId="0" fillId="0" borderId="11" xfId="0" applyNumberFormat="1" applyFill="1" applyBorder="1" applyAlignment="1">
      <alignment horizontal="center"/>
    </xf>
    <xf numFmtId="0" fontId="2" fillId="0" borderId="0" xfId="0" applyFont="1" applyFill="1" applyBorder="1" applyAlignment="1">
      <alignment horizontal="center"/>
    </xf>
    <xf numFmtId="0" fontId="2" fillId="0" borderId="6" xfId="0" applyFont="1" applyFill="1" applyBorder="1" applyAlignment="1">
      <alignment horizontal="center"/>
    </xf>
    <xf numFmtId="0" fontId="0" fillId="0" borderId="5" xfId="0" applyFill="1" applyBorder="1" applyAlignment="1">
      <alignment horizontal="center"/>
    </xf>
    <xf numFmtId="0" fontId="0" fillId="0" borderId="0" xfId="0" applyFill="1" applyBorder="1" applyAlignment="1">
      <alignment horizontal="center"/>
    </xf>
    <xf numFmtId="165" fontId="1" fillId="0" borderId="0" xfId="3" applyNumberFormat="1" applyFont="1" applyFill="1" applyAlignment="1">
      <alignment horizontal="center"/>
    </xf>
    <xf numFmtId="0" fontId="0" fillId="0" borderId="5" xfId="0" applyFont="1" applyFill="1" applyBorder="1" applyAlignment="1">
      <alignment horizontal="center"/>
    </xf>
    <xf numFmtId="166" fontId="0" fillId="0" borderId="0" xfId="1" applyNumberFormat="1" applyFont="1" applyFill="1" applyBorder="1" applyAlignment="1">
      <alignment horizontal="center"/>
    </xf>
    <xf numFmtId="166" fontId="0" fillId="0" borderId="6" xfId="1" applyNumberFormat="1" applyFont="1" applyFill="1" applyBorder="1" applyAlignment="1">
      <alignment horizontal="center"/>
    </xf>
    <xf numFmtId="166" fontId="0" fillId="0" borderId="0" xfId="0" applyNumberFormat="1" applyFill="1" applyAlignment="1">
      <alignment horizontal="center"/>
    </xf>
    <xf numFmtId="0" fontId="0" fillId="0" borderId="7" xfId="0" applyFont="1" applyFill="1" applyBorder="1" applyAlignment="1">
      <alignment horizontal="center"/>
    </xf>
    <xf numFmtId="166" fontId="0" fillId="0" borderId="8" xfId="1" applyNumberFormat="1" applyFont="1" applyFill="1" applyBorder="1" applyAlignment="1">
      <alignment horizontal="center"/>
    </xf>
    <xf numFmtId="166" fontId="0" fillId="0" borderId="9" xfId="1" applyNumberFormat="1" applyFont="1" applyFill="1" applyBorder="1" applyAlignment="1">
      <alignment horizontal="center"/>
    </xf>
    <xf numFmtId="9" fontId="0" fillId="0" borderId="0" xfId="3" applyFont="1" applyFill="1" applyAlignment="1">
      <alignment horizontal="center"/>
    </xf>
    <xf numFmtId="43" fontId="0" fillId="0" borderId="0" xfId="1" applyFont="1" applyFill="1" applyAlignment="1">
      <alignment horizontal="center"/>
    </xf>
    <xf numFmtId="0" fontId="0" fillId="0" borderId="8" xfId="0" applyFill="1" applyBorder="1" applyAlignment="1">
      <alignment horizontal="center"/>
    </xf>
    <xf numFmtId="17" fontId="0" fillId="0" borderId="0" xfId="0" applyNumberFormat="1" applyFill="1" applyAlignment="1">
      <alignment horizontal="center"/>
    </xf>
    <xf numFmtId="0" fontId="0" fillId="0" borderId="2" xfId="0" applyFill="1" applyBorder="1" applyAlignment="1">
      <alignment horizontal="center"/>
    </xf>
    <xf numFmtId="164" fontId="0" fillId="0" borderId="4" xfId="0" applyNumberFormat="1" applyFill="1" applyBorder="1" applyAlignment="1">
      <alignment horizontal="center"/>
    </xf>
    <xf numFmtId="164" fontId="0" fillId="0" borderId="6" xfId="0" applyNumberFormat="1" applyFill="1" applyBorder="1" applyAlignment="1">
      <alignment horizontal="center"/>
    </xf>
    <xf numFmtId="0" fontId="0" fillId="0" borderId="7" xfId="0" applyFill="1" applyBorder="1" applyAlignment="1">
      <alignment horizontal="center"/>
    </xf>
    <xf numFmtId="164" fontId="2" fillId="0" borderId="9" xfId="0" applyNumberFormat="1" applyFont="1" applyFill="1" applyBorder="1" applyAlignment="1">
      <alignment horizontal="center"/>
    </xf>
    <xf numFmtId="164" fontId="0" fillId="0" borderId="9" xfId="0" applyNumberFormat="1" applyFill="1" applyBorder="1" applyAlignment="1">
      <alignment horizontal="center"/>
    </xf>
    <xf numFmtId="44" fontId="0" fillId="0" borderId="0" xfId="2" applyFont="1" applyFill="1" applyBorder="1" applyAlignment="1">
      <alignment horizontal="center"/>
    </xf>
    <xf numFmtId="44" fontId="0" fillId="0" borderId="6" xfId="0" applyNumberFormat="1" applyFill="1" applyBorder="1" applyAlignment="1">
      <alignment horizontal="center"/>
    </xf>
    <xf numFmtId="44" fontId="0" fillId="0" borderId="8" xfId="2" applyFont="1" applyFill="1" applyBorder="1" applyAlignment="1">
      <alignment horizontal="center"/>
    </xf>
    <xf numFmtId="0" fontId="0" fillId="0" borderId="15"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9" fontId="0" fillId="0" borderId="6" xfId="0" applyNumberFormat="1" applyFill="1" applyBorder="1" applyAlignment="1">
      <alignment horizontal="center"/>
    </xf>
    <xf numFmtId="9" fontId="0" fillId="0" borderId="9" xfId="0" applyNumberForma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44" fontId="0" fillId="0" borderId="13" xfId="0" applyNumberFormat="1" applyFill="1" applyBorder="1" applyAlignment="1">
      <alignment horizontal="center"/>
    </xf>
    <xf numFmtId="44" fontId="0" fillId="0" borderId="14" xfId="0" applyNumberFormat="1" applyFill="1" applyBorder="1" applyAlignment="1">
      <alignment horizontal="center"/>
    </xf>
    <xf numFmtId="0" fontId="2" fillId="3" borderId="1" xfId="0" applyFont="1" applyFill="1" applyBorder="1" applyAlignment="1"/>
    <xf numFmtId="165" fontId="0" fillId="0" borderId="0" xfId="2" applyNumberFormat="1" applyFont="1" applyFill="1" applyBorder="1" applyAlignment="1">
      <alignment horizontal="center"/>
    </xf>
    <xf numFmtId="0" fontId="2" fillId="0" borderId="15" xfId="0" applyFont="1" applyFill="1" applyBorder="1" applyAlignment="1">
      <alignment horizontal="center"/>
    </xf>
    <xf numFmtId="2" fontId="0" fillId="0" borderId="13" xfId="0" applyNumberFormat="1" applyFill="1" applyBorder="1" applyAlignment="1">
      <alignment horizontal="right"/>
    </xf>
    <xf numFmtId="166" fontId="0" fillId="0" borderId="6" xfId="1" applyNumberFormat="1" applyFont="1" applyFill="1" applyBorder="1" applyAlignment="1">
      <alignment horizontal="right"/>
    </xf>
    <xf numFmtId="167" fontId="0" fillId="0" borderId="14" xfId="0" applyNumberFormat="1" applyFill="1" applyBorder="1" applyAlignment="1">
      <alignment horizontal="right"/>
    </xf>
    <xf numFmtId="0" fontId="0" fillId="0" borderId="9" xfId="0" applyFill="1" applyBorder="1" applyAlignment="1">
      <alignment horizontal="right"/>
    </xf>
    <xf numFmtId="165" fontId="0" fillId="0" borderId="0" xfId="0" applyNumberFormat="1" applyFill="1" applyBorder="1" applyAlignment="1">
      <alignment horizontal="center"/>
    </xf>
    <xf numFmtId="165" fontId="0" fillId="0" borderId="13" xfId="0" applyNumberFormat="1" applyFill="1" applyBorder="1" applyAlignment="1">
      <alignment horizontal="center"/>
    </xf>
    <xf numFmtId="167" fontId="0" fillId="0" borderId="13" xfId="0" applyNumberFormat="1" applyFill="1" applyBorder="1" applyAlignment="1">
      <alignment horizontal="right"/>
    </xf>
    <xf numFmtId="0" fontId="2" fillId="6" borderId="10" xfId="0" applyFont="1" applyFill="1" applyBorder="1" applyAlignment="1">
      <alignment horizontal="center"/>
    </xf>
    <xf numFmtId="0" fontId="2" fillId="6" borderId="1" xfId="0" applyFont="1" applyFill="1" applyBorder="1" applyAlignment="1">
      <alignment horizontal="center"/>
    </xf>
    <xf numFmtId="165" fontId="0" fillId="6" borderId="11" xfId="0" applyNumberFormat="1" applyFill="1" applyBorder="1" applyAlignment="1">
      <alignment horizontal="center"/>
    </xf>
    <xf numFmtId="165" fontId="0" fillId="6" borderId="12" xfId="0" applyNumberFormat="1" applyFill="1" applyBorder="1" applyAlignment="1">
      <alignment horizontal="center"/>
    </xf>
    <xf numFmtId="0" fontId="2" fillId="4" borderId="10" xfId="0" applyFont="1" applyFill="1" applyBorder="1" applyAlignment="1">
      <alignment horizontal="center"/>
    </xf>
    <xf numFmtId="167" fontId="0" fillId="4" borderId="11" xfId="1" applyNumberFormat="1" applyFont="1" applyFill="1" applyBorder="1" applyAlignment="1">
      <alignment horizontal="right"/>
    </xf>
    <xf numFmtId="167" fontId="0" fillId="4" borderId="12" xfId="0" applyNumberFormat="1" applyFill="1" applyBorder="1" applyAlignment="1">
      <alignment horizontal="right"/>
    </xf>
    <xf numFmtId="0" fontId="2" fillId="7" borderId="10" xfId="0" applyFont="1" applyFill="1" applyBorder="1" applyAlignment="1">
      <alignment horizontal="center"/>
    </xf>
    <xf numFmtId="165" fontId="0" fillId="7" borderId="11" xfId="2" applyNumberFormat="1" applyFont="1" applyFill="1" applyBorder="1" applyAlignment="1">
      <alignment horizontal="center"/>
    </xf>
    <xf numFmtId="165" fontId="0" fillId="7" borderId="12" xfId="2" applyNumberFormat="1" applyFont="1" applyFill="1" applyBorder="1" applyAlignment="1">
      <alignment horizontal="center"/>
    </xf>
    <xf numFmtId="10" fontId="0" fillId="0" borderId="0" xfId="3" applyNumberFormat="1" applyFont="1" applyFill="1" applyBorder="1" applyAlignment="1">
      <alignment horizontal="center"/>
    </xf>
    <xf numFmtId="10" fontId="2" fillId="0" borderId="8" xfId="3" applyNumberFormat="1" applyFont="1" applyFill="1" applyBorder="1" applyAlignment="1">
      <alignment horizontal="center"/>
    </xf>
    <xf numFmtId="44" fontId="2" fillId="0" borderId="9" xfId="0" applyNumberFormat="1" applyFont="1" applyFill="1" applyBorder="1" applyAlignment="1">
      <alignment horizontal="center"/>
    </xf>
    <xf numFmtId="0" fontId="0" fillId="0" borderId="16" xfId="0" applyFill="1" applyBorder="1" applyAlignment="1">
      <alignment horizontal="center"/>
    </xf>
    <xf numFmtId="10" fontId="0" fillId="0" borderId="17" xfId="3" applyNumberFormat="1" applyFont="1" applyFill="1" applyBorder="1" applyAlignment="1">
      <alignment horizontal="center"/>
    </xf>
    <xf numFmtId="165" fontId="0" fillId="0" borderId="17" xfId="0" applyNumberFormat="1" applyFill="1" applyBorder="1" applyAlignment="1">
      <alignment horizontal="center"/>
    </xf>
    <xf numFmtId="44" fontId="0" fillId="0" borderId="18" xfId="0" applyNumberFormat="1" applyFill="1" applyBorder="1" applyAlignment="1">
      <alignment horizontal="center"/>
    </xf>
    <xf numFmtId="165" fontId="0" fillId="0" borderId="19" xfId="2" applyNumberFormat="1" applyFont="1" applyFill="1" applyBorder="1" applyAlignment="1">
      <alignment horizontal="right"/>
    </xf>
    <xf numFmtId="165" fontId="0" fillId="0" borderId="18" xfId="0" applyNumberFormat="1" applyFill="1" applyBorder="1" applyAlignment="1">
      <alignment horizontal="right"/>
    </xf>
    <xf numFmtId="2" fontId="0" fillId="0" borderId="20" xfId="0" applyNumberFormat="1" applyFill="1" applyBorder="1" applyAlignment="1">
      <alignment horizontal="center"/>
    </xf>
    <xf numFmtId="165" fontId="0" fillId="0" borderId="21" xfId="0" applyNumberFormat="1" applyFill="1" applyBorder="1" applyAlignment="1">
      <alignment horizontal="center"/>
    </xf>
    <xf numFmtId="2" fontId="0" fillId="0" borderId="22" xfId="0" applyNumberFormat="1" applyFill="1" applyBorder="1" applyAlignment="1">
      <alignment horizontal="center"/>
    </xf>
    <xf numFmtId="165" fontId="0" fillId="0" borderId="23" xfId="0" applyNumberFormat="1" applyFill="1" applyBorder="1" applyAlignment="1">
      <alignment horizontal="center"/>
    </xf>
    <xf numFmtId="0" fontId="0" fillId="0" borderId="25" xfId="0" applyFill="1" applyBorder="1" applyAlignment="1">
      <alignment horizontal="center"/>
    </xf>
    <xf numFmtId="2" fontId="2" fillId="0" borderId="27" xfId="0" applyNumberFormat="1" applyFont="1" applyFill="1" applyBorder="1" applyAlignment="1">
      <alignment horizontal="center"/>
    </xf>
    <xf numFmtId="165" fontId="0" fillId="0" borderId="28" xfId="0" applyNumberFormat="1" applyFill="1" applyBorder="1" applyAlignment="1">
      <alignment horizontal="center"/>
    </xf>
    <xf numFmtId="165" fontId="0" fillId="0" borderId="29" xfId="0" applyNumberFormat="1" applyFill="1" applyBorder="1" applyAlignment="1">
      <alignment horizontal="center"/>
    </xf>
    <xf numFmtId="0" fontId="0" fillId="0" borderId="30" xfId="0" applyFill="1" applyBorder="1" applyAlignment="1">
      <alignment horizontal="center"/>
    </xf>
    <xf numFmtId="10" fontId="0" fillId="0" borderId="28" xfId="3" applyNumberFormat="1" applyFont="1" applyFill="1" applyBorder="1" applyAlignment="1">
      <alignment horizontal="center"/>
    </xf>
    <xf numFmtId="10" fontId="0" fillId="0" borderId="29" xfId="3" applyNumberFormat="1" applyFont="1" applyFill="1" applyBorder="1" applyAlignment="1">
      <alignment horizontal="center"/>
    </xf>
    <xf numFmtId="44" fontId="0" fillId="0" borderId="28" xfId="0" applyNumberFormat="1" applyFill="1" applyBorder="1" applyAlignment="1">
      <alignment horizontal="center"/>
    </xf>
    <xf numFmtId="44" fontId="0" fillId="0" borderId="29" xfId="0" applyNumberFormat="1" applyFill="1" applyBorder="1" applyAlignment="1">
      <alignment horizontal="center"/>
    </xf>
    <xf numFmtId="44" fontId="2" fillId="0" borderId="30" xfId="0" applyNumberFormat="1" applyFont="1" applyFill="1" applyBorder="1" applyAlignment="1">
      <alignment horizontal="center"/>
    </xf>
    <xf numFmtId="0" fontId="0" fillId="0" borderId="0" xfId="0" applyFill="1" applyAlignment="1">
      <alignment horizontal="right"/>
    </xf>
    <xf numFmtId="168" fontId="1" fillId="0" borderId="6" xfId="3" applyNumberFormat="1"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44" fontId="0" fillId="0" borderId="32" xfId="0" applyNumberFormat="1" applyFill="1" applyBorder="1" applyAlignment="1">
      <alignment horizontal="center"/>
    </xf>
    <xf numFmtId="167" fontId="0" fillId="0" borderId="9" xfId="0" applyNumberFormat="1" applyFill="1" applyBorder="1" applyAlignment="1">
      <alignment horizontal="right"/>
    </xf>
    <xf numFmtId="167" fontId="2" fillId="0" borderId="9" xfId="0" applyNumberFormat="1" applyFont="1" applyFill="1" applyBorder="1" applyAlignment="1">
      <alignment horizontal="right"/>
    </xf>
    <xf numFmtId="167" fontId="0" fillId="0" borderId="4" xfId="0" applyNumberFormat="1" applyFill="1" applyBorder="1" applyAlignment="1">
      <alignment horizontal="right"/>
    </xf>
    <xf numFmtId="167" fontId="0" fillId="0" borderId="18" xfId="0" applyNumberFormat="1" applyFill="1" applyBorder="1" applyAlignment="1">
      <alignment horizontal="right"/>
    </xf>
    <xf numFmtId="167" fontId="2" fillId="0" borderId="6" xfId="0" applyNumberFormat="1" applyFont="1" applyFill="1" applyBorder="1" applyAlignment="1">
      <alignment horizontal="right"/>
    </xf>
    <xf numFmtId="0" fontId="0" fillId="0" borderId="16" xfId="0" applyFont="1" applyFill="1" applyBorder="1" applyAlignment="1">
      <alignment horizontal="center"/>
    </xf>
    <xf numFmtId="167" fontId="0" fillId="0" borderId="18" xfId="0" applyNumberFormat="1" applyFont="1" applyFill="1" applyBorder="1" applyAlignment="1">
      <alignment horizontal="right"/>
    </xf>
    <xf numFmtId="0" fontId="2" fillId="6" borderId="11" xfId="0" applyFont="1" applyFill="1" applyBorder="1" applyAlignment="1">
      <alignment horizontal="center"/>
    </xf>
    <xf numFmtId="0" fontId="2" fillId="6" borderId="12" xfId="0" applyFont="1" applyFill="1" applyBorder="1" applyAlignment="1">
      <alignment horizontal="center"/>
    </xf>
    <xf numFmtId="0" fontId="2" fillId="4" borderId="12" xfId="0" applyFont="1" applyFill="1" applyBorder="1" applyAlignment="1">
      <alignment horizontal="center"/>
    </xf>
    <xf numFmtId="0" fontId="2" fillId="5" borderId="10" xfId="0" applyFont="1" applyFill="1" applyBorder="1" applyAlignment="1">
      <alignment horizontal="center"/>
    </xf>
    <xf numFmtId="0" fontId="2" fillId="5" borderId="11" xfId="0" applyFont="1" applyFill="1" applyBorder="1" applyAlignment="1">
      <alignment horizontal="center"/>
    </xf>
    <xf numFmtId="0" fontId="2" fillId="5" borderId="12" xfId="0" applyFont="1" applyFill="1" applyBorder="1" applyAlignment="1">
      <alignment horizontal="center"/>
    </xf>
    <xf numFmtId="166" fontId="0" fillId="0" borderId="4" xfId="0" applyNumberFormat="1" applyFill="1" applyBorder="1" applyAlignment="1">
      <alignment horizontal="center"/>
    </xf>
    <xf numFmtId="44" fontId="0" fillId="0" borderId="31" xfId="2" applyFont="1" applyFill="1" applyBorder="1" applyAlignment="1">
      <alignment horizontal="center"/>
    </xf>
    <xf numFmtId="0" fontId="2" fillId="2" borderId="1" xfId="0" applyFont="1" applyFill="1" applyBorder="1" applyAlignment="1">
      <alignment horizontal="center"/>
    </xf>
    <xf numFmtId="0" fontId="2" fillId="2" borderId="12" xfId="0" applyFont="1" applyFill="1" applyBorder="1" applyAlignment="1">
      <alignment horizontal="center"/>
    </xf>
    <xf numFmtId="0" fontId="2" fillId="2" borderId="10" xfId="0" applyFont="1" applyFill="1" applyBorder="1" applyAlignment="1">
      <alignment horizontal="center"/>
    </xf>
    <xf numFmtId="0" fontId="2" fillId="2" borderId="33" xfId="0" applyFont="1" applyFill="1" applyBorder="1" applyAlignment="1">
      <alignment horizontal="center"/>
    </xf>
    <xf numFmtId="10" fontId="2" fillId="2" borderId="11" xfId="3" applyNumberFormat="1" applyFont="1" applyFill="1" applyBorder="1" applyAlignment="1">
      <alignment horizontal="center"/>
    </xf>
    <xf numFmtId="0" fontId="2" fillId="2" borderId="11" xfId="0" applyFont="1" applyFill="1" applyBorder="1" applyAlignment="1">
      <alignment horizontal="center"/>
    </xf>
    <xf numFmtId="0" fontId="2" fillId="2" borderId="24" xfId="0" applyFont="1" applyFill="1" applyBorder="1" applyAlignment="1">
      <alignment horizontal="center"/>
    </xf>
    <xf numFmtId="0" fontId="2" fillId="2" borderId="26" xfId="0" applyFont="1" applyFill="1" applyBorder="1" applyAlignment="1">
      <alignment horizontal="center"/>
    </xf>
    <xf numFmtId="0" fontId="0" fillId="0" borderId="15" xfId="0" applyBorder="1"/>
    <xf numFmtId="0" fontId="0" fillId="0" borderId="13" xfId="0" applyBorder="1"/>
    <xf numFmtId="167" fontId="0" fillId="0" borderId="2" xfId="0" applyNumberFormat="1" applyBorder="1"/>
    <xf numFmtId="43" fontId="0" fillId="0" borderId="3" xfId="1" applyFont="1" applyBorder="1"/>
    <xf numFmtId="9" fontId="0" fillId="0" borderId="4" xfId="3" applyFont="1" applyBorder="1"/>
    <xf numFmtId="167" fontId="0" fillId="0" borderId="5" xfId="0" applyNumberFormat="1" applyBorder="1"/>
    <xf numFmtId="43" fontId="0" fillId="0" borderId="0" xfId="1" applyFont="1" applyBorder="1"/>
    <xf numFmtId="9" fontId="0" fillId="0" borderId="6" xfId="3" applyFont="1" applyBorder="1"/>
    <xf numFmtId="43" fontId="0" fillId="0" borderId="8" xfId="1" applyFont="1" applyBorder="1"/>
    <xf numFmtId="9" fontId="0" fillId="0" borderId="9" xfId="3" applyFont="1" applyBorder="1"/>
    <xf numFmtId="0" fontId="2" fillId="0" borderId="15" xfId="0" applyFont="1" applyBorder="1"/>
    <xf numFmtId="167" fontId="0" fillId="0" borderId="8" xfId="0" applyNumberFormat="1" applyFill="1" applyBorder="1" applyAlignment="1">
      <alignment horizontal="right"/>
    </xf>
    <xf numFmtId="0" fontId="2" fillId="0" borderId="13" xfId="0" applyFont="1" applyBorder="1"/>
    <xf numFmtId="0" fontId="2" fillId="0" borderId="13" xfId="0" applyFont="1" applyBorder="1" applyAlignment="1">
      <alignment horizontal="center"/>
    </xf>
    <xf numFmtId="0" fontId="0" fillId="0" borderId="19" xfId="0" applyBorder="1"/>
    <xf numFmtId="0" fontId="0" fillId="0" borderId="19" xfId="0" applyFont="1" applyFill="1" applyBorder="1"/>
    <xf numFmtId="43" fontId="0" fillId="0" borderId="17" xfId="1" applyFont="1" applyBorder="1"/>
    <xf numFmtId="9" fontId="0" fillId="0" borderId="18" xfId="3" applyFont="1" applyBorder="1"/>
    <xf numFmtId="43" fontId="1" fillId="0" borderId="17" xfId="1" applyFont="1" applyFill="1" applyBorder="1"/>
    <xf numFmtId="0" fontId="2" fillId="0" borderId="14" xfId="0" applyFont="1" applyBorder="1" applyAlignment="1">
      <alignment horizontal="center"/>
    </xf>
    <xf numFmtId="167" fontId="0" fillId="0" borderId="16" xfId="0" applyNumberFormat="1" applyBorder="1"/>
    <xf numFmtId="167" fontId="0" fillId="0" borderId="16" xfId="0" applyNumberFormat="1" applyFill="1" applyBorder="1"/>
    <xf numFmtId="167" fontId="0" fillId="0" borderId="7" xfId="0" applyNumberFormat="1" applyBorder="1"/>
    <xf numFmtId="167" fontId="0" fillId="0" borderId="16" xfId="0" applyNumberFormat="1" applyFont="1" applyFill="1" applyBorder="1"/>
    <xf numFmtId="167" fontId="0" fillId="0" borderId="7" xfId="0" applyNumberFormat="1" applyFill="1" applyBorder="1" applyAlignment="1">
      <alignment horizontal="right"/>
    </xf>
    <xf numFmtId="0" fontId="0" fillId="0" borderId="0" xfId="0" applyBorder="1" applyAlignment="1"/>
    <xf numFmtId="44" fontId="2" fillId="8" borderId="10" xfId="2" applyFont="1" applyFill="1" applyBorder="1"/>
    <xf numFmtId="0" fontId="2" fillId="8" borderId="11" xfId="0" applyFont="1" applyFill="1" applyBorder="1"/>
    <xf numFmtId="0" fontId="2" fillId="8" borderId="12" xfId="0" applyFont="1" applyFill="1" applyBorder="1"/>
    <xf numFmtId="165" fontId="0" fillId="0" borderId="5" xfId="2" applyNumberFormat="1" applyFont="1" applyBorder="1"/>
    <xf numFmtId="165" fontId="0" fillId="0" borderId="6" xfId="2" applyNumberFormat="1" applyFont="1" applyBorder="1"/>
    <xf numFmtId="165" fontId="1" fillId="0" borderId="5" xfId="3" applyNumberFormat="1" applyFont="1" applyBorder="1"/>
    <xf numFmtId="165" fontId="1" fillId="0" borderId="6" xfId="3" applyNumberFormat="1" applyFont="1" applyBorder="1"/>
    <xf numFmtId="168" fontId="1" fillId="0" borderId="5" xfId="3" applyNumberFormat="1" applyFont="1" applyBorder="1"/>
    <xf numFmtId="168" fontId="1" fillId="0" borderId="6" xfId="3" applyNumberFormat="1" applyFont="1" applyBorder="1"/>
    <xf numFmtId="44" fontId="0" fillId="0" borderId="5" xfId="2" applyFont="1" applyBorder="1"/>
    <xf numFmtId="166" fontId="0" fillId="0" borderId="5" xfId="0" applyNumberFormat="1" applyBorder="1"/>
    <xf numFmtId="166" fontId="0" fillId="0" borderId="6" xfId="0" applyNumberFormat="1" applyBorder="1"/>
    <xf numFmtId="9" fontId="0" fillId="0" borderId="5" xfId="3" applyFont="1" applyBorder="1"/>
    <xf numFmtId="169" fontId="0" fillId="0" borderId="6" xfId="3" applyNumberFormat="1" applyFont="1" applyBorder="1"/>
    <xf numFmtId="9" fontId="0" fillId="0" borderId="7" xfId="3" applyFont="1" applyBorder="1"/>
    <xf numFmtId="10" fontId="0" fillId="0" borderId="9" xfId="3" applyNumberFormat="1" applyFont="1" applyBorder="1"/>
    <xf numFmtId="0" fontId="2" fillId="0" borderId="14" xfId="0" applyFont="1" applyBorder="1"/>
    <xf numFmtId="165" fontId="0" fillId="0" borderId="0" xfId="2" applyNumberFormat="1" applyFont="1" applyBorder="1"/>
    <xf numFmtId="165" fontId="1" fillId="0" borderId="0" xfId="3" applyNumberFormat="1" applyFont="1" applyBorder="1"/>
    <xf numFmtId="168" fontId="1" fillId="0" borderId="0" xfId="3" applyNumberFormat="1" applyFont="1" applyBorder="1"/>
    <xf numFmtId="166" fontId="0" fillId="0" borderId="0" xfId="0" applyNumberFormat="1" applyBorder="1"/>
    <xf numFmtId="169" fontId="0" fillId="0" borderId="0" xfId="3" applyNumberFormat="1" applyFont="1" applyBorder="1"/>
    <xf numFmtId="10" fontId="0" fillId="0" borderId="8" xfId="3" applyNumberFormat="1" applyFont="1" applyBorder="1"/>
    <xf numFmtId="0" fontId="2" fillId="0" borderId="10" xfId="0" applyFont="1" applyBorder="1"/>
    <xf numFmtId="0" fontId="0" fillId="0" borderId="11" xfId="0" applyBorder="1"/>
    <xf numFmtId="0" fontId="3" fillId="0" borderId="10" xfId="0" applyFont="1" applyBorder="1"/>
    <xf numFmtId="0" fontId="2" fillId="2" borderId="2" xfId="0" applyFont="1" applyFill="1" applyBorder="1" applyAlignment="1">
      <alignment horizontal="center"/>
    </xf>
    <xf numFmtId="0" fontId="2" fillId="2" borderId="4" xfId="0" applyFont="1" applyFill="1" applyBorder="1" applyAlignment="1">
      <alignment horizontal="center"/>
    </xf>
    <xf numFmtId="44" fontId="2" fillId="3" borderId="10" xfId="0" applyNumberFormat="1" applyFont="1" applyFill="1" applyBorder="1" applyAlignment="1">
      <alignment horizontal="center"/>
    </xf>
    <xf numFmtId="44" fontId="2" fillId="3" borderId="12" xfId="0" applyNumberFormat="1" applyFont="1" applyFill="1" applyBorder="1" applyAlignment="1">
      <alignment horizontal="center"/>
    </xf>
    <xf numFmtId="9" fontId="0" fillId="0" borderId="7" xfId="3" applyFont="1" applyFill="1" applyBorder="1" applyAlignment="1">
      <alignment horizontal="center"/>
    </xf>
    <xf numFmtId="9" fontId="0" fillId="0" borderId="9" xfId="3" applyFont="1" applyFill="1" applyBorder="1" applyAlignment="1">
      <alignment horizontal="center"/>
    </xf>
    <xf numFmtId="10" fontId="0" fillId="0" borderId="5" xfId="3" applyNumberFormat="1" applyFont="1" applyFill="1" applyBorder="1" applyAlignment="1">
      <alignment horizontal="center"/>
    </xf>
    <xf numFmtId="10" fontId="0" fillId="0" borderId="6" xfId="3" applyNumberFormat="1" applyFont="1" applyFill="1" applyBorder="1" applyAlignment="1">
      <alignment horizontal="center"/>
    </xf>
    <xf numFmtId="2" fontId="1" fillId="0" borderId="5" xfId="3" applyNumberFormat="1" applyFont="1" applyFill="1" applyBorder="1" applyAlignment="1">
      <alignment horizontal="center"/>
    </xf>
    <xf numFmtId="2" fontId="1" fillId="0" borderId="6" xfId="3" applyNumberFormat="1" applyFont="1" applyFill="1" applyBorder="1" applyAlignment="1">
      <alignment horizontal="center"/>
    </xf>
    <xf numFmtId="2" fontId="0" fillId="0" borderId="5" xfId="0" applyNumberFormat="1" applyFill="1" applyBorder="1" applyAlignment="1">
      <alignment horizontal="center" vertical="center"/>
    </xf>
    <xf numFmtId="2" fontId="0" fillId="0" borderId="6" xfId="0" applyNumberFormat="1" applyFill="1" applyBorder="1" applyAlignment="1">
      <alignment horizontal="center" vertical="center"/>
    </xf>
    <xf numFmtId="9" fontId="0" fillId="0" borderId="5" xfId="3" applyFont="1" applyFill="1" applyBorder="1" applyAlignment="1">
      <alignment horizontal="center"/>
    </xf>
    <xf numFmtId="9" fontId="0" fillId="0" borderId="6" xfId="3" applyFont="1" applyFill="1" applyBorder="1" applyAlignment="1">
      <alignment horizontal="center"/>
    </xf>
    <xf numFmtId="10" fontId="0" fillId="0" borderId="0" xfId="3" applyNumberFormat="1" applyFont="1" applyFill="1" applyBorder="1" applyAlignment="1">
      <alignment horizontal="center"/>
    </xf>
    <xf numFmtId="9" fontId="0" fillId="0" borderId="7" xfId="3" applyFont="1" applyBorder="1" applyAlignment="1">
      <alignment horizontal="center"/>
    </xf>
    <xf numFmtId="9" fontId="0" fillId="0" borderId="9" xfId="3" applyFont="1" applyBorder="1" applyAlignment="1">
      <alignment horizontal="center"/>
    </xf>
    <xf numFmtId="9" fontId="0" fillId="0" borderId="5" xfId="3" applyFont="1" applyBorder="1" applyAlignment="1">
      <alignment horizontal="center"/>
    </xf>
    <xf numFmtId="9" fontId="0" fillId="0" borderId="6" xfId="3" applyFont="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0"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cellXfs>
  <cellStyles count="4">
    <cellStyle name="Millares" xfId="1" builtinId="3"/>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62"/>
  <sheetViews>
    <sheetView showGridLines="0" tabSelected="1" topLeftCell="K1" workbookViewId="0">
      <selection activeCell="W6" sqref="W6"/>
    </sheetView>
  </sheetViews>
  <sheetFormatPr baseColWidth="10" defaultColWidth="8.88671875" defaultRowHeight="14.4" x14ac:dyDescent="0.3"/>
  <cols>
    <col min="1" max="1" width="8.88671875" style="7"/>
    <col min="2" max="2" width="28.109375" style="7" bestFit="1" customWidth="1"/>
    <col min="3" max="3" width="15.33203125" style="7" bestFit="1" customWidth="1"/>
    <col min="4" max="4" width="16.44140625" style="7" bestFit="1" customWidth="1"/>
    <col min="5" max="5" width="17.6640625" style="7" customWidth="1"/>
    <col min="6" max="6" width="0" style="7" hidden="1" customWidth="1"/>
    <col min="7" max="7" width="3.109375" style="7" customWidth="1"/>
    <col min="8" max="8" width="25.6640625" style="7" bestFit="1" customWidth="1"/>
    <col min="9" max="10" width="15.5546875" style="7" bestFit="1" customWidth="1"/>
    <col min="11" max="11" width="17.88671875" style="7" bestFit="1" customWidth="1"/>
    <col min="12" max="12" width="6.6640625" style="7" customWidth="1"/>
    <col min="13" max="13" width="26.109375" style="7" bestFit="1" customWidth="1"/>
    <col min="14" max="15" width="25.33203125" style="7" customWidth="1"/>
    <col min="16" max="16" width="23.33203125" style="7" bestFit="1" customWidth="1"/>
    <col min="17" max="17" width="12" style="7" bestFit="1" customWidth="1"/>
    <col min="18" max="18" width="11.6640625" style="7" bestFit="1" customWidth="1"/>
    <col min="19" max="19" width="10.88671875" style="7" bestFit="1" customWidth="1"/>
    <col min="20" max="20" width="11.44140625" style="9" bestFit="1" customWidth="1"/>
    <col min="21" max="22" width="12" style="7" bestFit="1" customWidth="1"/>
    <col min="23" max="23" width="10.44140625" style="7" customWidth="1"/>
    <col min="24" max="24" width="8.88671875" style="7"/>
    <col min="25" max="27" width="19.33203125" style="7" bestFit="1" customWidth="1"/>
    <col min="28" max="28" width="13" style="7" bestFit="1" customWidth="1"/>
    <col min="29" max="16384" width="8.88671875" style="7"/>
  </cols>
  <sheetData>
    <row r="1" spans="2:29" ht="15" thickBot="1" x14ac:dyDescent="0.35"/>
    <row r="2" spans="2:29" ht="15" thickBot="1" x14ac:dyDescent="0.35">
      <c r="B2" s="71" t="s">
        <v>9</v>
      </c>
      <c r="C2" s="116"/>
      <c r="D2" s="116"/>
      <c r="E2" s="117"/>
      <c r="H2" s="75" t="s">
        <v>24</v>
      </c>
      <c r="I2" s="118"/>
      <c r="M2" s="12"/>
      <c r="N2" s="124" t="s">
        <v>45</v>
      </c>
      <c r="O2" s="124" t="s">
        <v>46</v>
      </c>
      <c r="P2" s="125" t="s">
        <v>12</v>
      </c>
      <c r="R2" s="126" t="s">
        <v>82</v>
      </c>
      <c r="S2" s="127" t="s">
        <v>83</v>
      </c>
      <c r="T2" s="128" t="s">
        <v>84</v>
      </c>
      <c r="U2" s="129" t="s">
        <v>85</v>
      </c>
      <c r="V2" s="130" t="s">
        <v>86</v>
      </c>
      <c r="W2" s="131" t="s">
        <v>87</v>
      </c>
      <c r="X2" s="131" t="s">
        <v>61</v>
      </c>
      <c r="Y2" s="131" t="s">
        <v>88</v>
      </c>
      <c r="Z2" s="131" t="s">
        <v>89</v>
      </c>
      <c r="AA2" s="125" t="s">
        <v>90</v>
      </c>
    </row>
    <row r="3" spans="2:29" ht="15" thickBot="1" x14ac:dyDescent="0.35">
      <c r="B3" s="12"/>
      <c r="C3" s="13" t="s">
        <v>10</v>
      </c>
      <c r="D3" s="13" t="s">
        <v>11</v>
      </c>
      <c r="E3" s="14"/>
      <c r="H3" s="43" t="s">
        <v>25</v>
      </c>
      <c r="I3" s="44">
        <v>100000000</v>
      </c>
      <c r="M3" s="29" t="s">
        <v>28</v>
      </c>
      <c r="N3" s="64">
        <v>7000</v>
      </c>
      <c r="O3" s="64">
        <v>4000</v>
      </c>
      <c r="P3" s="65">
        <f>SUM(N3:O3)</f>
        <v>11000</v>
      </c>
      <c r="R3" s="29" t="s">
        <v>66</v>
      </c>
      <c r="S3" s="90">
        <f>N3</f>
        <v>7000</v>
      </c>
      <c r="T3" s="81">
        <f>S3/$S$5</f>
        <v>0.63636363636363635</v>
      </c>
      <c r="U3" s="68">
        <f>N4</f>
        <v>1500000</v>
      </c>
      <c r="V3" s="91">
        <f>N17</f>
        <v>974858.33333333337</v>
      </c>
      <c r="W3" s="96">
        <f>U3-V3</f>
        <v>525141.66666666663</v>
      </c>
      <c r="X3" s="99">
        <f>W3/U3</f>
        <v>0.35009444444444443</v>
      </c>
      <c r="Y3" s="101">
        <f>S3*U3</f>
        <v>10500000000</v>
      </c>
      <c r="Z3" s="101">
        <f>V3*S3</f>
        <v>6824008333.333334</v>
      </c>
      <c r="AA3" s="50">
        <f>Y3-Z3</f>
        <v>3675991666.666666</v>
      </c>
    </row>
    <row r="4" spans="2:29" ht="15" thickBot="1" x14ac:dyDescent="0.35">
      <c r="B4" s="6" t="s">
        <v>0</v>
      </c>
      <c r="C4" s="19">
        <v>100000</v>
      </c>
      <c r="D4" s="19">
        <v>150000</v>
      </c>
      <c r="E4" s="20" t="s">
        <v>8</v>
      </c>
      <c r="H4" s="29" t="s">
        <v>26</v>
      </c>
      <c r="I4" s="45">
        <v>30000000</v>
      </c>
      <c r="M4" s="84" t="s">
        <v>29</v>
      </c>
      <c r="N4" s="88">
        <v>1500000</v>
      </c>
      <c r="O4" s="88">
        <v>2500000</v>
      </c>
      <c r="P4" s="89">
        <f>SUM(N4:O4)</f>
        <v>4000000</v>
      </c>
      <c r="R4" s="84" t="s">
        <v>67</v>
      </c>
      <c r="S4" s="92">
        <f>O3</f>
        <v>4000</v>
      </c>
      <c r="T4" s="85">
        <f>S4/$S$5</f>
        <v>0.36363636363636365</v>
      </c>
      <c r="U4" s="86">
        <f>O4</f>
        <v>2500000</v>
      </c>
      <c r="V4" s="93">
        <f>O17</f>
        <v>1534258.3333333333</v>
      </c>
      <c r="W4" s="97">
        <f>U4-V4</f>
        <v>965741.66666666674</v>
      </c>
      <c r="X4" s="100">
        <f>W4/U4</f>
        <v>0.38629666666666668</v>
      </c>
      <c r="Y4" s="102">
        <f>S4*U4</f>
        <v>10000000000</v>
      </c>
      <c r="Z4" s="102">
        <f>V4*S4</f>
        <v>6137033333.333333</v>
      </c>
      <c r="AA4" s="87">
        <f>Y4-Z4</f>
        <v>3862966666.666667</v>
      </c>
    </row>
    <row r="5" spans="2:29" ht="15.6" thickTop="1" thickBot="1" x14ac:dyDescent="0.35">
      <c r="B5" s="6" t="s">
        <v>1</v>
      </c>
      <c r="C5" s="19">
        <v>200000</v>
      </c>
      <c r="D5" s="19">
        <v>300000</v>
      </c>
      <c r="E5" s="20" t="s">
        <v>8</v>
      </c>
      <c r="H5" s="46" t="s">
        <v>27</v>
      </c>
      <c r="I5" s="48">
        <v>10000000</v>
      </c>
      <c r="M5" s="46" t="s">
        <v>30</v>
      </c>
      <c r="N5" s="66">
        <f>N4*N3</f>
        <v>10500000000</v>
      </c>
      <c r="O5" s="66">
        <f>O4*O3</f>
        <v>10000000000</v>
      </c>
      <c r="P5" s="67"/>
      <c r="R5" s="46"/>
      <c r="S5" s="95">
        <f>S3+S4</f>
        <v>11000</v>
      </c>
      <c r="T5" s="82">
        <f>T3+T4</f>
        <v>1</v>
      </c>
      <c r="U5" s="41"/>
      <c r="V5" s="94"/>
      <c r="W5" s="98"/>
      <c r="X5" s="98"/>
      <c r="Y5" s="103">
        <f>Y3+Y4</f>
        <v>20500000000</v>
      </c>
      <c r="Z5" s="103">
        <f>Z3+Z4</f>
        <v>12961041666.666668</v>
      </c>
      <c r="AA5" s="83">
        <f>AA3+AA4</f>
        <v>7538958333.333333</v>
      </c>
      <c r="AC5" s="8"/>
    </row>
    <row r="6" spans="2:29" ht="15" thickBot="1" x14ac:dyDescent="0.35">
      <c r="B6" s="6" t="s">
        <v>2</v>
      </c>
      <c r="C6" s="19">
        <v>70000</v>
      </c>
      <c r="D6" s="19">
        <v>120000</v>
      </c>
      <c r="E6" s="20" t="s">
        <v>8</v>
      </c>
      <c r="H6" s="46" t="s">
        <v>53</v>
      </c>
      <c r="I6" s="47">
        <f>SUM(I3:I5)</f>
        <v>140000000</v>
      </c>
    </row>
    <row r="7" spans="2:29" ht="15" thickBot="1" x14ac:dyDescent="0.35">
      <c r="B7" s="6" t="s">
        <v>3</v>
      </c>
      <c r="C7" s="19">
        <v>30000</v>
      </c>
      <c r="D7" s="19">
        <v>40000</v>
      </c>
      <c r="E7" s="20" t="s">
        <v>8</v>
      </c>
      <c r="M7" s="71" t="s">
        <v>44</v>
      </c>
      <c r="N7" s="72" t="s">
        <v>45</v>
      </c>
      <c r="O7" s="72" t="s">
        <v>46</v>
      </c>
      <c r="P7" s="30"/>
      <c r="T7" s="7"/>
    </row>
    <row r="8" spans="2:29" x14ac:dyDescent="0.3">
      <c r="B8" s="6" t="s">
        <v>4</v>
      </c>
      <c r="C8" s="19">
        <v>150000</v>
      </c>
      <c r="D8" s="19">
        <v>200000</v>
      </c>
      <c r="E8" s="20" t="s">
        <v>8</v>
      </c>
      <c r="H8" s="57" t="s">
        <v>31</v>
      </c>
      <c r="I8" s="58"/>
      <c r="J8" s="52" t="s">
        <v>42</v>
      </c>
      <c r="M8" s="29" t="s">
        <v>47</v>
      </c>
      <c r="N8" s="69">
        <f>+C12</f>
        <v>725000</v>
      </c>
      <c r="O8" s="69">
        <f>+D12</f>
        <v>1080000</v>
      </c>
      <c r="P8" s="30"/>
    </row>
    <row r="9" spans="2:29" x14ac:dyDescent="0.3">
      <c r="B9" s="6" t="s">
        <v>5</v>
      </c>
      <c r="C9" s="19">
        <v>15000</v>
      </c>
      <c r="D9" s="19">
        <v>20000</v>
      </c>
      <c r="E9" s="20" t="s">
        <v>8</v>
      </c>
      <c r="H9" s="53" t="s">
        <v>32</v>
      </c>
      <c r="I9" s="49">
        <v>7500000</v>
      </c>
      <c r="J9" s="59">
        <f>I9*(1+$I$19)</f>
        <v>12375000</v>
      </c>
      <c r="M9" s="29" t="s">
        <v>48</v>
      </c>
      <c r="N9" s="69">
        <f>+(F17*F18)+F19+F20+F21</f>
        <v>137000</v>
      </c>
      <c r="O9" s="69">
        <f>+(F27*F28)+F29+F30+F31</f>
        <v>271400</v>
      </c>
      <c r="P9" s="30"/>
    </row>
    <row r="10" spans="2:29" x14ac:dyDescent="0.3">
      <c r="B10" s="6" t="s">
        <v>6</v>
      </c>
      <c r="C10" s="19">
        <v>130000</v>
      </c>
      <c r="D10" s="19">
        <v>200000</v>
      </c>
      <c r="E10" s="20" t="s">
        <v>8</v>
      </c>
      <c r="H10" s="53" t="s">
        <v>33</v>
      </c>
      <c r="I10" s="49">
        <v>9000000</v>
      </c>
      <c r="J10" s="59">
        <f>I10*(1+$I$19)</f>
        <v>14850000</v>
      </c>
      <c r="M10" s="29" t="s">
        <v>50</v>
      </c>
      <c r="N10" s="70">
        <f>+N4*I21</f>
        <v>30000</v>
      </c>
      <c r="O10" s="70">
        <f>+O4*I22</f>
        <v>100000</v>
      </c>
      <c r="P10" s="30"/>
    </row>
    <row r="11" spans="2:29" ht="15" thickBot="1" x14ac:dyDescent="0.35">
      <c r="B11" s="22" t="s">
        <v>7</v>
      </c>
      <c r="C11" s="23">
        <v>30000</v>
      </c>
      <c r="D11" s="23">
        <v>50000</v>
      </c>
      <c r="E11" s="24" t="s">
        <v>8</v>
      </c>
      <c r="H11" s="53" t="s">
        <v>34</v>
      </c>
      <c r="I11" s="49">
        <v>5000000</v>
      </c>
      <c r="J11" s="59">
        <f>I11*(1+$I$19)</f>
        <v>8250000</v>
      </c>
      <c r="M11" s="46" t="s">
        <v>51</v>
      </c>
      <c r="N11" s="60">
        <f>$C$58</f>
        <v>65000</v>
      </c>
      <c r="O11" s="60">
        <f>$C$58</f>
        <v>65000</v>
      </c>
      <c r="P11" s="30"/>
    </row>
    <row r="12" spans="2:29" ht="15" thickBot="1" x14ac:dyDescent="0.35">
      <c r="B12" s="25" t="s">
        <v>12</v>
      </c>
      <c r="C12" s="26">
        <f>SUM(C4:C11)</f>
        <v>725000</v>
      </c>
      <c r="D12" s="26">
        <f>SUM(D4:D11)</f>
        <v>1080000</v>
      </c>
      <c r="E12" s="14" t="s">
        <v>8</v>
      </c>
      <c r="H12" s="53" t="s">
        <v>35</v>
      </c>
      <c r="I12" s="49">
        <v>50000000</v>
      </c>
      <c r="J12" s="59">
        <f>I12*(1+$I$19)</f>
        <v>82500000</v>
      </c>
    </row>
    <row r="13" spans="2:29" ht="15" thickBot="1" x14ac:dyDescent="0.35">
      <c r="H13" s="54" t="s">
        <v>36</v>
      </c>
      <c r="I13" s="51">
        <v>2000000</v>
      </c>
      <c r="J13" s="60">
        <f>I13*(1+$I$19)*3</f>
        <v>9900000</v>
      </c>
      <c r="M13" s="71" t="s">
        <v>52</v>
      </c>
      <c r="N13" s="73">
        <f>SUM(N8:N11)</f>
        <v>957000</v>
      </c>
      <c r="O13" s="74">
        <f>SUM(O8:O11)</f>
        <v>1516400</v>
      </c>
      <c r="P13" s="18"/>
    </row>
    <row r="14" spans="2:29" ht="15" thickBot="1" x14ac:dyDescent="0.35">
      <c r="B14" s="119" t="s">
        <v>13</v>
      </c>
      <c r="C14" s="120"/>
      <c r="D14" s="120"/>
      <c r="E14" s="121"/>
      <c r="H14" s="61" t="s">
        <v>80</v>
      </c>
      <c r="I14" s="186">
        <f>SUM(J9:J13)</f>
        <v>127875000</v>
      </c>
      <c r="J14" s="187"/>
    </row>
    <row r="15" spans="2:29" ht="15" thickBot="1" x14ac:dyDescent="0.35">
      <c r="B15" s="29"/>
      <c r="C15" s="30"/>
      <c r="D15" s="30"/>
      <c r="E15" s="20"/>
      <c r="M15" s="75" t="s">
        <v>54</v>
      </c>
      <c r="N15" s="76">
        <f>(I6+I14)/C62</f>
        <v>17858.333333333332</v>
      </c>
      <c r="O15" s="77">
        <f>(I6+I14)/C62</f>
        <v>17858.333333333332</v>
      </c>
    </row>
    <row r="16" spans="2:29" ht="15" thickBot="1" x14ac:dyDescent="0.35">
      <c r="B16" s="6" t="s">
        <v>14</v>
      </c>
      <c r="C16" s="27" t="s">
        <v>15</v>
      </c>
      <c r="D16" s="27" t="s">
        <v>16</v>
      </c>
      <c r="E16" s="28" t="s">
        <v>17</v>
      </c>
      <c r="H16" s="75" t="s">
        <v>81</v>
      </c>
      <c r="I16" s="118"/>
      <c r="N16" s="10"/>
      <c r="O16" s="17"/>
      <c r="P16" s="21"/>
    </row>
    <row r="17" spans="2:17" ht="15" thickBot="1" x14ac:dyDescent="0.35">
      <c r="B17" s="29" t="s">
        <v>18</v>
      </c>
      <c r="C17" s="30">
        <v>2</v>
      </c>
      <c r="D17" s="30">
        <v>5</v>
      </c>
      <c r="E17" s="20">
        <v>20</v>
      </c>
      <c r="F17" s="7">
        <f>SUM(C17:E17)</f>
        <v>27</v>
      </c>
      <c r="H17" s="29" t="s">
        <v>43</v>
      </c>
      <c r="I17" s="20"/>
      <c r="M17" s="78" t="s">
        <v>55</v>
      </c>
      <c r="N17" s="79">
        <f>+N13+N15</f>
        <v>974858.33333333337</v>
      </c>
      <c r="O17" s="80">
        <f>+O15+O13</f>
        <v>1534258.3333333333</v>
      </c>
    </row>
    <row r="18" spans="2:17" ht="15" thickBot="1" x14ac:dyDescent="0.35">
      <c r="B18" s="32" t="s">
        <v>19</v>
      </c>
      <c r="C18" s="33">
        <v>3000</v>
      </c>
      <c r="D18" s="33">
        <v>3000</v>
      </c>
      <c r="E18" s="34">
        <v>3000</v>
      </c>
      <c r="F18" s="35">
        <f>+E18*(1+I18)</f>
        <v>4800</v>
      </c>
      <c r="G18" s="35"/>
      <c r="H18" s="29" t="s">
        <v>78</v>
      </c>
      <c r="I18" s="55">
        <v>0.6</v>
      </c>
      <c r="N18" s="62"/>
      <c r="O18" s="62"/>
      <c r="P18" s="31"/>
    </row>
    <row r="19" spans="2:17" ht="15" thickBot="1" x14ac:dyDescent="0.35">
      <c r="B19" s="32" t="s">
        <v>20</v>
      </c>
      <c r="C19" s="33">
        <v>500</v>
      </c>
      <c r="D19" s="33">
        <v>800</v>
      </c>
      <c r="E19" s="34">
        <v>1400</v>
      </c>
      <c r="F19" s="35">
        <f>SUM(C19:E19)</f>
        <v>2700</v>
      </c>
      <c r="G19" s="35"/>
      <c r="H19" s="29" t="s">
        <v>79</v>
      </c>
      <c r="I19" s="55">
        <v>0.65</v>
      </c>
      <c r="M19" s="124" t="s">
        <v>93</v>
      </c>
      <c r="N19" s="125" t="s">
        <v>13</v>
      </c>
      <c r="O19" s="124" t="s">
        <v>23</v>
      </c>
    </row>
    <row r="20" spans="2:17" x14ac:dyDescent="0.3">
      <c r="B20" s="32" t="s">
        <v>21</v>
      </c>
      <c r="C20" s="33">
        <v>100</v>
      </c>
      <c r="D20" s="33">
        <v>1800</v>
      </c>
      <c r="E20" s="34">
        <v>1000</v>
      </c>
      <c r="F20" s="35">
        <f t="shared" ref="F20" si="0">SUM(C20:E20)</f>
        <v>2900</v>
      </c>
      <c r="G20" s="35"/>
      <c r="H20" s="29" t="s">
        <v>37</v>
      </c>
      <c r="I20" s="20"/>
      <c r="M20" s="106" t="s">
        <v>63</v>
      </c>
      <c r="N20" s="123">
        <f>(I6+I14)/((N23+O21)/2)</f>
        <v>709189346.60595155</v>
      </c>
      <c r="O20" s="122">
        <f>(I6+I14)/(O4-O13)</f>
        <v>272.34139894265962</v>
      </c>
    </row>
    <row r="21" spans="2:17" ht="15" thickBot="1" x14ac:dyDescent="0.35">
      <c r="B21" s="36" t="s">
        <v>22</v>
      </c>
      <c r="C21" s="37">
        <v>900</v>
      </c>
      <c r="D21" s="37">
        <v>500</v>
      </c>
      <c r="E21" s="38">
        <v>400</v>
      </c>
      <c r="F21" s="35">
        <f>SUM(C21:E21)</f>
        <v>1800</v>
      </c>
      <c r="G21" s="35"/>
      <c r="H21" s="29" t="s">
        <v>10</v>
      </c>
      <c r="I21" s="55">
        <v>0.02</v>
      </c>
      <c r="M21" s="106" t="s">
        <v>61</v>
      </c>
      <c r="N21" s="108">
        <f>AA5/S5</f>
        <v>685359.84848484851</v>
      </c>
      <c r="O21" s="105">
        <f>1-(O13/O4)</f>
        <v>0.39344000000000001</v>
      </c>
    </row>
    <row r="22" spans="2:17" ht="15" thickBot="1" x14ac:dyDescent="0.35">
      <c r="H22" s="46" t="s">
        <v>11</v>
      </c>
      <c r="I22" s="56">
        <v>0.04</v>
      </c>
      <c r="M22" s="106" t="s">
        <v>68</v>
      </c>
      <c r="N22" s="190">
        <f>AA5/Y5</f>
        <v>0.36775406504065039</v>
      </c>
      <c r="O22" s="191"/>
      <c r="Q22" s="15"/>
    </row>
    <row r="23" spans="2:17" ht="15" thickBot="1" x14ac:dyDescent="0.35">
      <c r="M23" s="106" t="s">
        <v>62</v>
      </c>
      <c r="N23" s="192">
        <f>1-(N13/N4)</f>
        <v>0.36199999999999999</v>
      </c>
      <c r="O23" s="193"/>
      <c r="Q23" s="15"/>
    </row>
    <row r="24" spans="2:17" ht="15" thickBot="1" x14ac:dyDescent="0.35">
      <c r="B24" s="119" t="s">
        <v>23</v>
      </c>
      <c r="C24" s="120"/>
      <c r="D24" s="120"/>
      <c r="E24" s="121"/>
      <c r="M24" s="106" t="s">
        <v>64</v>
      </c>
      <c r="N24" s="194">
        <f>(I6+I14)/(N4-N13)</f>
        <v>493.32412523020258</v>
      </c>
      <c r="O24" s="195"/>
    </row>
    <row r="25" spans="2:17" x14ac:dyDescent="0.3">
      <c r="B25" s="29"/>
      <c r="C25" s="30"/>
      <c r="D25" s="30"/>
      <c r="E25" s="20"/>
      <c r="M25" s="106" t="s">
        <v>65</v>
      </c>
      <c r="N25" s="196">
        <f>(Y5-N20)/Y5</f>
        <v>0.96540539772653888</v>
      </c>
      <c r="O25" s="197"/>
      <c r="P25" s="40"/>
      <c r="Q25" s="39"/>
    </row>
    <row r="26" spans="2:17" ht="15" thickBot="1" x14ac:dyDescent="0.35">
      <c r="B26" s="6" t="s">
        <v>14</v>
      </c>
      <c r="C26" s="27" t="s">
        <v>15</v>
      </c>
      <c r="D26" s="27" t="s">
        <v>16</v>
      </c>
      <c r="E26" s="28" t="s">
        <v>17</v>
      </c>
      <c r="M26" s="107" t="s">
        <v>70</v>
      </c>
      <c r="N26" s="188">
        <f>+(N29-N30)/(N29-N30-N32)-1</f>
        <v>3.5871992393731622E-2</v>
      </c>
      <c r="O26" s="189"/>
      <c r="P26" s="40"/>
      <c r="Q26" s="39"/>
    </row>
    <row r="27" spans="2:17" ht="15" thickBot="1" x14ac:dyDescent="0.35">
      <c r="B27" s="29" t="s">
        <v>18</v>
      </c>
      <c r="C27" s="30">
        <v>3</v>
      </c>
      <c r="D27" s="30">
        <v>8</v>
      </c>
      <c r="E27" s="20">
        <v>25</v>
      </c>
      <c r="F27" s="7">
        <f>SUM(C27:E27)</f>
        <v>36</v>
      </c>
      <c r="P27" s="40"/>
      <c r="Q27" s="39"/>
    </row>
    <row r="28" spans="2:17" ht="15" thickBot="1" x14ac:dyDescent="0.35">
      <c r="B28" s="32" t="s">
        <v>19</v>
      </c>
      <c r="C28" s="30">
        <v>4500</v>
      </c>
      <c r="D28" s="30">
        <v>4500</v>
      </c>
      <c r="E28" s="20">
        <v>4500</v>
      </c>
      <c r="F28" s="35">
        <f>+E28*(1+I18)</f>
        <v>7200</v>
      </c>
      <c r="G28" s="35"/>
      <c r="M28" s="184" t="s">
        <v>91</v>
      </c>
      <c r="N28" s="185"/>
      <c r="P28" s="40"/>
      <c r="Q28" s="39"/>
    </row>
    <row r="29" spans="2:17" x14ac:dyDescent="0.3">
      <c r="B29" s="32" t="s">
        <v>20</v>
      </c>
      <c r="C29" s="30">
        <v>500</v>
      </c>
      <c r="D29" s="30">
        <v>1800</v>
      </c>
      <c r="E29" s="20">
        <v>3000</v>
      </c>
      <c r="F29" s="35">
        <f>SUM(C29:E29)</f>
        <v>5300</v>
      </c>
      <c r="G29" s="35"/>
      <c r="M29" s="43" t="s">
        <v>56</v>
      </c>
      <c r="N29" s="111">
        <f>+N5+O5</f>
        <v>20500000000</v>
      </c>
      <c r="P29" s="40"/>
      <c r="Q29" s="39"/>
    </row>
    <row r="30" spans="2:17" ht="15" thickBot="1" x14ac:dyDescent="0.35">
      <c r="B30" s="32" t="s">
        <v>21</v>
      </c>
      <c r="C30" s="30">
        <v>200</v>
      </c>
      <c r="D30" s="30">
        <v>2000</v>
      </c>
      <c r="E30" s="20">
        <v>1500</v>
      </c>
      <c r="F30" s="35">
        <f t="shared" ref="F30" si="1">SUM(C30:E30)</f>
        <v>3700</v>
      </c>
      <c r="G30" s="35"/>
      <c r="M30" s="84" t="s">
        <v>57</v>
      </c>
      <c r="N30" s="112">
        <f>+(N13*N3)+(O13*O3)</f>
        <v>12764600000</v>
      </c>
      <c r="P30" s="40"/>
      <c r="Q30" s="39"/>
    </row>
    <row r="31" spans="2:17" ht="15.6" thickTop="1" thickBot="1" x14ac:dyDescent="0.35">
      <c r="B31" s="36" t="s">
        <v>22</v>
      </c>
      <c r="C31" s="41">
        <v>1500</v>
      </c>
      <c r="D31" s="41">
        <v>1000</v>
      </c>
      <c r="E31" s="24">
        <v>700</v>
      </c>
      <c r="F31" s="35">
        <f>SUM(C31:E31)</f>
        <v>3200</v>
      </c>
      <c r="G31" s="35"/>
      <c r="M31" s="6" t="s">
        <v>58</v>
      </c>
      <c r="N31" s="113">
        <f>+N29-N30</f>
        <v>7735400000</v>
      </c>
      <c r="P31" s="40"/>
      <c r="Q31" s="39"/>
    </row>
    <row r="32" spans="2:17" ht="15" thickBot="1" x14ac:dyDescent="0.35">
      <c r="M32" s="84" t="s">
        <v>59</v>
      </c>
      <c r="N32" s="112">
        <f>+I6+I14</f>
        <v>267875000</v>
      </c>
      <c r="P32" s="40"/>
      <c r="Q32" s="39"/>
    </row>
    <row r="33" spans="3:17" ht="15.6" thickTop="1" thickBot="1" x14ac:dyDescent="0.35">
      <c r="M33" s="22" t="s">
        <v>60</v>
      </c>
      <c r="N33" s="110">
        <f>+N31-N32</f>
        <v>7467525000</v>
      </c>
      <c r="P33" s="40"/>
      <c r="Q33" s="39"/>
    </row>
    <row r="34" spans="3:17" x14ac:dyDescent="0.3">
      <c r="N34" s="104"/>
      <c r="P34" s="40"/>
      <c r="Q34" s="39"/>
    </row>
    <row r="35" spans="3:17" ht="15" thickBot="1" x14ac:dyDescent="0.35"/>
    <row r="36" spans="3:17" ht="15" thickBot="1" x14ac:dyDescent="0.35">
      <c r="M36" s="184" t="s">
        <v>92</v>
      </c>
      <c r="N36" s="185"/>
    </row>
    <row r="37" spans="3:17" x14ac:dyDescent="0.3">
      <c r="M37" s="43" t="s">
        <v>56</v>
      </c>
      <c r="N37" s="111">
        <f>N5+O5</f>
        <v>20500000000</v>
      </c>
    </row>
    <row r="38" spans="3:17" ht="15" thickBot="1" x14ac:dyDescent="0.35">
      <c r="M38" s="84" t="s">
        <v>57</v>
      </c>
      <c r="N38" s="112">
        <f>+(N17*N3)+(O17*O3)</f>
        <v>12961041666.666668</v>
      </c>
    </row>
    <row r="39" spans="3:17" ht="15" thickTop="1" x14ac:dyDescent="0.3">
      <c r="M39" s="6" t="s">
        <v>58</v>
      </c>
      <c r="N39" s="113">
        <f>+N37-N38</f>
        <v>7538958333.3333321</v>
      </c>
    </row>
    <row r="40" spans="3:17" ht="15" thickBot="1" x14ac:dyDescent="0.35">
      <c r="M40" s="114" t="s">
        <v>69</v>
      </c>
      <c r="N40" s="115">
        <f>N39-N33</f>
        <v>71433333.333332062</v>
      </c>
    </row>
    <row r="41" spans="3:17" ht="15.6" thickTop="1" thickBot="1" x14ac:dyDescent="0.35">
      <c r="M41" s="22" t="s">
        <v>60</v>
      </c>
      <c r="N41" s="109">
        <f>N39-N40</f>
        <v>7467525000</v>
      </c>
    </row>
    <row r="42" spans="3:17" x14ac:dyDescent="0.3">
      <c r="C42" s="10"/>
      <c r="D42" s="16"/>
      <c r="E42" s="15"/>
      <c r="N42" s="21"/>
    </row>
    <row r="43" spans="3:17" x14ac:dyDescent="0.3">
      <c r="C43" s="10"/>
      <c r="D43" s="16"/>
      <c r="E43" s="15"/>
    </row>
    <row r="57" spans="2:3" x14ac:dyDescent="0.3">
      <c r="B57" s="7" t="s">
        <v>38</v>
      </c>
    </row>
    <row r="58" spans="2:3" x14ac:dyDescent="0.3">
      <c r="B58" s="42" t="s">
        <v>39</v>
      </c>
      <c r="C58" s="16">
        <v>65000</v>
      </c>
    </row>
    <row r="59" spans="2:3" x14ac:dyDescent="0.3">
      <c r="B59" s="7" t="s">
        <v>40</v>
      </c>
      <c r="C59" s="16">
        <v>55000</v>
      </c>
    </row>
    <row r="60" spans="2:3" x14ac:dyDescent="0.3">
      <c r="B60" s="7" t="s">
        <v>41</v>
      </c>
      <c r="C60" s="16">
        <v>50000</v>
      </c>
    </row>
    <row r="62" spans="2:3" x14ac:dyDescent="0.3">
      <c r="B62" s="7" t="s">
        <v>49</v>
      </c>
      <c r="C62" s="11">
        <v>15000</v>
      </c>
    </row>
  </sheetData>
  <mergeCells count="8">
    <mergeCell ref="M28:N28"/>
    <mergeCell ref="M36:N36"/>
    <mergeCell ref="I14:J14"/>
    <mergeCell ref="N26:O26"/>
    <mergeCell ref="N22:O22"/>
    <mergeCell ref="N23:O23"/>
    <mergeCell ref="N24:O24"/>
    <mergeCell ref="N25:O25"/>
  </mergeCells>
  <pageMargins left="0.7" right="0.7" top="0.75" bottom="0.75" header="0.3" footer="0.3"/>
  <pageSetup paperSize="9" orientation="portrait" r:id="rId1"/>
  <ignoredErrors>
    <ignoredError sqref="N3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2B36D-EAA2-4133-B574-1B4F67775E22}">
  <dimension ref="B1:AC62"/>
  <sheetViews>
    <sheetView showGridLines="0" workbookViewId="0">
      <selection activeCell="M28" sqref="M28:N28"/>
    </sheetView>
  </sheetViews>
  <sheetFormatPr baseColWidth="10" defaultColWidth="8.88671875" defaultRowHeight="14.4" x14ac:dyDescent="0.3"/>
  <cols>
    <col min="1" max="1" width="8.88671875" style="7"/>
    <col min="2" max="2" width="28.109375" style="7" bestFit="1" customWidth="1"/>
    <col min="3" max="3" width="15.33203125" style="7" bestFit="1" customWidth="1"/>
    <col min="4" max="4" width="16.44140625" style="7" bestFit="1" customWidth="1"/>
    <col min="5" max="5" width="17.6640625" style="7" customWidth="1"/>
    <col min="6" max="6" width="0" style="7" hidden="1" customWidth="1"/>
    <col min="7" max="7" width="3.109375" style="7" customWidth="1"/>
    <col min="8" max="8" width="25.6640625" style="7" bestFit="1" customWidth="1"/>
    <col min="9" max="10" width="15.5546875" style="7" bestFit="1" customWidth="1"/>
    <col min="11" max="11" width="17.88671875" style="7" bestFit="1" customWidth="1"/>
    <col min="12" max="12" width="6.6640625" style="7" customWidth="1"/>
    <col min="13" max="13" width="26.109375" style="7" bestFit="1" customWidth="1"/>
    <col min="14" max="15" width="25.33203125" style="7" customWidth="1"/>
    <col min="16" max="16" width="23.33203125" style="7" bestFit="1" customWidth="1"/>
    <col min="17" max="17" width="12" style="7" bestFit="1" customWidth="1"/>
    <col min="18" max="18" width="11.6640625" style="7" bestFit="1" customWidth="1"/>
    <col min="19" max="19" width="10.88671875" style="7" bestFit="1" customWidth="1"/>
    <col min="20" max="20" width="11.44140625" style="9" bestFit="1" customWidth="1"/>
    <col min="21" max="22" width="12" style="7" bestFit="1" customWidth="1"/>
    <col min="23" max="23" width="10.44140625" style="7" customWidth="1"/>
    <col min="24" max="24" width="8.88671875" style="7"/>
    <col min="25" max="27" width="19.33203125" style="7" bestFit="1" customWidth="1"/>
    <col min="28" max="28" width="13" style="7" bestFit="1" customWidth="1"/>
    <col min="29" max="16384" width="8.88671875" style="7"/>
  </cols>
  <sheetData>
    <row r="1" spans="2:29" ht="15" thickBot="1" x14ac:dyDescent="0.35"/>
    <row r="2" spans="2:29" ht="15" thickBot="1" x14ac:dyDescent="0.35">
      <c r="B2" s="71" t="s">
        <v>9</v>
      </c>
      <c r="C2" s="116"/>
      <c r="D2" s="116"/>
      <c r="E2" s="117"/>
      <c r="H2" s="75" t="s">
        <v>24</v>
      </c>
      <c r="I2" s="118"/>
      <c r="M2" s="12"/>
      <c r="N2" s="124" t="s">
        <v>45</v>
      </c>
      <c r="O2" s="124" t="s">
        <v>46</v>
      </c>
      <c r="P2" s="125" t="s">
        <v>12</v>
      </c>
      <c r="R2" s="126" t="s">
        <v>82</v>
      </c>
      <c r="S2" s="127" t="s">
        <v>83</v>
      </c>
      <c r="T2" s="128" t="s">
        <v>84</v>
      </c>
      <c r="U2" s="129" t="s">
        <v>85</v>
      </c>
      <c r="V2" s="130" t="s">
        <v>86</v>
      </c>
      <c r="W2" s="131" t="s">
        <v>87</v>
      </c>
      <c r="X2" s="131" t="s">
        <v>61</v>
      </c>
      <c r="Y2" s="131" t="s">
        <v>88</v>
      </c>
      <c r="Z2" s="131" t="s">
        <v>89</v>
      </c>
      <c r="AA2" s="125" t="s">
        <v>90</v>
      </c>
    </row>
    <row r="3" spans="2:29" ht="15" thickBot="1" x14ac:dyDescent="0.35">
      <c r="B3" s="12"/>
      <c r="C3" s="13" t="s">
        <v>10</v>
      </c>
      <c r="D3" s="13" t="s">
        <v>11</v>
      </c>
      <c r="E3" s="14"/>
      <c r="H3" s="43" t="s">
        <v>25</v>
      </c>
      <c r="I3" s="44">
        <v>100000000</v>
      </c>
      <c r="M3" s="29" t="s">
        <v>28</v>
      </c>
      <c r="N3" s="64">
        <v>7700</v>
      </c>
      <c r="O3" s="64">
        <v>4600</v>
      </c>
      <c r="P3" s="65">
        <f>SUM(N3:O3)</f>
        <v>12300</v>
      </c>
      <c r="R3" s="29" t="s">
        <v>66</v>
      </c>
      <c r="S3" s="90">
        <f>N3</f>
        <v>7700</v>
      </c>
      <c r="T3" s="81">
        <f>S3/$S$5</f>
        <v>0.62601626016260159</v>
      </c>
      <c r="U3" s="68">
        <f>N4</f>
        <v>1200000</v>
      </c>
      <c r="V3" s="91">
        <f>N17</f>
        <v>968858.33333333337</v>
      </c>
      <c r="W3" s="96">
        <f>U3-V3</f>
        <v>231141.66666666663</v>
      </c>
      <c r="X3" s="99">
        <f>W3/U3</f>
        <v>0.19261805555555553</v>
      </c>
      <c r="Y3" s="101">
        <f>S3*U3</f>
        <v>9240000000</v>
      </c>
      <c r="Z3" s="101">
        <f>V3*S3</f>
        <v>7460209166.666667</v>
      </c>
      <c r="AA3" s="50">
        <f>Y3-Z3</f>
        <v>1779790833.333333</v>
      </c>
    </row>
    <row r="4" spans="2:29" ht="15" thickBot="1" x14ac:dyDescent="0.35">
      <c r="B4" s="6" t="s">
        <v>0</v>
      </c>
      <c r="C4" s="19">
        <v>100000</v>
      </c>
      <c r="D4" s="19">
        <v>150000</v>
      </c>
      <c r="E4" s="20" t="s">
        <v>8</v>
      </c>
      <c r="H4" s="29" t="s">
        <v>26</v>
      </c>
      <c r="I4" s="45">
        <v>30000000</v>
      </c>
      <c r="M4" s="84" t="s">
        <v>29</v>
      </c>
      <c r="N4" s="88">
        <v>1200000</v>
      </c>
      <c r="O4" s="88">
        <v>2000000</v>
      </c>
      <c r="P4" s="89">
        <f>SUM(N4:O4)</f>
        <v>3200000</v>
      </c>
      <c r="R4" s="84" t="s">
        <v>67</v>
      </c>
      <c r="S4" s="92">
        <f>O3</f>
        <v>4600</v>
      </c>
      <c r="T4" s="85">
        <f>S4/$S$5</f>
        <v>0.37398373983739835</v>
      </c>
      <c r="U4" s="86">
        <f>O4</f>
        <v>2000000</v>
      </c>
      <c r="V4" s="93">
        <f>O17</f>
        <v>1514258.3333333333</v>
      </c>
      <c r="W4" s="97">
        <f>U4-V4</f>
        <v>485741.66666666674</v>
      </c>
      <c r="X4" s="100">
        <f>W4/U4</f>
        <v>0.24287083333333337</v>
      </c>
      <c r="Y4" s="102">
        <f>S4*U4</f>
        <v>9200000000</v>
      </c>
      <c r="Z4" s="102">
        <f>V4*S4</f>
        <v>6965588333.333333</v>
      </c>
      <c r="AA4" s="87">
        <f>Y4-Z4</f>
        <v>2234411666.666667</v>
      </c>
    </row>
    <row r="5" spans="2:29" ht="15.6" thickTop="1" thickBot="1" x14ac:dyDescent="0.35">
      <c r="B5" s="6" t="s">
        <v>1</v>
      </c>
      <c r="C5" s="19">
        <v>200000</v>
      </c>
      <c r="D5" s="19">
        <v>300000</v>
      </c>
      <c r="E5" s="20" t="s">
        <v>8</v>
      </c>
      <c r="H5" s="46" t="s">
        <v>27</v>
      </c>
      <c r="I5" s="48">
        <v>10000000</v>
      </c>
      <c r="M5" s="46" t="s">
        <v>30</v>
      </c>
      <c r="N5" s="66">
        <f>N4*N3</f>
        <v>9240000000</v>
      </c>
      <c r="O5" s="66">
        <f>O4*O3</f>
        <v>9200000000</v>
      </c>
      <c r="P5" s="67"/>
      <c r="R5" s="46"/>
      <c r="S5" s="95">
        <f>S3+S4</f>
        <v>12300</v>
      </c>
      <c r="T5" s="82">
        <f>T3+T4</f>
        <v>1</v>
      </c>
      <c r="U5" s="41"/>
      <c r="V5" s="94"/>
      <c r="W5" s="98"/>
      <c r="X5" s="98"/>
      <c r="Y5" s="103">
        <f>Y3+Y4</f>
        <v>18440000000</v>
      </c>
      <c r="Z5" s="103">
        <f>Z3+Z4</f>
        <v>14425797500</v>
      </c>
      <c r="AA5" s="83">
        <f>AA3+AA4</f>
        <v>4014202500</v>
      </c>
      <c r="AC5" s="8"/>
    </row>
    <row r="6" spans="2:29" ht="15" thickBot="1" x14ac:dyDescent="0.35">
      <c r="B6" s="6" t="s">
        <v>2</v>
      </c>
      <c r="C6" s="19">
        <v>70000</v>
      </c>
      <c r="D6" s="19">
        <v>120000</v>
      </c>
      <c r="E6" s="20" t="s">
        <v>8</v>
      </c>
      <c r="H6" s="46" t="s">
        <v>53</v>
      </c>
      <c r="I6" s="47">
        <f>SUM(I3:I5)</f>
        <v>140000000</v>
      </c>
    </row>
    <row r="7" spans="2:29" ht="15" thickBot="1" x14ac:dyDescent="0.35">
      <c r="B7" s="6" t="s">
        <v>3</v>
      </c>
      <c r="C7" s="19">
        <v>30000</v>
      </c>
      <c r="D7" s="19">
        <v>40000</v>
      </c>
      <c r="E7" s="20" t="s">
        <v>8</v>
      </c>
      <c r="M7" s="71" t="s">
        <v>44</v>
      </c>
      <c r="N7" s="72" t="s">
        <v>45</v>
      </c>
      <c r="O7" s="72" t="s">
        <v>46</v>
      </c>
      <c r="P7" s="30"/>
      <c r="T7" s="7"/>
    </row>
    <row r="8" spans="2:29" x14ac:dyDescent="0.3">
      <c r="B8" s="6" t="s">
        <v>4</v>
      </c>
      <c r="C8" s="19">
        <v>150000</v>
      </c>
      <c r="D8" s="19">
        <v>200000</v>
      </c>
      <c r="E8" s="20" t="s">
        <v>8</v>
      </c>
      <c r="H8" s="57" t="s">
        <v>31</v>
      </c>
      <c r="I8" s="58"/>
      <c r="J8" s="52" t="s">
        <v>42</v>
      </c>
      <c r="M8" s="29" t="s">
        <v>47</v>
      </c>
      <c r="N8" s="69">
        <f>+C12</f>
        <v>725000</v>
      </c>
      <c r="O8" s="69">
        <f>+D12</f>
        <v>1080000</v>
      </c>
      <c r="P8" s="30"/>
    </row>
    <row r="9" spans="2:29" x14ac:dyDescent="0.3">
      <c r="B9" s="6" t="s">
        <v>5</v>
      </c>
      <c r="C9" s="19">
        <v>15000</v>
      </c>
      <c r="D9" s="19">
        <v>20000</v>
      </c>
      <c r="E9" s="20" t="s">
        <v>8</v>
      </c>
      <c r="H9" s="53" t="s">
        <v>32</v>
      </c>
      <c r="I9" s="49">
        <v>7500000</v>
      </c>
      <c r="J9" s="59">
        <f>I9*(1+$I$19)</f>
        <v>12375000</v>
      </c>
      <c r="M9" s="29" t="s">
        <v>48</v>
      </c>
      <c r="N9" s="69">
        <f>+(F17*F18)+F19+F20+F21</f>
        <v>137000</v>
      </c>
      <c r="O9" s="69">
        <f>+(F27*F28)+F29+F30+F31</f>
        <v>271400</v>
      </c>
      <c r="P9" s="30"/>
    </row>
    <row r="10" spans="2:29" x14ac:dyDescent="0.3">
      <c r="B10" s="6" t="s">
        <v>6</v>
      </c>
      <c r="C10" s="19">
        <v>130000</v>
      </c>
      <c r="D10" s="19">
        <v>200000</v>
      </c>
      <c r="E10" s="20" t="s">
        <v>8</v>
      </c>
      <c r="H10" s="53" t="s">
        <v>33</v>
      </c>
      <c r="I10" s="49">
        <v>9000000</v>
      </c>
      <c r="J10" s="59">
        <f>I10*(1+$I$19)</f>
        <v>14850000</v>
      </c>
      <c r="M10" s="29" t="s">
        <v>50</v>
      </c>
      <c r="N10" s="70">
        <f>+N4*I21</f>
        <v>24000</v>
      </c>
      <c r="O10" s="70">
        <f>+O4*I22</f>
        <v>80000</v>
      </c>
      <c r="P10" s="30"/>
    </row>
    <row r="11" spans="2:29" ht="15" thickBot="1" x14ac:dyDescent="0.35">
      <c r="B11" s="22" t="s">
        <v>7</v>
      </c>
      <c r="C11" s="23">
        <v>30000</v>
      </c>
      <c r="D11" s="23">
        <v>50000</v>
      </c>
      <c r="E11" s="24" t="s">
        <v>8</v>
      </c>
      <c r="H11" s="53" t="s">
        <v>34</v>
      </c>
      <c r="I11" s="49">
        <v>5000000</v>
      </c>
      <c r="J11" s="59">
        <f>I11*(1+$I$19)</f>
        <v>8250000</v>
      </c>
      <c r="M11" s="46" t="s">
        <v>51</v>
      </c>
      <c r="N11" s="60">
        <f>$C$58</f>
        <v>65000</v>
      </c>
      <c r="O11" s="60">
        <f>$C$58</f>
        <v>65000</v>
      </c>
      <c r="P11" s="30"/>
    </row>
    <row r="12" spans="2:29" ht="15" thickBot="1" x14ac:dyDescent="0.35">
      <c r="B12" s="25" t="s">
        <v>12</v>
      </c>
      <c r="C12" s="26">
        <f>SUM(C4:C11)</f>
        <v>725000</v>
      </c>
      <c r="D12" s="26">
        <f>SUM(D4:D11)</f>
        <v>1080000</v>
      </c>
      <c r="E12" s="14" t="s">
        <v>8</v>
      </c>
      <c r="H12" s="53" t="s">
        <v>35</v>
      </c>
      <c r="I12" s="49">
        <v>50000000</v>
      </c>
      <c r="J12" s="59">
        <f>I12*(1+$I$19)</f>
        <v>82500000</v>
      </c>
    </row>
    <row r="13" spans="2:29" ht="15" thickBot="1" x14ac:dyDescent="0.35">
      <c r="H13" s="54" t="s">
        <v>36</v>
      </c>
      <c r="I13" s="51">
        <v>2000000</v>
      </c>
      <c r="J13" s="60">
        <f>I13*(1+$I$19)*3</f>
        <v>9900000</v>
      </c>
      <c r="M13" s="71" t="s">
        <v>52</v>
      </c>
      <c r="N13" s="73">
        <f>SUM(N8:N11)</f>
        <v>951000</v>
      </c>
      <c r="O13" s="74">
        <f>SUM(O8:O11)</f>
        <v>1496400</v>
      </c>
      <c r="P13" s="18"/>
    </row>
    <row r="14" spans="2:29" ht="15" thickBot="1" x14ac:dyDescent="0.35">
      <c r="B14" s="119" t="s">
        <v>13</v>
      </c>
      <c r="C14" s="120"/>
      <c r="D14" s="120"/>
      <c r="E14" s="121"/>
      <c r="H14" s="61" t="s">
        <v>80</v>
      </c>
      <c r="I14" s="186">
        <f>SUM(J9:J13)</f>
        <v>127875000</v>
      </c>
      <c r="J14" s="187"/>
    </row>
    <row r="15" spans="2:29" ht="15" thickBot="1" x14ac:dyDescent="0.35">
      <c r="B15" s="29"/>
      <c r="C15" s="30"/>
      <c r="D15" s="30"/>
      <c r="E15" s="20"/>
      <c r="M15" s="75" t="s">
        <v>54</v>
      </c>
      <c r="N15" s="76">
        <f>(I6+I14)/C62</f>
        <v>17858.333333333332</v>
      </c>
      <c r="O15" s="77">
        <f>(I6+I14)/C62</f>
        <v>17858.333333333332</v>
      </c>
    </row>
    <row r="16" spans="2:29" ht="15" thickBot="1" x14ac:dyDescent="0.35">
      <c r="B16" s="6" t="s">
        <v>14</v>
      </c>
      <c r="C16" s="27" t="s">
        <v>15</v>
      </c>
      <c r="D16" s="27" t="s">
        <v>16</v>
      </c>
      <c r="E16" s="28" t="s">
        <v>17</v>
      </c>
      <c r="H16" s="75" t="s">
        <v>81</v>
      </c>
      <c r="I16" s="118"/>
      <c r="N16" s="10"/>
      <c r="O16" s="17"/>
      <c r="P16" s="21"/>
    </row>
    <row r="17" spans="2:17" ht="15" thickBot="1" x14ac:dyDescent="0.35">
      <c r="B17" s="29" t="s">
        <v>18</v>
      </c>
      <c r="C17" s="30">
        <v>2</v>
      </c>
      <c r="D17" s="30">
        <v>5</v>
      </c>
      <c r="E17" s="20">
        <v>20</v>
      </c>
      <c r="F17" s="7">
        <f>SUM(C17:E17)</f>
        <v>27</v>
      </c>
      <c r="H17" s="29" t="s">
        <v>43</v>
      </c>
      <c r="I17" s="20"/>
      <c r="M17" s="78" t="s">
        <v>55</v>
      </c>
      <c r="N17" s="79">
        <f>+N13+N15</f>
        <v>968858.33333333337</v>
      </c>
      <c r="O17" s="80">
        <f>+O15+O13</f>
        <v>1514258.3333333333</v>
      </c>
    </row>
    <row r="18" spans="2:17" ht="15" thickBot="1" x14ac:dyDescent="0.35">
      <c r="B18" s="32" t="s">
        <v>19</v>
      </c>
      <c r="C18" s="33">
        <v>3000</v>
      </c>
      <c r="D18" s="33">
        <v>3000</v>
      </c>
      <c r="E18" s="34">
        <v>3000</v>
      </c>
      <c r="F18" s="35">
        <f>+E18*(1+I18)</f>
        <v>4800</v>
      </c>
      <c r="G18" s="35"/>
      <c r="H18" s="29" t="s">
        <v>78</v>
      </c>
      <c r="I18" s="55">
        <v>0.6</v>
      </c>
      <c r="N18" s="62"/>
      <c r="O18" s="62"/>
      <c r="P18" s="31"/>
    </row>
    <row r="19" spans="2:17" ht="15" thickBot="1" x14ac:dyDescent="0.35">
      <c r="B19" s="32" t="s">
        <v>20</v>
      </c>
      <c r="C19" s="33">
        <v>500</v>
      </c>
      <c r="D19" s="33">
        <v>800</v>
      </c>
      <c r="E19" s="34">
        <v>1400</v>
      </c>
      <c r="F19" s="35">
        <f>SUM(C19:E19)</f>
        <v>2700</v>
      </c>
      <c r="G19" s="35"/>
      <c r="H19" s="29" t="s">
        <v>79</v>
      </c>
      <c r="I19" s="55">
        <v>0.65</v>
      </c>
      <c r="M19" s="124" t="s">
        <v>93</v>
      </c>
      <c r="N19" s="125" t="s">
        <v>13</v>
      </c>
      <c r="O19" s="124" t="s">
        <v>23</v>
      </c>
    </row>
    <row r="20" spans="2:17" x14ac:dyDescent="0.3">
      <c r="B20" s="32" t="s">
        <v>21</v>
      </c>
      <c r="C20" s="33">
        <v>100</v>
      </c>
      <c r="D20" s="33">
        <v>1800</v>
      </c>
      <c r="E20" s="34">
        <v>1000</v>
      </c>
      <c r="F20" s="35">
        <f t="shared" ref="F20" si="0">SUM(C20:E20)</f>
        <v>2900</v>
      </c>
      <c r="G20" s="35"/>
      <c r="H20" s="29" t="s">
        <v>37</v>
      </c>
      <c r="I20" s="20"/>
      <c r="M20" s="63" t="s">
        <v>63</v>
      </c>
      <c r="N20" s="123">
        <f>(I6+I14)/((N23+O21)/2)</f>
        <v>1166448944.0452862</v>
      </c>
      <c r="O20" s="122">
        <f>(I6+I14)/(O4-O13)</f>
        <v>531.92017474185866</v>
      </c>
    </row>
    <row r="21" spans="2:17" ht="15" thickBot="1" x14ac:dyDescent="0.35">
      <c r="B21" s="36" t="s">
        <v>22</v>
      </c>
      <c r="C21" s="37">
        <v>900</v>
      </c>
      <c r="D21" s="37">
        <v>500</v>
      </c>
      <c r="E21" s="38">
        <v>400</v>
      </c>
      <c r="F21" s="35">
        <f>SUM(C21:E21)</f>
        <v>1800</v>
      </c>
      <c r="G21" s="35"/>
      <c r="H21" s="29" t="s">
        <v>10</v>
      </c>
      <c r="I21" s="55">
        <v>0.02</v>
      </c>
      <c r="M21" s="106" t="s">
        <v>61</v>
      </c>
      <c r="N21" s="108">
        <f>AA5/S5</f>
        <v>326357.92682926828</v>
      </c>
      <c r="O21" s="105">
        <f>1-(O13/O4)</f>
        <v>0.25180000000000002</v>
      </c>
    </row>
    <row r="22" spans="2:17" ht="15" thickBot="1" x14ac:dyDescent="0.35">
      <c r="H22" s="46" t="s">
        <v>11</v>
      </c>
      <c r="I22" s="56">
        <v>0.04</v>
      </c>
      <c r="M22" s="106" t="s">
        <v>68</v>
      </c>
      <c r="N22" s="198">
        <f>AA5/Y5</f>
        <v>0.21768994034707159</v>
      </c>
      <c r="O22" s="191"/>
      <c r="Q22" s="15"/>
    </row>
    <row r="23" spans="2:17" ht="15" thickBot="1" x14ac:dyDescent="0.35">
      <c r="M23" s="106" t="s">
        <v>62</v>
      </c>
      <c r="N23" s="192">
        <f>1-(N13/N4)</f>
        <v>0.20750000000000002</v>
      </c>
      <c r="O23" s="193"/>
      <c r="Q23" s="15"/>
    </row>
    <row r="24" spans="2:17" ht="15" thickBot="1" x14ac:dyDescent="0.35">
      <c r="B24" s="119" t="s">
        <v>23</v>
      </c>
      <c r="C24" s="120"/>
      <c r="D24" s="120"/>
      <c r="E24" s="121"/>
      <c r="M24" s="106" t="s">
        <v>64</v>
      </c>
      <c r="N24" s="194">
        <f>(I6+I14)/(N4-N13)</f>
        <v>1075.8032128514055</v>
      </c>
      <c r="O24" s="195"/>
    </row>
    <row r="25" spans="2:17" x14ac:dyDescent="0.3">
      <c r="B25" s="29"/>
      <c r="C25" s="30"/>
      <c r="D25" s="30"/>
      <c r="E25" s="20"/>
      <c r="M25" s="106" t="s">
        <v>65</v>
      </c>
      <c r="N25" s="196">
        <f>(Y5-N20)/Y5</f>
        <v>0.93674354967216444</v>
      </c>
      <c r="O25" s="197"/>
      <c r="P25" s="40"/>
      <c r="Q25" s="39"/>
    </row>
    <row r="26" spans="2:17" ht="15" thickBot="1" x14ac:dyDescent="0.35">
      <c r="B26" s="6" t="s">
        <v>14</v>
      </c>
      <c r="C26" s="27" t="s">
        <v>15</v>
      </c>
      <c r="D26" s="27" t="s">
        <v>16</v>
      </c>
      <c r="E26" s="28" t="s">
        <v>17</v>
      </c>
      <c r="M26" s="107" t="s">
        <v>70</v>
      </c>
      <c r="N26" s="188">
        <f>+(N29-N30)/(N29-N30-N32)-1</f>
        <v>6.7543119805042018E-2</v>
      </c>
      <c r="O26" s="189"/>
      <c r="P26" s="40"/>
      <c r="Q26" s="39"/>
    </row>
    <row r="27" spans="2:17" ht="15" thickBot="1" x14ac:dyDescent="0.35">
      <c r="B27" s="29" t="s">
        <v>18</v>
      </c>
      <c r="C27" s="30">
        <v>3</v>
      </c>
      <c r="D27" s="30">
        <v>8</v>
      </c>
      <c r="E27" s="20">
        <v>25</v>
      </c>
      <c r="F27" s="7">
        <f>SUM(C27:E27)</f>
        <v>36</v>
      </c>
      <c r="P27" s="40"/>
      <c r="Q27" s="39"/>
    </row>
    <row r="28" spans="2:17" ht="15" thickBot="1" x14ac:dyDescent="0.35">
      <c r="B28" s="32" t="s">
        <v>19</v>
      </c>
      <c r="C28" s="30">
        <v>4500</v>
      </c>
      <c r="D28" s="30">
        <v>4500</v>
      </c>
      <c r="E28" s="20">
        <v>4500</v>
      </c>
      <c r="F28" s="35">
        <f>+E28*(1+I18)</f>
        <v>7200</v>
      </c>
      <c r="G28" s="35"/>
      <c r="M28" s="184" t="s">
        <v>91</v>
      </c>
      <c r="N28" s="185"/>
      <c r="P28" s="40"/>
      <c r="Q28" s="39"/>
    </row>
    <row r="29" spans="2:17" x14ac:dyDescent="0.3">
      <c r="B29" s="32" t="s">
        <v>20</v>
      </c>
      <c r="C29" s="30">
        <v>500</v>
      </c>
      <c r="D29" s="30">
        <v>1800</v>
      </c>
      <c r="E29" s="20">
        <v>3000</v>
      </c>
      <c r="F29" s="35">
        <f>SUM(C29:E29)</f>
        <v>5300</v>
      </c>
      <c r="G29" s="35"/>
      <c r="M29" s="43" t="s">
        <v>56</v>
      </c>
      <c r="N29" s="111">
        <f>+N5+O5</f>
        <v>18440000000</v>
      </c>
      <c r="P29" s="40"/>
      <c r="Q29" s="39"/>
    </row>
    <row r="30" spans="2:17" ht="15" thickBot="1" x14ac:dyDescent="0.35">
      <c r="B30" s="32" t="s">
        <v>21</v>
      </c>
      <c r="C30" s="30">
        <v>200</v>
      </c>
      <c r="D30" s="30">
        <v>2000</v>
      </c>
      <c r="E30" s="20">
        <v>1500</v>
      </c>
      <c r="F30" s="35">
        <f t="shared" ref="F30" si="1">SUM(C30:E30)</f>
        <v>3700</v>
      </c>
      <c r="G30" s="35"/>
      <c r="M30" s="84" t="s">
        <v>57</v>
      </c>
      <c r="N30" s="112">
        <f>+(N13*N3)+(O13*O3)</f>
        <v>14206140000</v>
      </c>
      <c r="P30" s="40"/>
      <c r="Q30" s="39"/>
    </row>
    <row r="31" spans="2:17" ht="15.6" thickTop="1" thickBot="1" x14ac:dyDescent="0.35">
      <c r="B31" s="36" t="s">
        <v>22</v>
      </c>
      <c r="C31" s="41">
        <v>1500</v>
      </c>
      <c r="D31" s="41">
        <v>1000</v>
      </c>
      <c r="E31" s="24">
        <v>700</v>
      </c>
      <c r="F31" s="35">
        <f>SUM(C31:E31)</f>
        <v>3200</v>
      </c>
      <c r="G31" s="35"/>
      <c r="M31" s="6" t="s">
        <v>58</v>
      </c>
      <c r="N31" s="113">
        <f>+N29-N30</f>
        <v>4233860000</v>
      </c>
      <c r="P31" s="40"/>
      <c r="Q31" s="39"/>
    </row>
    <row r="32" spans="2:17" ht="15" thickBot="1" x14ac:dyDescent="0.35">
      <c r="M32" s="84" t="s">
        <v>59</v>
      </c>
      <c r="N32" s="112">
        <f>+I6+I14</f>
        <v>267875000</v>
      </c>
      <c r="P32" s="40"/>
      <c r="Q32" s="39"/>
    </row>
    <row r="33" spans="3:17" ht="15.6" thickTop="1" thickBot="1" x14ac:dyDescent="0.35">
      <c r="M33" s="22" t="s">
        <v>60</v>
      </c>
      <c r="N33" s="110">
        <f>+N31-N32</f>
        <v>3965985000</v>
      </c>
      <c r="P33" s="40"/>
      <c r="Q33" s="39"/>
    </row>
    <row r="34" spans="3:17" x14ac:dyDescent="0.3">
      <c r="N34" s="104"/>
      <c r="P34" s="40"/>
      <c r="Q34" s="39"/>
    </row>
    <row r="35" spans="3:17" ht="15" thickBot="1" x14ac:dyDescent="0.35"/>
    <row r="36" spans="3:17" ht="15" thickBot="1" x14ac:dyDescent="0.35">
      <c r="M36" s="184" t="s">
        <v>92</v>
      </c>
      <c r="N36" s="185"/>
    </row>
    <row r="37" spans="3:17" x14ac:dyDescent="0.3">
      <c r="M37" s="43" t="s">
        <v>56</v>
      </c>
      <c r="N37" s="111">
        <f>N5+O5</f>
        <v>18440000000</v>
      </c>
    </row>
    <row r="38" spans="3:17" ht="15" thickBot="1" x14ac:dyDescent="0.35">
      <c r="M38" s="84" t="s">
        <v>57</v>
      </c>
      <c r="N38" s="112">
        <f>+(N17*N3)+(O17*O3)</f>
        <v>14425797500</v>
      </c>
    </row>
    <row r="39" spans="3:17" ht="15" thickTop="1" x14ac:dyDescent="0.3">
      <c r="M39" s="6" t="s">
        <v>58</v>
      </c>
      <c r="N39" s="113">
        <f>+N37-N38</f>
        <v>4014202500</v>
      </c>
    </row>
    <row r="40" spans="3:17" ht="15" thickBot="1" x14ac:dyDescent="0.35">
      <c r="M40" s="114" t="s">
        <v>69</v>
      </c>
      <c r="N40" s="115">
        <f>N39-N33</f>
        <v>48217500</v>
      </c>
    </row>
    <row r="41" spans="3:17" ht="15.6" thickTop="1" thickBot="1" x14ac:dyDescent="0.35">
      <c r="M41" s="22" t="s">
        <v>60</v>
      </c>
      <c r="N41" s="109">
        <f>N39-N40</f>
        <v>3965985000</v>
      </c>
    </row>
    <row r="42" spans="3:17" x14ac:dyDescent="0.3">
      <c r="C42" s="10"/>
      <c r="D42" s="16"/>
      <c r="E42" s="15"/>
      <c r="N42" s="21"/>
    </row>
    <row r="43" spans="3:17" x14ac:dyDescent="0.3">
      <c r="C43" s="10"/>
      <c r="D43" s="16"/>
      <c r="E43" s="15"/>
    </row>
    <row r="57" spans="2:3" x14ac:dyDescent="0.3">
      <c r="B57" s="7" t="s">
        <v>38</v>
      </c>
    </row>
    <row r="58" spans="2:3" x14ac:dyDescent="0.3">
      <c r="B58" s="42" t="s">
        <v>39</v>
      </c>
      <c r="C58" s="16">
        <v>65000</v>
      </c>
    </row>
    <row r="59" spans="2:3" x14ac:dyDescent="0.3">
      <c r="B59" s="7" t="s">
        <v>40</v>
      </c>
      <c r="C59" s="16">
        <v>55000</v>
      </c>
    </row>
    <row r="60" spans="2:3" x14ac:dyDescent="0.3">
      <c r="B60" s="7" t="s">
        <v>41</v>
      </c>
      <c r="C60" s="16">
        <v>50000</v>
      </c>
    </row>
    <row r="62" spans="2:3" x14ac:dyDescent="0.3">
      <c r="B62" s="7" t="s">
        <v>49</v>
      </c>
      <c r="C62" s="11">
        <v>15000</v>
      </c>
    </row>
  </sheetData>
  <mergeCells count="8">
    <mergeCell ref="N23:O23"/>
    <mergeCell ref="I14:J14"/>
    <mergeCell ref="N22:O22"/>
    <mergeCell ref="M28:N28"/>
    <mergeCell ref="M36:N36"/>
    <mergeCell ref="N26:O26"/>
    <mergeCell ref="N25:O25"/>
    <mergeCell ref="N24:O24"/>
  </mergeCells>
  <pageMargins left="0.7" right="0.7" top="0.75" bottom="0.75" header="0.3" footer="0.3"/>
  <pageSetup paperSize="9" orientation="portrait" r:id="rId1"/>
  <ignoredErrors>
    <ignoredError sqref="N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A66A9-F412-4BE7-AADB-C186754E8C28}">
  <dimension ref="A1:K39"/>
  <sheetViews>
    <sheetView showGridLines="0" workbookViewId="0">
      <selection activeCell="A2" sqref="A2"/>
    </sheetView>
  </sheetViews>
  <sheetFormatPr baseColWidth="10" defaultRowHeight="14.4" x14ac:dyDescent="0.3"/>
  <cols>
    <col min="1" max="1" width="25.33203125" bestFit="1" customWidth="1"/>
    <col min="2" max="2" width="16.6640625" bestFit="1" customWidth="1"/>
    <col min="3" max="3" width="22.33203125" bestFit="1" customWidth="1"/>
    <col min="4" max="4" width="18.33203125" bestFit="1" customWidth="1"/>
    <col min="5" max="5" width="12" bestFit="1" customWidth="1"/>
  </cols>
  <sheetData>
    <row r="1" spans="1:11" ht="15" thickBot="1" x14ac:dyDescent="0.35"/>
    <row r="2" spans="1:11" ht="24" thickBot="1" x14ac:dyDescent="0.5">
      <c r="A2" s="183" t="s">
        <v>94</v>
      </c>
      <c r="B2" s="182"/>
      <c r="C2" s="182"/>
      <c r="D2" s="182"/>
      <c r="E2" s="182"/>
      <c r="F2" s="182"/>
      <c r="G2" s="182"/>
      <c r="H2" s="182"/>
      <c r="I2" s="182"/>
      <c r="J2" s="182"/>
      <c r="K2" s="4"/>
    </row>
    <row r="5" spans="1:11" ht="15" thickBot="1" x14ac:dyDescent="0.35"/>
    <row r="6" spans="1:11" ht="15" thickBot="1" x14ac:dyDescent="0.35">
      <c r="A6" s="5"/>
      <c r="B6" s="158" t="s">
        <v>72</v>
      </c>
      <c r="C6" s="159" t="s">
        <v>73</v>
      </c>
      <c r="D6" s="160" t="s">
        <v>71</v>
      </c>
    </row>
    <row r="7" spans="1:11" ht="15" thickBot="1" x14ac:dyDescent="0.35">
      <c r="A7" s="203" t="s">
        <v>91</v>
      </c>
      <c r="B7" s="204"/>
      <c r="C7" s="204"/>
      <c r="D7" s="205"/>
    </row>
    <row r="8" spans="1:11" x14ac:dyDescent="0.3">
      <c r="A8" s="132" t="s">
        <v>56</v>
      </c>
      <c r="B8" s="134">
        <v>20500000000</v>
      </c>
      <c r="C8" s="135">
        <v>18440000000</v>
      </c>
      <c r="D8" s="136">
        <f>C8/B8-1</f>
        <v>-0.10048780487804876</v>
      </c>
    </row>
    <row r="9" spans="1:11" ht="15" thickBot="1" x14ac:dyDescent="0.35">
      <c r="A9" s="146" t="s">
        <v>57</v>
      </c>
      <c r="B9" s="152">
        <v>12764600000</v>
      </c>
      <c r="C9" s="148">
        <v>14206140000</v>
      </c>
      <c r="D9" s="149">
        <f t="shared" ref="D9:D12" si="0">C9/B9-1</f>
        <v>0.112932641837582</v>
      </c>
    </row>
    <row r="10" spans="1:11" ht="15" thickTop="1" x14ac:dyDescent="0.3">
      <c r="A10" s="145" t="s">
        <v>58</v>
      </c>
      <c r="B10" s="137">
        <v>7735400000</v>
      </c>
      <c r="C10" s="138">
        <v>4233860000</v>
      </c>
      <c r="D10" s="139">
        <f t="shared" si="0"/>
        <v>-0.4526643741758668</v>
      </c>
    </row>
    <row r="11" spans="1:11" ht="15" thickBot="1" x14ac:dyDescent="0.35">
      <c r="A11" s="146" t="s">
        <v>59</v>
      </c>
      <c r="B11" s="153">
        <v>267875000</v>
      </c>
      <c r="C11" s="148">
        <v>267875000</v>
      </c>
      <c r="D11" s="149">
        <f t="shared" si="0"/>
        <v>0</v>
      </c>
    </row>
    <row r="12" spans="1:11" ht="15.6" thickTop="1" thickBot="1" x14ac:dyDescent="0.35">
      <c r="A12" s="151" t="s">
        <v>60</v>
      </c>
      <c r="B12" s="154">
        <v>7467525000</v>
      </c>
      <c r="C12" s="140">
        <v>3965985000</v>
      </c>
      <c r="D12" s="141">
        <f t="shared" si="0"/>
        <v>-0.46890234716321677</v>
      </c>
    </row>
    <row r="13" spans="1:11" ht="15" thickBot="1" x14ac:dyDescent="0.35">
      <c r="A13" s="157"/>
      <c r="B13" s="157"/>
      <c r="C13" s="157"/>
      <c r="D13" s="157"/>
    </row>
    <row r="14" spans="1:11" ht="15" thickBot="1" x14ac:dyDescent="0.35">
      <c r="A14" s="203" t="s">
        <v>92</v>
      </c>
      <c r="B14" s="204"/>
      <c r="C14" s="204"/>
      <c r="D14" s="205"/>
    </row>
    <row r="15" spans="1:11" x14ac:dyDescent="0.3">
      <c r="A15" s="133" t="s">
        <v>56</v>
      </c>
      <c r="B15" s="137">
        <v>20500000000</v>
      </c>
      <c r="C15" s="138">
        <v>18440000000</v>
      </c>
      <c r="D15" s="139">
        <f>C15/B15-1</f>
        <v>-0.10048780487804876</v>
      </c>
    </row>
    <row r="16" spans="1:11" ht="15" thickBot="1" x14ac:dyDescent="0.35">
      <c r="A16" s="146" t="s">
        <v>57</v>
      </c>
      <c r="B16" s="152">
        <v>12961041666.666668</v>
      </c>
      <c r="C16" s="148">
        <v>14425797500</v>
      </c>
      <c r="D16" s="149">
        <f>C16/B16-1</f>
        <v>0.11301220002250312</v>
      </c>
    </row>
    <row r="17" spans="1:11" ht="15" thickTop="1" x14ac:dyDescent="0.3">
      <c r="A17" s="145" t="s">
        <v>58</v>
      </c>
      <c r="B17" s="137">
        <v>7538958333.3333321</v>
      </c>
      <c r="C17" s="138">
        <v>4014202500</v>
      </c>
      <c r="D17" s="139">
        <f>C17/B17-1</f>
        <v>-0.46753883991488643</v>
      </c>
    </row>
    <row r="18" spans="1:11" ht="15" thickBot="1" x14ac:dyDescent="0.35">
      <c r="A18" s="147" t="s">
        <v>69</v>
      </c>
      <c r="B18" s="155">
        <v>71433333.333332062</v>
      </c>
      <c r="C18" s="150">
        <v>48217500</v>
      </c>
      <c r="D18" s="149">
        <f>C18/B18-1</f>
        <v>-0.32499999999998797</v>
      </c>
    </row>
    <row r="19" spans="1:11" ht="15.6" thickTop="1" thickBot="1" x14ac:dyDescent="0.35">
      <c r="A19" s="107" t="s">
        <v>60</v>
      </c>
      <c r="B19" s="156">
        <f>B17-B18</f>
        <v>7467525000</v>
      </c>
      <c r="C19" s="143">
        <f>C17-C18</f>
        <v>3965985000</v>
      </c>
      <c r="D19" s="141">
        <f>C19/B19-1</f>
        <v>-0.46890234716321677</v>
      </c>
    </row>
    <row r="20" spans="1:11" ht="15" thickBot="1" x14ac:dyDescent="0.35"/>
    <row r="21" spans="1:11" ht="15" thickBot="1" x14ac:dyDescent="0.35">
      <c r="A21" s="13" t="s">
        <v>93</v>
      </c>
      <c r="B21" s="206" t="s">
        <v>72</v>
      </c>
      <c r="C21" s="207"/>
      <c r="D21" s="206" t="s">
        <v>73</v>
      </c>
      <c r="E21" s="208"/>
      <c r="F21" s="184" t="s">
        <v>71</v>
      </c>
      <c r="G21" s="185"/>
    </row>
    <row r="22" spans="1:11" x14ac:dyDescent="0.3">
      <c r="A22" s="142" t="s">
        <v>55</v>
      </c>
      <c r="B22" s="161">
        <v>974858.33333333337</v>
      </c>
      <c r="C22" s="162">
        <v>1534258.3333333333</v>
      </c>
      <c r="D22" s="161">
        <v>968858.33333333337</v>
      </c>
      <c r="E22" s="175">
        <v>1514258.3333333333</v>
      </c>
      <c r="F22" s="170">
        <f>+D22/B22-1</f>
        <v>-6.1547404323705202E-3</v>
      </c>
      <c r="G22" s="139">
        <f>+E22/C22-1</f>
        <v>-1.3035614384800498E-2</v>
      </c>
    </row>
    <row r="23" spans="1:11" x14ac:dyDescent="0.3">
      <c r="A23" s="144" t="s">
        <v>61</v>
      </c>
      <c r="B23" s="163">
        <v>685359.84848484839</v>
      </c>
      <c r="C23" s="164"/>
      <c r="D23" s="163">
        <v>326357.92682926828</v>
      </c>
      <c r="E23" s="176"/>
      <c r="F23" s="201">
        <f t="shared" ref="F23:F28" si="1">+D23/B23-1</f>
        <v>-0.52381522268810987</v>
      </c>
      <c r="G23" s="202"/>
    </row>
    <row r="24" spans="1:11" x14ac:dyDescent="0.3">
      <c r="A24" s="144" t="s">
        <v>62</v>
      </c>
      <c r="B24" s="165">
        <v>0.36199999999999999</v>
      </c>
      <c r="C24" s="166">
        <v>0.39344000000000001</v>
      </c>
      <c r="D24" s="165">
        <v>0.20750000000000002</v>
      </c>
      <c r="E24" s="177">
        <v>0.25180000000000002</v>
      </c>
      <c r="F24" s="170">
        <f t="shared" si="1"/>
        <v>-0.42679558011049712</v>
      </c>
      <c r="G24" s="139">
        <f>+E24/C24-1</f>
        <v>-0.36000406669377794</v>
      </c>
    </row>
    <row r="25" spans="1:11" x14ac:dyDescent="0.3">
      <c r="A25" s="144" t="s">
        <v>63</v>
      </c>
      <c r="B25" s="167">
        <v>709189346.60595155</v>
      </c>
      <c r="C25" s="2"/>
      <c r="D25" s="167">
        <v>1166448944.0452862</v>
      </c>
      <c r="E25" s="1"/>
      <c r="F25" s="201">
        <f t="shared" si="1"/>
        <v>0.64476377095580206</v>
      </c>
      <c r="G25" s="202"/>
    </row>
    <row r="26" spans="1:11" x14ac:dyDescent="0.3">
      <c r="A26" s="144" t="s">
        <v>64</v>
      </c>
      <c r="B26" s="168">
        <v>493.32412523020258</v>
      </c>
      <c r="C26" s="169">
        <v>272.34139894265962</v>
      </c>
      <c r="D26" s="168">
        <v>1075.8032128514055</v>
      </c>
      <c r="E26" s="178">
        <v>531.92017474185866</v>
      </c>
      <c r="F26" s="170">
        <f t="shared" si="1"/>
        <v>1.1807228915662646</v>
      </c>
      <c r="G26" s="139">
        <f t="shared" ref="G26" si="2">+E26/C26-1</f>
        <v>0.95313741064336788</v>
      </c>
    </row>
    <row r="27" spans="1:11" x14ac:dyDescent="0.3">
      <c r="A27" s="144" t="s">
        <v>65</v>
      </c>
      <c r="B27" s="170">
        <v>0.96540539772653888</v>
      </c>
      <c r="C27" s="171"/>
      <c r="D27" s="170">
        <v>0.93674354967216444</v>
      </c>
      <c r="E27" s="179"/>
      <c r="F27" s="201">
        <f t="shared" si="1"/>
        <v>-2.9688924592581545E-2</v>
      </c>
      <c r="G27" s="202"/>
    </row>
    <row r="28" spans="1:11" ht="15" thickBot="1" x14ac:dyDescent="0.35">
      <c r="A28" s="174" t="s">
        <v>70</v>
      </c>
      <c r="B28" s="172">
        <v>3.5871992393731622E-2</v>
      </c>
      <c r="C28" s="173"/>
      <c r="D28" s="172">
        <v>6.7543119805042018E-2</v>
      </c>
      <c r="E28" s="180"/>
      <c r="F28" s="199">
        <f t="shared" si="1"/>
        <v>0.88289290050264113</v>
      </c>
      <c r="G28" s="200"/>
    </row>
    <row r="30" spans="1:11" ht="15" thickBot="1" x14ac:dyDescent="0.35"/>
    <row r="31" spans="1:11" ht="15" thickBot="1" x14ac:dyDescent="0.35">
      <c r="A31" s="181" t="s">
        <v>75</v>
      </c>
      <c r="B31" s="182"/>
      <c r="C31" s="182"/>
      <c r="D31" s="182"/>
      <c r="E31" s="182"/>
      <c r="F31" s="182"/>
      <c r="G31" s="182"/>
      <c r="H31" s="182"/>
      <c r="I31" s="182"/>
      <c r="J31" s="182"/>
      <c r="K31" s="4"/>
    </row>
    <row r="32" spans="1:11" ht="4.5" customHeight="1" thickBot="1" x14ac:dyDescent="0.35"/>
    <row r="33" spans="1:7" ht="15" customHeight="1" x14ac:dyDescent="0.3">
      <c r="A33" s="209" t="s">
        <v>76</v>
      </c>
      <c r="B33" s="210"/>
      <c r="C33" s="211"/>
    </row>
    <row r="34" spans="1:7" x14ac:dyDescent="0.3">
      <c r="A34" s="212"/>
      <c r="B34" s="213"/>
      <c r="C34" s="214"/>
    </row>
    <row r="35" spans="1:7" x14ac:dyDescent="0.3">
      <c r="A35" s="212"/>
      <c r="B35" s="213"/>
      <c r="C35" s="214"/>
    </row>
    <row r="36" spans="1:7" ht="78.75" customHeight="1" thickBot="1" x14ac:dyDescent="0.35">
      <c r="A36" s="215"/>
      <c r="B36" s="216"/>
      <c r="C36" s="217"/>
    </row>
    <row r="37" spans="1:7" ht="15" thickBot="1" x14ac:dyDescent="0.35"/>
    <row r="38" spans="1:7" ht="15" thickBot="1" x14ac:dyDescent="0.35">
      <c r="A38" s="181" t="s">
        <v>74</v>
      </c>
      <c r="B38" s="182"/>
      <c r="C38" s="182"/>
      <c r="D38" s="182"/>
      <c r="E38" s="182"/>
      <c r="F38" s="182"/>
      <c r="G38" s="4"/>
    </row>
    <row r="39" spans="1:7" ht="15" thickBot="1" x14ac:dyDescent="0.35">
      <c r="A39" s="3" t="s">
        <v>77</v>
      </c>
      <c r="B39" s="182"/>
      <c r="C39" s="182"/>
      <c r="D39" s="4"/>
    </row>
  </sheetData>
  <mergeCells count="10">
    <mergeCell ref="A14:D14"/>
    <mergeCell ref="A7:D7"/>
    <mergeCell ref="B21:C21"/>
    <mergeCell ref="D21:E21"/>
    <mergeCell ref="A33:C36"/>
    <mergeCell ref="F21:G21"/>
    <mergeCell ref="F28:G28"/>
    <mergeCell ref="F27:G27"/>
    <mergeCell ref="F25:G25"/>
    <mergeCell ref="F23:G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Escenario 1</vt:lpstr>
      <vt:lpstr>Propuesta de Mercadeo</vt:lpstr>
      <vt:lpstr>Análisis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NICOLÁS GONZÁLEZ</dc:creator>
  <cp:lastModifiedBy>NICOLÁS GONZÁLEZ</cp:lastModifiedBy>
  <dcterms:created xsi:type="dcterms:W3CDTF">2015-06-05T18:19:34Z</dcterms:created>
  <dcterms:modified xsi:type="dcterms:W3CDTF">2022-11-05T16:10:49Z</dcterms:modified>
</cp:coreProperties>
</file>