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GOJ\OneDrive\Desktop\NICO\MAF\Semestre 1\Contabilidad Financiera (NIIF)\"/>
    </mc:Choice>
  </mc:AlternateContent>
  <xr:revisionPtr revIDLastSave="0" documentId="13_ncr:1_{EC69CBF6-B91C-4D5E-BAB7-A0BF4C6673F3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Sistema de costos Variables" sheetId="2" r:id="rId1"/>
    <sheet name="Enunciado" sheetId="1" state="hidden" r:id="rId2"/>
    <sheet name="sistema absorbente" sheetId="3" r:id="rId3"/>
    <sheet name="RETO Y DATOS" sheetId="4" r:id="rId4"/>
  </sheets>
  <externalReferences>
    <externalReference r:id="rId5"/>
  </externalReferences>
  <definedNames>
    <definedName name="CAP.NORMAL.MES" localSheetId="3">'RETO Y DATOS'!$P$14</definedName>
    <definedName name="CAP.NORMAL.MES">Enunciado!$K$14</definedName>
    <definedName name="CIF.FIJOS" localSheetId="3">'RETO Y DATOS'!$R$7</definedName>
    <definedName name="CIF.FIJOS">Enunciado!$M$7</definedName>
    <definedName name="CIF.FIJOS.MES" localSheetId="3">'RETO Y DATOS'!$R$7</definedName>
    <definedName name="CIF.FIJOS.MES">Enunciado!$M$7</definedName>
    <definedName name="CIF.VARIABLES" localSheetId="3">'RETO Y DATOS'!$Q$6</definedName>
    <definedName name="CIF.VARIABLES">Enunciado!$L$6</definedName>
    <definedName name="GTOS.ADMON.FIJOS" localSheetId="3">'RETO Y DATOS'!$R$10</definedName>
    <definedName name="GTOS.ADMON.FIJOS">Enunciado!$M$10</definedName>
    <definedName name="GTOS.FIJOS.VAR" localSheetId="3">'RETO Y DATOS'!$Q$12</definedName>
    <definedName name="GTOS.FIJOS.VAR">Enunciado!$L$12</definedName>
    <definedName name="MAT.PRIM.DIRECTA" localSheetId="3">'RETO Y DATOS'!$Q$4</definedName>
    <definedName name="MAT.PRIM.DIRECTA">Enunciado!$L$4</definedName>
    <definedName name="MDEO.DIRECTA" localSheetId="3">'RETO Y DATOS'!$Q$5</definedName>
    <definedName name="MDEO.DIRECTA">Enunciado!$L$5</definedName>
    <definedName name="PRE.VTA.UNIT" localSheetId="3">'RETO Y DATOS'!$Q$13</definedName>
    <definedName name="PRE.VTA.UNIT">Enunciado!$L$13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9" i="3" l="1"/>
  <c r="E22" i="3" s="1"/>
  <c r="E12" i="3" s="1"/>
  <c r="D25" i="2"/>
  <c r="D30" i="2"/>
  <c r="D23" i="2"/>
  <c r="E2" i="2"/>
  <c r="F2" i="2"/>
  <c r="G2" i="2"/>
  <c r="D6" i="2"/>
  <c r="E6" i="2"/>
  <c r="F6" i="2"/>
  <c r="G6" i="2"/>
  <c r="E11" i="2"/>
  <c r="E5" i="3"/>
  <c r="E51" i="3" s="1"/>
  <c r="F5" i="3"/>
  <c r="F45" i="3" s="1"/>
  <c r="G5" i="3"/>
  <c r="G51" i="3" s="1"/>
  <c r="H5" i="3"/>
  <c r="H51" i="3" s="1"/>
  <c r="F23" i="2"/>
  <c r="E23" i="2"/>
  <c r="D17" i="2"/>
  <c r="D14" i="2"/>
  <c r="D11" i="2"/>
  <c r="D12" i="2"/>
  <c r="D10" i="2"/>
  <c r="D9" i="2"/>
  <c r="X16" i="4"/>
  <c r="P15" i="4"/>
  <c r="Y14" i="4"/>
  <c r="Y15" i="4" s="1"/>
  <c r="X14" i="4"/>
  <c r="X15" i="4" s="1"/>
  <c r="W14" i="4"/>
  <c r="W15" i="4" s="1"/>
  <c r="V14" i="4"/>
  <c r="V15" i="4" s="1"/>
  <c r="R11" i="4"/>
  <c r="V9" i="4"/>
  <c r="R8" i="4"/>
  <c r="Y5" i="4"/>
  <c r="Y9" i="4" s="1"/>
  <c r="X5" i="4"/>
  <c r="X9" i="4" s="1"/>
  <c r="W5" i="4"/>
  <c r="W9" i="4" s="1"/>
  <c r="Q14" i="1"/>
  <c r="E50" i="3"/>
  <c r="F50" i="3"/>
  <c r="G50" i="3"/>
  <c r="H50" i="3"/>
  <c r="H25" i="3"/>
  <c r="G25" i="3"/>
  <c r="F25" i="3"/>
  <c r="E9" i="3"/>
  <c r="F9" i="3" s="1"/>
  <c r="H20" i="3"/>
  <c r="G20" i="3"/>
  <c r="F20" i="3"/>
  <c r="H19" i="3"/>
  <c r="G19" i="3"/>
  <c r="G22" i="3" s="1"/>
  <c r="F19" i="3"/>
  <c r="E11" i="3"/>
  <c r="F4" i="3"/>
  <c r="E10" i="3"/>
  <c r="F10" i="3" s="1"/>
  <c r="G10" i="3" s="1"/>
  <c r="H10" i="3" s="1"/>
  <c r="H11" i="3"/>
  <c r="G11" i="3"/>
  <c r="F11" i="3"/>
  <c r="E2" i="3"/>
  <c r="F2" i="3"/>
  <c r="G2" i="3"/>
  <c r="H2" i="3"/>
  <c r="E3" i="3"/>
  <c r="F3" i="3"/>
  <c r="F26" i="3" s="1"/>
  <c r="F31" i="3" s="1"/>
  <c r="G3" i="3"/>
  <c r="G26" i="3" s="1"/>
  <c r="G31" i="3" s="1"/>
  <c r="H3" i="3"/>
  <c r="H26" i="3" s="1"/>
  <c r="H31" i="3" s="1"/>
  <c r="E4" i="3"/>
  <c r="G4" i="3"/>
  <c r="H4" i="3"/>
  <c r="G46" i="2"/>
  <c r="G47" i="2"/>
  <c r="H47" i="2"/>
  <c r="I47" i="2"/>
  <c r="J47" i="2"/>
  <c r="G45" i="2"/>
  <c r="D28" i="2"/>
  <c r="D27" i="2"/>
  <c r="I33" i="2" s="1"/>
  <c r="R9" i="1"/>
  <c r="Q9" i="1"/>
  <c r="Q15" i="1"/>
  <c r="F27" i="2"/>
  <c r="E28" i="2"/>
  <c r="F28" i="2"/>
  <c r="G28" i="2"/>
  <c r="E27" i="2"/>
  <c r="G27" i="2"/>
  <c r="S16" i="1"/>
  <c r="R15" i="1"/>
  <c r="S15" i="1"/>
  <c r="T15" i="1"/>
  <c r="T14" i="1"/>
  <c r="S14" i="1"/>
  <c r="R14" i="1"/>
  <c r="E25" i="3" l="1"/>
  <c r="E28" i="3"/>
  <c r="E30" i="3" s="1"/>
  <c r="H6" i="3"/>
  <c r="H60" i="3" s="1"/>
  <c r="F6" i="3"/>
  <c r="F60" i="3" s="1"/>
  <c r="E6" i="3"/>
  <c r="E60" i="3" s="1"/>
  <c r="G6" i="3"/>
  <c r="G60" i="3" s="1"/>
  <c r="G23" i="2"/>
  <c r="E31" i="3"/>
  <c r="E45" i="3"/>
  <c r="F51" i="3"/>
  <c r="L33" i="2"/>
  <c r="L39" i="2" s="1"/>
  <c r="H22" i="3"/>
  <c r="G12" i="3"/>
  <c r="G61" i="3"/>
  <c r="G62" i="3" s="1"/>
  <c r="H12" i="3"/>
  <c r="H61" i="3"/>
  <c r="H62" i="3" s="1"/>
  <c r="E13" i="3"/>
  <c r="E14" i="3" s="1"/>
  <c r="E61" i="3"/>
  <c r="H45" i="3"/>
  <c r="G45" i="3"/>
  <c r="F22" i="3"/>
  <c r="F28" i="3"/>
  <c r="G28" i="3"/>
  <c r="G30" i="3" s="1"/>
  <c r="G32" i="3" s="1"/>
  <c r="G47" i="3" s="1"/>
  <c r="H28" i="3"/>
  <c r="G9" i="3"/>
  <c r="I39" i="2"/>
  <c r="H45" i="2"/>
  <c r="H46" i="2" s="1"/>
  <c r="J33" i="2"/>
  <c r="K33" i="2"/>
  <c r="K39" i="2" s="1"/>
  <c r="E9" i="2"/>
  <c r="E12" i="2"/>
  <c r="F12" i="2" s="1"/>
  <c r="G12" i="2" s="1"/>
  <c r="F11" i="2"/>
  <c r="G11" i="2" s="1"/>
  <c r="S5" i="1"/>
  <c r="S9" i="1" s="1"/>
  <c r="T5" i="1"/>
  <c r="T9" i="1" s="1"/>
  <c r="R5" i="1"/>
  <c r="M11" i="1"/>
  <c r="M8" i="1"/>
  <c r="K15" i="1"/>
  <c r="H30" i="3" l="1"/>
  <c r="H32" i="3" s="1"/>
  <c r="H47" i="3" s="1"/>
  <c r="E32" i="3"/>
  <c r="E47" i="3" s="1"/>
  <c r="E62" i="3"/>
  <c r="G13" i="3"/>
  <c r="G14" i="3" s="1"/>
  <c r="G41" i="3"/>
  <c r="G46" i="3" s="1"/>
  <c r="G48" i="3" s="1"/>
  <c r="G38" i="3"/>
  <c r="G37" i="3"/>
  <c r="F12" i="3"/>
  <c r="F13" i="3" s="1"/>
  <c r="F14" i="3" s="1"/>
  <c r="F30" i="3"/>
  <c r="F32" i="3" s="1"/>
  <c r="F47" i="3" s="1"/>
  <c r="F61" i="3"/>
  <c r="F62" i="3" s="1"/>
  <c r="G36" i="3"/>
  <c r="G39" i="3" s="1"/>
  <c r="E36" i="3"/>
  <c r="E37" i="3"/>
  <c r="E41" i="3"/>
  <c r="E46" i="3" s="1"/>
  <c r="E48" i="3" s="1"/>
  <c r="E38" i="3"/>
  <c r="H9" i="3"/>
  <c r="H13" i="3" s="1"/>
  <c r="I45" i="2"/>
  <c r="I46" i="2" s="1"/>
  <c r="D13" i="2"/>
  <c r="I34" i="2" s="1"/>
  <c r="I35" i="2" s="1"/>
  <c r="I37" i="2" s="1"/>
  <c r="J39" i="2"/>
  <c r="E10" i="2"/>
  <c r="F10" i="2" s="1"/>
  <c r="G10" i="2" s="1"/>
  <c r="E13" i="2"/>
  <c r="F9" i="2"/>
  <c r="D16" i="2"/>
  <c r="F41" i="3" l="1"/>
  <c r="F46" i="3" s="1"/>
  <c r="F48" i="3" s="1"/>
  <c r="J34" i="2"/>
  <c r="J35" i="2" s="1"/>
  <c r="E14" i="2"/>
  <c r="E18" i="2"/>
  <c r="E17" i="2"/>
  <c r="E19" i="2" s="1"/>
  <c r="E24" i="2" s="1"/>
  <c r="E25" i="2" s="1"/>
  <c r="E29" i="2" s="1"/>
  <c r="E39" i="3"/>
  <c r="G16" i="2"/>
  <c r="E16" i="2"/>
  <c r="D18" i="2"/>
  <c r="F36" i="3"/>
  <c r="F37" i="3"/>
  <c r="F38" i="3"/>
  <c r="E49" i="3"/>
  <c r="E52" i="3"/>
  <c r="E53" i="3" s="1"/>
  <c r="G49" i="3"/>
  <c r="G52" i="3"/>
  <c r="H14" i="3"/>
  <c r="H36" i="3"/>
  <c r="H41" i="3"/>
  <c r="H46" i="3" s="1"/>
  <c r="H48" i="3" s="1"/>
  <c r="H38" i="3"/>
  <c r="H37" i="3"/>
  <c r="J45" i="2"/>
  <c r="J46" i="2" s="1"/>
  <c r="J37" i="2"/>
  <c r="H48" i="2"/>
  <c r="H49" i="2" s="1"/>
  <c r="D19" i="2"/>
  <c r="D24" i="2" s="1"/>
  <c r="F16" i="2"/>
  <c r="F13" i="2"/>
  <c r="G9" i="2"/>
  <c r="G13" i="2" s="1"/>
  <c r="F49" i="3" l="1"/>
  <c r="F52" i="3"/>
  <c r="L34" i="2"/>
  <c r="G18" i="2"/>
  <c r="G17" i="2"/>
  <c r="G19" i="2" s="1"/>
  <c r="G14" i="2"/>
  <c r="K34" i="2"/>
  <c r="F18" i="2"/>
  <c r="F14" i="2"/>
  <c r="F17" i="2"/>
  <c r="F19" i="2" s="1"/>
  <c r="F24" i="2" s="1"/>
  <c r="F25" i="2" s="1"/>
  <c r="E57" i="3"/>
  <c r="F39" i="3"/>
  <c r="H39" i="3"/>
  <c r="G24" i="2"/>
  <c r="G25" i="2" s="1"/>
  <c r="E30" i="2"/>
  <c r="F56" i="3"/>
  <c r="H52" i="3"/>
  <c r="H49" i="3"/>
  <c r="G53" i="3"/>
  <c r="G57" i="3"/>
  <c r="F53" i="3"/>
  <c r="F57" i="3"/>
  <c r="E26" i="2"/>
  <c r="J40" i="2" s="1"/>
  <c r="J41" i="2" s="1"/>
  <c r="G48" i="2"/>
  <c r="G49" i="2" s="1"/>
  <c r="D26" i="2"/>
  <c r="I40" i="2" s="1"/>
  <c r="D29" i="2"/>
  <c r="L35" i="2"/>
  <c r="K35" i="2"/>
  <c r="G26" i="2" l="1"/>
  <c r="L40" i="2" s="1"/>
  <c r="L41" i="2" s="1"/>
  <c r="G29" i="2"/>
  <c r="F58" i="3"/>
  <c r="E56" i="3"/>
  <c r="E58" i="3" s="1"/>
  <c r="H53" i="3"/>
  <c r="H57" i="3"/>
  <c r="K37" i="2"/>
  <c r="I48" i="2"/>
  <c r="I49" i="2" s="1"/>
  <c r="L37" i="2"/>
  <c r="J48" i="2"/>
  <c r="J49" i="2" s="1"/>
  <c r="F26" i="2"/>
  <c r="K40" i="2" s="1"/>
  <c r="K41" i="2" s="1"/>
  <c r="F29" i="2"/>
  <c r="I41" i="2"/>
  <c r="H56" i="3" l="1"/>
  <c r="H58" i="3" s="1"/>
  <c r="G30" i="2"/>
  <c r="F30" i="2"/>
  <c r="G56" i="3"/>
  <c r="G58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Juan Carlos Lopez Angel</author>
  </authors>
  <commentList>
    <comment ref="C30" authorId="0" shapeId="0" xr:uid="{470D6289-874D-4148-9F4D-5CF9A1DC885E}">
      <text>
        <r>
          <rPr>
            <b/>
            <sz val="9"/>
            <color indexed="81"/>
            <rFont val="Tahoma"/>
            <family val="2"/>
          </rPr>
          <t>Juan Carlos Lopez Angel:</t>
        </r>
        <r>
          <rPr>
            <sz val="9"/>
            <color indexed="81"/>
            <rFont val="Tahoma"/>
            <family val="2"/>
          </rPr>
          <t xml:space="preserve">
TODO LO QUE SE DIVIDE POR LAS VENTAS SE LLAMA MARGEN</t>
        </r>
      </text>
    </comment>
    <comment ref="E34" authorId="0" shapeId="0" xr:uid="{7D92D76F-E6D0-40B8-8CF5-D39092F80E6E}">
      <text>
        <r>
          <rPr>
            <b/>
            <sz val="9"/>
            <color indexed="81"/>
            <rFont val="Tahoma"/>
            <family val="2"/>
          </rPr>
          <t>Juan Carlos Lopez Angel:</t>
        </r>
        <r>
          <rPr>
            <sz val="9"/>
            <color indexed="81"/>
            <rFont val="Tahoma"/>
            <family val="2"/>
          </rPr>
          <t xml:space="preserve">
margen unitario de venta = precio venta unitario-costo variable unitario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Juan Carlos Lopez Angel</author>
  </authors>
  <commentList>
    <comment ref="D30" authorId="0" shapeId="0" xr:uid="{3FA38702-399D-4B63-B630-CA0917F7B396}">
      <text>
        <r>
          <rPr>
            <sz val="9"/>
            <color indexed="81"/>
            <rFont val="Tahoma"/>
            <family val="2"/>
          </rPr>
          <t xml:space="preserve">
DIF.TASAS =CAPACIDAD NORMAL-CAPACIDAD REAL.</t>
        </r>
      </text>
    </comment>
  </commentList>
</comments>
</file>

<file path=xl/sharedStrings.xml><?xml version="1.0" encoding="utf-8"?>
<sst xmlns="http://schemas.openxmlformats.org/spreadsheetml/2006/main" count="256" uniqueCount="156">
  <si>
    <t>SISTEMA VARIABLE</t>
  </si>
  <si>
    <t>MESES</t>
  </si>
  <si>
    <t xml:space="preserve">1. </t>
  </si>
  <si>
    <t>UNIDADES</t>
  </si>
  <si>
    <t>INV.INICIAL</t>
  </si>
  <si>
    <t>UNI.PRODUCIR</t>
  </si>
  <si>
    <t>INVENTARIO FINAL</t>
  </si>
  <si>
    <t>UNIDADES VENDIDAS</t>
  </si>
  <si>
    <t xml:space="preserve">2. </t>
  </si>
  <si>
    <t>COSTO UNITARIO</t>
  </si>
  <si>
    <t>MES</t>
  </si>
  <si>
    <t>VARIABLE</t>
  </si>
  <si>
    <t>MATERIA PRIMA</t>
  </si>
  <si>
    <t>MANO DE OBRA</t>
  </si>
  <si>
    <t>CIF</t>
  </si>
  <si>
    <t>GTOS ADMON VARIABLES</t>
  </si>
  <si>
    <t>% costo unitario</t>
  </si>
  <si>
    <t>3.</t>
  </si>
  <si>
    <t>COSTO TOTAL (SIS.PERIODICO)</t>
  </si>
  <si>
    <t>INVE.INICIAL</t>
  </si>
  <si>
    <t>PRODUCCIÓN</t>
  </si>
  <si>
    <t>INV.FINAL</t>
  </si>
  <si>
    <t>TOTAL COSTO MV.</t>
  </si>
  <si>
    <t>4. ESTADO DE RESULTADOS</t>
  </si>
  <si>
    <t>OPERACIÓN</t>
  </si>
  <si>
    <t>CUENTA</t>
  </si>
  <si>
    <t xml:space="preserve"> +</t>
  </si>
  <si>
    <t>Ingresos ordinarios</t>
  </si>
  <si>
    <t xml:space="preserve"> - </t>
  </si>
  <si>
    <t>CMV</t>
  </si>
  <si>
    <t xml:space="preserve"> =</t>
  </si>
  <si>
    <t>CONTRIBUCION MARGINAL</t>
  </si>
  <si>
    <t xml:space="preserve"> %</t>
  </si>
  <si>
    <t>MARGEN CONTRIBUCIÓN</t>
  </si>
  <si>
    <t>CIF FIJOS</t>
  </si>
  <si>
    <t xml:space="preserve"> -</t>
  </si>
  <si>
    <t>GASTOS ADMINISTRACIÓN</t>
  </si>
  <si>
    <t>GANANCIA OPERACIONAL</t>
  </si>
  <si>
    <t>%</t>
  </si>
  <si>
    <t>MARGEN OPERACIONAL</t>
  </si>
  <si>
    <t>PUNTO DE EQUILIBRIO ¿Cuánto debo de vender en?</t>
  </si>
  <si>
    <t>EN UNIDADES</t>
  </si>
  <si>
    <t>=</t>
  </si>
  <si>
    <t>total costos y gastos fijos</t>
  </si>
  <si>
    <t>margen unitario de venta</t>
  </si>
  <si>
    <t>pto.equi.unid</t>
  </si>
  <si>
    <t>verificar las ventas</t>
  </si>
  <si>
    <t>EN VENTAS</t>
  </si>
  <si>
    <t>margen contribucion unitaria</t>
  </si>
  <si>
    <t>pto.equi.ventas</t>
  </si>
  <si>
    <t>capac.max</t>
  </si>
  <si>
    <t>capac.normal</t>
  </si>
  <si>
    <t>capacidad ociosa</t>
  </si>
  <si>
    <t>capac.real</t>
  </si>
  <si>
    <t>capac.pto equilibrio</t>
  </si>
  <si>
    <t># veces vtas/pto equi</t>
  </si>
  <si>
    <t>COSTOS</t>
  </si>
  <si>
    <t>ELEMENTOS COSTO</t>
  </si>
  <si>
    <t>VAR/FIJO</t>
  </si>
  <si>
    <t>CANT</t>
  </si>
  <si>
    <t>VR.UNI</t>
  </si>
  <si>
    <t>VR TOTAL</t>
  </si>
  <si>
    <t>INVENTARIO PERIODICO</t>
  </si>
  <si>
    <t>MATERIA PRIMA DIRECTA</t>
  </si>
  <si>
    <t xml:space="preserve">CIF </t>
  </si>
  <si>
    <t>CIF  MES</t>
  </si>
  <si>
    <t>FIJOS</t>
  </si>
  <si>
    <t>CIF AÑO</t>
  </si>
  <si>
    <t>TASA CIF (UNIDADES)</t>
  </si>
  <si>
    <t>GASTO FIJOS MES</t>
  </si>
  <si>
    <t>GASTOS FIJOS AÑO</t>
  </si>
  <si>
    <t>CAPACIDAD</t>
  </si>
  <si>
    <t>GASTO VARIABLES</t>
  </si>
  <si>
    <t>MAXIMA</t>
  </si>
  <si>
    <t>?</t>
  </si>
  <si>
    <t xml:space="preserve">PRECIO DE VENTA </t>
  </si>
  <si>
    <t>NORMAL</t>
  </si>
  <si>
    <t>CAPACIDAD NORMAL MES</t>
  </si>
  <si>
    <t>REAL</t>
  </si>
  <si>
    <t>CAPACIDAD NORMAL AÑO</t>
  </si>
  <si>
    <t>OCIOSA</t>
  </si>
  <si>
    <t>INPRODUCTIVO</t>
  </si>
  <si>
    <t>PRODUCTIVO</t>
  </si>
  <si>
    <t>VARIACION PCC</t>
  </si>
  <si>
    <t>1</t>
  </si>
  <si>
    <t>2</t>
  </si>
  <si>
    <t>3</t>
  </si>
  <si>
    <t>4</t>
  </si>
  <si>
    <t>INVENTARIOS</t>
  </si>
  <si>
    <t>DIF INVETARIO</t>
  </si>
  <si>
    <t>2.</t>
  </si>
  <si>
    <t>CIF VARIABLES</t>
  </si>
  <si>
    <t>CIF FIJOS (TASA NORMAL)</t>
  </si>
  <si>
    <t>VR COSTO UNITARIO</t>
  </si>
  <si>
    <t>% COSTO.UNITARIO</t>
  </si>
  <si>
    <t xml:space="preserve"> </t>
  </si>
  <si>
    <t>TASA CIF O TASA PREDETERMINADA O TASA APLICADA</t>
  </si>
  <si>
    <t>CIF.FIJO = CIF VAR</t>
  </si>
  <si>
    <t>TOTAL COSTOS FIJOS</t>
  </si>
  <si>
    <t>CAP.NORMAL</t>
  </si>
  <si>
    <t>CALCULO ANTES PRODUCCION</t>
  </si>
  <si>
    <t>TASA CIF  NORMAL</t>
  </si>
  <si>
    <t>TASA CIF REAL</t>
  </si>
  <si>
    <t>CAP.REAL</t>
  </si>
  <si>
    <t>CALCULO DESPUES DE LA PRODUCCION</t>
  </si>
  <si>
    <t>VARIACION DE CAPACIDAD</t>
  </si>
  <si>
    <t>DIF. ENTRE TASAS</t>
  </si>
  <si>
    <t>CAPACIDAD REAL</t>
  </si>
  <si>
    <t>ESTADO DE RESULTADOS</t>
  </si>
  <si>
    <t>costo de mercancia vendida</t>
  </si>
  <si>
    <t xml:space="preserve"> +/- </t>
  </si>
  <si>
    <t>Variacion capacidad</t>
  </si>
  <si>
    <t>Ganancia bruta</t>
  </si>
  <si>
    <t>Margen bruto</t>
  </si>
  <si>
    <t xml:space="preserve">                              </t>
  </si>
  <si>
    <t>Gastos administracion fijos</t>
  </si>
  <si>
    <t>Gastos administracion variables</t>
  </si>
  <si>
    <t>Ganancia operacional</t>
  </si>
  <si>
    <t>Margen operacional</t>
  </si>
  <si>
    <t>DIFERENCIAS UTILIDADES</t>
  </si>
  <si>
    <t>UTILIDAD.SIST.VARIABLE</t>
  </si>
  <si>
    <t>UTILIDAD.SIST.ABSORBENTE</t>
  </si>
  <si>
    <t>DIFERENCIAS</t>
  </si>
  <si>
    <t>DIF.INVENTARIO (UNIDADES)</t>
  </si>
  <si>
    <t>TASA CIF NORMAL</t>
  </si>
  <si>
    <t xml:space="preserve">DIFERENCIAS </t>
  </si>
  <si>
    <t>La Empresa MAF SAS posee una capacidad instalada de la planta</t>
  </si>
  <si>
    <t>de 20.000 unidades por mes. Tiene los siguientes costos variables:</t>
  </si>
  <si>
    <t>Materiales directos $3 por unidad</t>
  </si>
  <si>
    <t>Mano de obra directa $2,25 por unidad</t>
  </si>
  <si>
    <t>Carga fabril variable $0,75 por unidad</t>
  </si>
  <si>
    <t xml:space="preserve">Los Costos indirectos son de $25.000 por mes </t>
  </si>
  <si>
    <t>Los gastos fijos de ventas y de administración son:</t>
  </si>
  <si>
    <t>$5.000 por mesy los gastos variables de ventas y administración</t>
  </si>
  <si>
    <t xml:space="preserve">son de $0,20 por unidad. </t>
  </si>
  <si>
    <t>Si su precio de venta de cada unidad es de $10 por unidad, realizar:</t>
  </si>
  <si>
    <t>Costo de producción por el costeo absorbente y el directo</t>
  </si>
  <si>
    <t>Estado de resultados con ambos sistemas de costeo</t>
  </si>
  <si>
    <t>Conciliación de las utilidades por los dos sistemas de costeo</t>
  </si>
  <si>
    <t>Lo anterior por al menos 4 meses de operación que tienen la siguiente información de inventario:</t>
  </si>
  <si>
    <t>Detalle</t>
  </si>
  <si>
    <t>Inventario inicial</t>
  </si>
  <si>
    <t>Unidades producidas</t>
  </si>
  <si>
    <t>Inventario Final</t>
  </si>
  <si>
    <t>ENUNCIADO DEL RETO</t>
  </si>
  <si>
    <t>DATOS RELEVANTES DE LOS COSTOS</t>
  </si>
  <si>
    <t>Mes 1</t>
  </si>
  <si>
    <t>Unidades producidas y vendidas son iguales</t>
  </si>
  <si>
    <t>Mes 2</t>
  </si>
  <si>
    <t>Unidades producidas son mayores a las vendidas</t>
  </si>
  <si>
    <t>Mes 3</t>
  </si>
  <si>
    <t>Unidades producidas son inferiores a las vendidas</t>
  </si>
  <si>
    <t>Mes 4</t>
  </si>
  <si>
    <t>Estos son los costos pronosticados</t>
  </si>
  <si>
    <t>Pero como no vendi todo los costos fijos cambian.</t>
  </si>
  <si>
    <t>Dejé de asignar estos pesos por unidad al no vender la totalidad de la producción.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</si>
</sst>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6" formatCode="&quot;$&quot;\ #,##0;[Red]\-&quot;$&quot;\ #,##0"/>
    <numFmt numFmtId="8" formatCode="&quot;$&quot;\ #,##0.00;[Red]\-&quot;$&quot;\ #,##0.00"/>
    <numFmt numFmtId="41" formatCode="_-* #,##0_-;\-* #,##0_-;_-* &quot;-&quot;_-;_-@_-"/>
    <numFmt numFmtId="44" formatCode="_-&quot;$&quot;\ * #,##0.00_-;\-&quot;$&quot;\ * #,##0.00_-;_-&quot;$&quot;\ * &quot;-&quot;??_-;_-@_-"/>
    <numFmt numFmtId="164" formatCode="&quot;$&quot;\ #,##0"/>
    <numFmt numFmtId="165" formatCode="&quot;$&quot;\ #,##0.0"/>
    <numFmt numFmtId="166" formatCode="&quot;$&quot;\ #,##0.0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7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FCC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rgb="FF3F3F3F"/>
      </bottom>
      <diagonal/>
    </border>
  </borders>
  <cellStyleXfs count="6">
    <xf numFmtId="0" fontId="0" fillId="0" borderId="0"/>
    <xf numFmtId="0" fontId="3" fillId="2" borderId="1" applyNumberFormat="0" applyAlignment="0" applyProtection="0"/>
    <xf numFmtId="0" fontId="4" fillId="0" borderId="2" applyNumberFormat="0" applyFill="0" applyAlignment="0" applyProtection="0"/>
    <xf numFmtId="0" fontId="5" fillId="6" borderId="4" applyNumberFormat="0" applyFont="0" applyAlignment="0" applyProtection="0"/>
    <xf numFmtId="0" fontId="2" fillId="7" borderId="0" applyNumberFormat="0" applyBorder="0" applyAlignment="0" applyProtection="0"/>
    <xf numFmtId="0" fontId="1" fillId="8" borderId="0" applyNumberFormat="0" applyBorder="0" applyAlignment="0" applyProtection="0"/>
  </cellStyleXfs>
  <cellXfs count="87">
    <xf numFmtId="0" fontId="0" fillId="0" borderId="0" xfId="0"/>
    <xf numFmtId="0" fontId="3" fillId="2" borderId="1" xfId="1"/>
    <xf numFmtId="0" fontId="3" fillId="2" borderId="1" xfId="1" applyAlignment="1">
      <alignment horizontal="center" vertical="center"/>
    </xf>
    <xf numFmtId="1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3" borderId="0" xfId="0" applyFill="1"/>
    <xf numFmtId="0" fontId="4" fillId="0" borderId="2" xfId="2"/>
    <xf numFmtId="166" fontId="4" fillId="0" borderId="2" xfId="2" applyNumberFormat="1"/>
    <xf numFmtId="0" fontId="4" fillId="5" borderId="2" xfId="2" applyFill="1"/>
    <xf numFmtId="164" fontId="4" fillId="5" borderId="2" xfId="2" applyNumberFormat="1" applyFill="1"/>
    <xf numFmtId="3" fontId="0" fillId="0" borderId="0" xfId="0" applyNumberFormat="1"/>
    <xf numFmtId="3" fontId="0" fillId="3" borderId="0" xfId="0" applyNumberFormat="1" applyFill="1"/>
    <xf numFmtId="3" fontId="4" fillId="0" borderId="2" xfId="2" applyNumberFormat="1"/>
    <xf numFmtId="0" fontId="4" fillId="0" borderId="0" xfId="0" applyFont="1"/>
    <xf numFmtId="6" fontId="0" fillId="0" borderId="0" xfId="0" applyNumberFormat="1"/>
    <xf numFmtId="0" fontId="0" fillId="6" borderId="4" xfId="3" applyFont="1"/>
    <xf numFmtId="10" fontId="0" fillId="6" borderId="4" xfId="3" applyNumberFormat="1" applyFont="1"/>
    <xf numFmtId="10" fontId="0" fillId="0" borderId="0" xfId="0" applyNumberFormat="1"/>
    <xf numFmtId="0" fontId="4" fillId="4" borderId="3" xfId="0" applyFont="1" applyFill="1" applyBorder="1"/>
    <xf numFmtId="3" fontId="4" fillId="4" borderId="3" xfId="0" applyNumberFormat="1" applyFont="1" applyFill="1" applyBorder="1"/>
    <xf numFmtId="8" fontId="0" fillId="0" borderId="0" xfId="0" applyNumberFormat="1"/>
    <xf numFmtId="4" fontId="0" fillId="0" borderId="0" xfId="0" applyNumberFormat="1"/>
    <xf numFmtId="0" fontId="3" fillId="2" borderId="7" xfId="1" applyBorder="1" applyAlignment="1">
      <alignment horizontal="center" vertical="center"/>
    </xf>
    <xf numFmtId="0" fontId="4" fillId="4" borderId="8" xfId="0" applyFont="1" applyFill="1" applyBorder="1"/>
    <xf numFmtId="3" fontId="4" fillId="4" borderId="8" xfId="0" applyNumberFormat="1" applyFont="1" applyFill="1" applyBorder="1"/>
    <xf numFmtId="0" fontId="0" fillId="0" borderId="5" xfId="0" applyBorder="1"/>
    <xf numFmtId="6" fontId="0" fillId="0" borderId="5" xfId="0" applyNumberFormat="1" applyBorder="1"/>
    <xf numFmtId="0" fontId="4" fillId="0" borderId="0" xfId="0" applyFont="1" applyAlignment="1">
      <alignment horizontal="left"/>
    </xf>
    <xf numFmtId="0" fontId="0" fillId="7" borderId="2" xfId="4" applyFont="1" applyBorder="1"/>
    <xf numFmtId="6" fontId="2" fillId="7" borderId="2" xfId="4" applyNumberFormat="1" applyBorder="1"/>
    <xf numFmtId="6" fontId="4" fillId="0" borderId="2" xfId="2" applyNumberFormat="1"/>
    <xf numFmtId="0" fontId="4" fillId="0" borderId="2" xfId="2" applyAlignment="1">
      <alignment horizontal="right"/>
    </xf>
    <xf numFmtId="8" fontId="4" fillId="0" borderId="2" xfId="2" applyNumberFormat="1"/>
    <xf numFmtId="0" fontId="1" fillId="7" borderId="2" xfId="4" applyFont="1" applyBorder="1"/>
    <xf numFmtId="6" fontId="1" fillId="7" borderId="2" xfId="4" applyNumberFormat="1" applyFont="1" applyBorder="1"/>
    <xf numFmtId="0" fontId="1" fillId="8" borderId="0" xfId="5"/>
    <xf numFmtId="6" fontId="1" fillId="8" borderId="0" xfId="5" applyNumberFormat="1"/>
    <xf numFmtId="0" fontId="0" fillId="0" borderId="9" xfId="0" applyBorder="1"/>
    <xf numFmtId="41" fontId="8" fillId="0" borderId="9" xfId="0" applyNumberFormat="1" applyFont="1" applyBorder="1"/>
    <xf numFmtId="0" fontId="4" fillId="9" borderId="9" xfId="0" applyFont="1" applyFill="1" applyBorder="1" applyAlignment="1">
      <alignment horizontal="center"/>
    </xf>
    <xf numFmtId="0" fontId="9" fillId="0" borderId="0" xfId="0" applyFon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41" fontId="0" fillId="0" borderId="0" xfId="0" applyNumberFormat="1"/>
    <xf numFmtId="0" fontId="11" fillId="0" borderId="0" xfId="0" applyFont="1"/>
    <xf numFmtId="0" fontId="12" fillId="0" borderId="0" xfId="0" applyFont="1"/>
    <xf numFmtId="0" fontId="0" fillId="10" borderId="0" xfId="0" applyFill="1"/>
    <xf numFmtId="10" fontId="4" fillId="10" borderId="0" xfId="0" applyNumberFormat="1" applyFont="1" applyFill="1"/>
    <xf numFmtId="0" fontId="4" fillId="10" borderId="2" xfId="2" applyFill="1"/>
    <xf numFmtId="3" fontId="4" fillId="10" borderId="2" xfId="2" applyNumberFormat="1" applyFill="1"/>
    <xf numFmtId="0" fontId="1" fillId="10" borderId="2" xfId="5" applyFill="1" applyBorder="1"/>
    <xf numFmtId="6" fontId="1" fillId="10" borderId="2" xfId="5" applyNumberFormat="1" applyFill="1" applyBorder="1"/>
    <xf numFmtId="0" fontId="0" fillId="10" borderId="4" xfId="3" applyFont="1" applyFill="1"/>
    <xf numFmtId="8" fontId="0" fillId="10" borderId="4" xfId="3" applyNumberFormat="1" applyFont="1" applyFill="1"/>
    <xf numFmtId="8" fontId="0" fillId="10" borderId="0" xfId="0" applyNumberFormat="1" applyFill="1"/>
    <xf numFmtId="3" fontId="0" fillId="10" borderId="0" xfId="0" applyNumberFormat="1" applyFill="1"/>
    <xf numFmtId="6" fontId="0" fillId="10" borderId="0" xfId="0" applyNumberFormat="1" applyFill="1"/>
    <xf numFmtId="0" fontId="4" fillId="7" borderId="2" xfId="4" applyFont="1" applyBorder="1"/>
    <xf numFmtId="10" fontId="4" fillId="7" borderId="2" xfId="4" applyNumberFormat="1" applyFont="1" applyBorder="1"/>
    <xf numFmtId="10" fontId="4" fillId="10" borderId="2" xfId="2" applyNumberFormat="1" applyFill="1"/>
    <xf numFmtId="0" fontId="0" fillId="11" borderId="10" xfId="0" applyFill="1" applyBorder="1"/>
    <xf numFmtId="0" fontId="0" fillId="11" borderId="11" xfId="0" applyFill="1" applyBorder="1"/>
    <xf numFmtId="0" fontId="0" fillId="11" borderId="12" xfId="0" applyFill="1" applyBorder="1"/>
    <xf numFmtId="0" fontId="0" fillId="11" borderId="13" xfId="0" applyFill="1" applyBorder="1"/>
    <xf numFmtId="0" fontId="0" fillId="11" borderId="0" xfId="0" applyFill="1"/>
    <xf numFmtId="0" fontId="0" fillId="11" borderId="14" xfId="0" applyFill="1" applyBorder="1"/>
    <xf numFmtId="0" fontId="0" fillId="11" borderId="15" xfId="0" applyFill="1" applyBorder="1"/>
    <xf numFmtId="0" fontId="0" fillId="11" borderId="16" xfId="0" applyFill="1" applyBorder="1"/>
    <xf numFmtId="0" fontId="0" fillId="11" borderId="17" xfId="0" applyFill="1" applyBorder="1"/>
    <xf numFmtId="0" fontId="0" fillId="12" borderId="0" xfId="0" applyFill="1"/>
    <xf numFmtId="8" fontId="0" fillId="12" borderId="0" xfId="0" applyNumberFormat="1" applyFill="1"/>
    <xf numFmtId="44" fontId="0" fillId="0" borderId="5" xfId="0" applyNumberFormat="1" applyBorder="1"/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10" fillId="9" borderId="18" xfId="0" applyFont="1" applyFill="1" applyBorder="1" applyAlignment="1">
      <alignment horizontal="center"/>
    </xf>
    <xf numFmtId="0" fontId="4" fillId="9" borderId="18" xfId="0" applyFont="1" applyFill="1" applyBorder="1" applyAlignment="1">
      <alignment horizontal="center"/>
    </xf>
  </cellXfs>
  <cellStyles count="6">
    <cellStyle name="20% - Énfasis2" xfId="5" builtinId="34"/>
    <cellStyle name="20% - Énfasis6" xfId="4" builtinId="50"/>
    <cellStyle name="Normal" xfId="0" builtinId="0"/>
    <cellStyle name="Notas" xfId="3" builtinId="10"/>
    <cellStyle name="Salida" xfId="1" builtinId="21"/>
    <cellStyle name="Total" xfId="2" builtinId="25"/>
  </cellStyles>
  <dxfs count="3">
    <dxf>
      <border outline="0">
        <top style="thin">
          <color rgb="FF3F3F3F"/>
        </top>
        <bottom style="thin">
          <color rgb="FF000000"/>
        </bottom>
      </border>
    </dxf>
    <dxf>
      <border outline="0">
        <bottom style="thin">
          <color rgb="FF3F3F3F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rgb="FF3F3F3F"/>
        </left>
        <right style="thin">
          <color rgb="FF3F3F3F"/>
        </right>
        <top/>
        <bottom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Capacidades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'Sistema de costos Variables'!$F$46</c:f>
              <c:strCache>
                <c:ptCount val="1"/>
                <c:pt idx="0">
                  <c:v>capacidad ociosa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4C56-4498-BC55-4C38CA96B5B6}"/>
              </c:ext>
            </c:extLst>
          </c:dPt>
          <c:dPt>
            <c:idx val="1"/>
            <c:invertIfNegative val="0"/>
            <c:bubble3D val="0"/>
            <c:spPr>
              <a:solidFill>
                <a:srgbClr val="00FF00"/>
              </a:solidFill>
              <a:ln>
                <a:solidFill>
                  <a:srgbClr val="00FF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C56-4498-BC55-4C38CA96B5B6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C56-4498-BC55-4C38CA96B5B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'Sistema de costos Variables'!$G$43:$J$43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'Sistema de costos Variables'!$G$46:$J$46</c:f>
              <c:numCache>
                <c:formatCode>#,##0</c:formatCode>
                <c:ptCount val="4"/>
                <c:pt idx="0">
                  <c:v>-2500</c:v>
                </c:pt>
                <c:pt idx="1">
                  <c:v>1000</c:v>
                </c:pt>
                <c:pt idx="2">
                  <c:v>-1000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C56-4498-BC55-4C38CA96B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5866560"/>
        <c:axId val="345861984"/>
      </c:barChart>
      <c:lineChart>
        <c:grouping val="standard"/>
        <c:varyColors val="0"/>
        <c:ser>
          <c:idx val="0"/>
          <c:order val="0"/>
          <c:tx>
            <c:strRef>
              <c:f>'Sistema de costos Variables'!$F$44</c:f>
              <c:strCache>
                <c:ptCount val="1"/>
                <c:pt idx="0">
                  <c:v>capac.max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'Sistema de costos Variables'!$G$43:$J$43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'Sistema de costos Variables'!$G$44:$J$44</c:f>
              <c:numCache>
                <c:formatCode>#,##0</c:formatCode>
                <c:ptCount val="4"/>
                <c:pt idx="0">
                  <c:v>30000</c:v>
                </c:pt>
                <c:pt idx="1">
                  <c:v>30000</c:v>
                </c:pt>
                <c:pt idx="2">
                  <c:v>30000</c:v>
                </c:pt>
                <c:pt idx="3">
                  <c:v>30000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56-4498-BC55-4C38CA96B5B6}"/>
            </c:ext>
          </c:extLst>
        </c:ser>
        <c:ser>
          <c:idx val="1"/>
          <c:order val="1"/>
          <c:tx>
            <c:strRef>
              <c:f>'Sistema de costos Variables'!$F$45</c:f>
              <c:strCache>
                <c:ptCount val="1"/>
                <c:pt idx="0">
                  <c:v>capac.normal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'Sistema de costos Variables'!$G$43:$J$43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'Sistema de costos Variables'!$G$45:$J$45</c:f>
              <c:numCache>
                <c:formatCode>#,##0</c:formatCode>
                <c:ptCount val="4"/>
                <c:pt idx="0">
                  <c:v>20000</c:v>
                </c:pt>
                <c:pt idx="1">
                  <c:v>20000</c:v>
                </c:pt>
                <c:pt idx="2">
                  <c:v>20000</c:v>
                </c:pt>
                <c:pt idx="3">
                  <c:v>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56-4498-BC55-4C38CA96B5B6}"/>
            </c:ext>
          </c:extLst>
        </c:ser>
        <c:ser>
          <c:idx val="3"/>
          <c:order val="3"/>
          <c:tx>
            <c:strRef>
              <c:f>'Sistema de costos Variables'!$F$47</c:f>
              <c:strCache>
                <c:ptCount val="1"/>
                <c:pt idx="0">
                  <c:v>capac.real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'Sistema de costos Variables'!$G$43:$J$43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'Sistema de costos Variables'!$G$47:$J$47</c:f>
              <c:numCache>
                <c:formatCode>#,##0</c:formatCode>
                <c:ptCount val="4"/>
                <c:pt idx="0">
                  <c:v>17500</c:v>
                </c:pt>
                <c:pt idx="1">
                  <c:v>21000</c:v>
                </c:pt>
                <c:pt idx="2">
                  <c:v>19000</c:v>
                </c:pt>
                <c:pt idx="3">
                  <c:v>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C56-4498-BC55-4C38CA96B5B6}"/>
            </c:ext>
          </c:extLst>
        </c:ser>
        <c:ser>
          <c:idx val="4"/>
          <c:order val="4"/>
          <c:tx>
            <c:strRef>
              <c:f>'Sistema de costos Variables'!$F$48</c:f>
              <c:strCache>
                <c:ptCount val="1"/>
                <c:pt idx="0">
                  <c:v>capac.pto equilibrio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'Sistema de costos Variables'!$G$43:$J$43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'Sistema de costos Variables'!$G$48:$J$48</c:f>
              <c:numCache>
                <c:formatCode>#,##0</c:formatCode>
                <c:ptCount val="4"/>
                <c:pt idx="0">
                  <c:v>7894.7368421052633</c:v>
                </c:pt>
                <c:pt idx="1">
                  <c:v>7894.7368421052633</c:v>
                </c:pt>
                <c:pt idx="2">
                  <c:v>7894.7368421052633</c:v>
                </c:pt>
                <c:pt idx="3">
                  <c:v>7894.7368421052633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C56-4498-BC55-4C38CA96B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4241008"/>
        <c:axId val="2014237264"/>
      </c:lineChart>
      <c:catAx>
        <c:axId val="2014241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14237264"/>
        <c:crosses val="autoZero"/>
        <c:auto val="1"/>
        <c:lblAlgn val="ctr"/>
        <c:lblOffset val="100"/>
        <c:noMultiLvlLbl val="0"/>
      </c:catAx>
      <c:valAx>
        <c:axId val="201423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14241008"/>
        <c:crosses val="autoZero"/>
        <c:crossBetween val="between"/>
      </c:valAx>
      <c:valAx>
        <c:axId val="345861984"/>
        <c:scaling>
          <c:orientation val="minMax"/>
        </c:scaling>
        <c:delete val="0"/>
        <c:axPos val="r"/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45866560"/>
        <c:crosses val="max"/>
        <c:crossBetween val="between"/>
      </c:valAx>
      <c:catAx>
        <c:axId val="3458665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58619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63136</xdr:colOff>
      <xdr:row>49</xdr:row>
      <xdr:rowOff>93914</xdr:rowOff>
    </xdr:from>
    <xdr:to>
      <xdr:col>10</xdr:col>
      <xdr:colOff>122116</xdr:colOff>
      <xdr:row>63</xdr:row>
      <xdr:rowOff>117230</xdr:rowOff>
    </xdr:to>
    <xdr:graphicFrame macro="">
      <xdr:nvGraphicFramePr>
        <xdr:cNvPr id="19" name="Gráfico 2">
          <a:extLst>
            <a:ext uri="{FF2B5EF4-FFF2-40B4-BE49-F238E27FC236}">
              <a16:creationId xmlns:a16="http://schemas.microsoft.com/office/drawing/2014/main" id="{1BC4D0C9-1485-B709-1EC9-A80FEA2AE2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266700</xdr:colOff>
      <xdr:row>13</xdr:row>
      <xdr:rowOff>114300</xdr:rowOff>
    </xdr:from>
    <xdr:to>
      <xdr:col>7</xdr:col>
      <xdr:colOff>190500</xdr:colOff>
      <xdr:row>27</xdr:row>
      <xdr:rowOff>112712</xdr:rowOff>
    </xdr:to>
    <xdr:pic>
      <xdr:nvPicPr>
        <xdr:cNvPr id="17" name="Imagen 2">
          <a:extLst>
            <a:ext uri="{FF2B5EF4-FFF2-40B4-BE49-F238E27FC236}">
              <a16:creationId xmlns:a16="http://schemas.microsoft.com/office/drawing/2014/main" id="{59EF9771-0794-7517-8BE5-B016CC063BC8}"/>
            </a:ext>
            <a:ext uri="{147F2762-F138-4A5C-976F-8EAC2B608ADB}">
              <a16:predDERef xmlns:a16="http://schemas.microsoft.com/office/drawing/2014/main" pred="{AAF4C8B5-06F2-D1C7-7DE5-ED3048A0F7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6700" y="2590800"/>
          <a:ext cx="4191000" cy="267652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jercici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>
        <row r="38">
          <cell r="C38">
            <v>140000000</v>
          </cell>
        </row>
        <row r="50">
          <cell r="D50">
            <v>127875000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BC8FCB3-7498-4274-B2B0-97E62B44D8FB}" name="INVENTARIOS" displayName="INVENTARIOS" ref="D1:H6" totalsRowShown="0" headerRowDxfId="2" headerRowBorderDxfId="1" tableBorderDxfId="0" headerRowCellStyle="Salida">
  <autoFilter ref="D1:H6" xr:uid="{FBC8FCB3-7498-4274-B2B0-97E62B44D8FB}"/>
  <tableColumns count="5">
    <tableColumn id="1" xr3:uid="{AB61A838-F078-45A3-8445-427D0F9AEB8B}" name="MESES"/>
    <tableColumn id="2" xr3:uid="{D0ABA901-7618-492E-9BAE-DAE185256AB3}" name="1"/>
    <tableColumn id="3" xr3:uid="{61D57FCF-EC42-478E-AD83-6861713D3A1A}" name="2"/>
    <tableColumn id="4" xr3:uid="{92BC721F-2CF7-4C0A-BCDB-380459DD2502}" name="3"/>
    <tableColumn id="5" xr3:uid="{63F24668-2169-4E04-9670-CBB40CA53FFB}" name="4"/>
  </tableColumns>
  <tableStyleInfo name="TableStyleMedium20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28B71-F5DB-4E4D-BA88-D284767AEAD7}">
  <dimension ref="A1:L49"/>
  <sheetViews>
    <sheetView showGridLines="0" topLeftCell="A12" zoomScale="82" zoomScaleNormal="82" workbookViewId="0">
      <selection activeCell="G46" sqref="G46"/>
    </sheetView>
  </sheetViews>
  <sheetFormatPr baseColWidth="10" defaultColWidth="9.28515625" defaultRowHeight="15" x14ac:dyDescent="0.25"/>
  <cols>
    <col min="2" max="2" width="16.28515625" customWidth="1"/>
    <col min="3" max="3" width="29.28515625" bestFit="1" customWidth="1"/>
    <col min="4" max="4" width="12.42578125" bestFit="1" customWidth="1"/>
    <col min="5" max="5" width="9.7109375" customWidth="1"/>
    <col min="6" max="6" width="18.7109375" bestFit="1" customWidth="1"/>
    <col min="7" max="7" width="17.5703125" customWidth="1"/>
    <col min="8" max="8" width="12.7109375" bestFit="1" customWidth="1"/>
    <col min="9" max="12" width="11.42578125" bestFit="1" customWidth="1"/>
  </cols>
  <sheetData>
    <row r="1" spans="1:7" ht="21.75" customHeight="1" x14ac:dyDescent="0.25">
      <c r="A1" s="15" t="s">
        <v>0</v>
      </c>
      <c r="C1" s="2" t="s">
        <v>1</v>
      </c>
      <c r="D1" s="2">
        <v>1</v>
      </c>
      <c r="E1" s="2">
        <v>2</v>
      </c>
      <c r="F1" s="2">
        <v>3</v>
      </c>
      <c r="G1" s="2">
        <v>4</v>
      </c>
    </row>
    <row r="2" spans="1:7" x14ac:dyDescent="0.25">
      <c r="A2" s="15" t="s">
        <v>2</v>
      </c>
      <c r="B2" s="15" t="s">
        <v>3</v>
      </c>
      <c r="C2" t="s">
        <v>4</v>
      </c>
      <c r="D2" s="12">
        <v>0</v>
      </c>
      <c r="E2" s="12">
        <f>D4</f>
        <v>0</v>
      </c>
      <c r="F2" s="12">
        <f>E4</f>
        <v>3000</v>
      </c>
      <c r="G2" s="12">
        <f>F4</f>
        <v>1000</v>
      </c>
    </row>
    <row r="3" spans="1:7" x14ac:dyDescent="0.25">
      <c r="C3" s="54" t="s">
        <v>5</v>
      </c>
      <c r="D3" s="13">
        <v>17500</v>
      </c>
      <c r="E3" s="13">
        <v>21000</v>
      </c>
      <c r="F3" s="13">
        <v>19000</v>
      </c>
      <c r="G3" s="13">
        <v>20000</v>
      </c>
    </row>
    <row r="4" spans="1:7" x14ac:dyDescent="0.25">
      <c r="C4" t="s">
        <v>6</v>
      </c>
      <c r="D4" s="12">
        <v>0</v>
      </c>
      <c r="E4" s="12">
        <v>3000</v>
      </c>
      <c r="F4" s="12">
        <v>1000</v>
      </c>
      <c r="G4" s="12">
        <v>4500</v>
      </c>
    </row>
    <row r="5" spans="1:7" x14ac:dyDescent="0.25">
      <c r="D5" s="12"/>
      <c r="E5" s="12"/>
      <c r="F5" s="12"/>
      <c r="G5" s="12"/>
    </row>
    <row r="6" spans="1:7" x14ac:dyDescent="0.25">
      <c r="C6" s="20" t="s">
        <v>7</v>
      </c>
      <c r="D6" s="21">
        <f>D2+D3-D4</f>
        <v>17500</v>
      </c>
      <c r="E6" s="21">
        <f>E2+E3-E4</f>
        <v>18000</v>
      </c>
      <c r="F6" s="21">
        <f>F2+F3-F4</f>
        <v>21000</v>
      </c>
      <c r="G6" s="21">
        <f>G2+G3-G4</f>
        <v>16500</v>
      </c>
    </row>
    <row r="8" spans="1:7" x14ac:dyDescent="0.25">
      <c r="A8" t="s">
        <v>8</v>
      </c>
      <c r="B8" s="15" t="s">
        <v>9</v>
      </c>
      <c r="C8" s="1" t="s">
        <v>10</v>
      </c>
      <c r="D8" s="1">
        <v>1</v>
      </c>
      <c r="E8" s="1">
        <v>2</v>
      </c>
      <c r="F8" s="1">
        <v>3</v>
      </c>
      <c r="G8" s="1">
        <v>4</v>
      </c>
    </row>
    <row r="9" spans="1:7" x14ac:dyDescent="0.25">
      <c r="B9" t="s">
        <v>11</v>
      </c>
      <c r="C9" t="s">
        <v>12</v>
      </c>
      <c r="D9" s="6">
        <f>+'RETO Y DATOS'!MAT.PRIM.DIRECTA</f>
        <v>3</v>
      </c>
      <c r="E9" s="6">
        <f t="shared" ref="E9:G12" si="0">D9</f>
        <v>3</v>
      </c>
      <c r="F9" s="6">
        <f t="shared" si="0"/>
        <v>3</v>
      </c>
      <c r="G9" s="6">
        <f t="shared" si="0"/>
        <v>3</v>
      </c>
    </row>
    <row r="10" spans="1:7" x14ac:dyDescent="0.25">
      <c r="C10" t="s">
        <v>13</v>
      </c>
      <c r="D10" s="6">
        <f>+'RETO Y DATOS'!MDEO.DIRECTA</f>
        <v>2.25</v>
      </c>
      <c r="E10" s="6">
        <f t="shared" si="0"/>
        <v>2.25</v>
      </c>
      <c r="F10" s="6">
        <f t="shared" si="0"/>
        <v>2.25</v>
      </c>
      <c r="G10" s="6">
        <f t="shared" si="0"/>
        <v>2.25</v>
      </c>
    </row>
    <row r="11" spans="1:7" x14ac:dyDescent="0.25">
      <c r="C11" t="s">
        <v>14</v>
      </c>
      <c r="D11" s="6">
        <f>+'RETO Y DATOS'!CIF.VARIABLES</f>
        <v>0.75</v>
      </c>
      <c r="E11" s="6">
        <f t="shared" si="0"/>
        <v>0.75</v>
      </c>
      <c r="F11" s="6">
        <f t="shared" si="0"/>
        <v>0.75</v>
      </c>
      <c r="G11" s="6">
        <f t="shared" si="0"/>
        <v>0.75</v>
      </c>
    </row>
    <row r="12" spans="1:7" x14ac:dyDescent="0.25">
      <c r="C12" t="s">
        <v>15</v>
      </c>
      <c r="D12" s="6">
        <f>+'RETO Y DATOS'!GTOS.FIJOS.VAR</f>
        <v>0.2</v>
      </c>
      <c r="E12" s="6">
        <f t="shared" si="0"/>
        <v>0.2</v>
      </c>
      <c r="F12" s="6">
        <f t="shared" si="0"/>
        <v>0.2</v>
      </c>
      <c r="G12" s="6">
        <f t="shared" si="0"/>
        <v>0.2</v>
      </c>
    </row>
    <row r="13" spans="1:7" x14ac:dyDescent="0.25">
      <c r="C13" s="8" t="s">
        <v>9</v>
      </c>
      <c r="D13" s="9">
        <f>SUM(D9:D12)</f>
        <v>6.2</v>
      </c>
      <c r="E13" s="9">
        <f>SUM(E9:E12)</f>
        <v>6.2</v>
      </c>
      <c r="F13" s="9">
        <f>SUM(F9:F12)</f>
        <v>6.2</v>
      </c>
      <c r="G13" s="9">
        <f>SUM(G9:G12)</f>
        <v>6.2</v>
      </c>
    </row>
    <row r="14" spans="1:7" x14ac:dyDescent="0.25">
      <c r="C14" s="54" t="s">
        <v>16</v>
      </c>
      <c r="D14" s="55">
        <f>+D13/'RETO Y DATOS'!PRE.VTA.UNIT</f>
        <v>0.62</v>
      </c>
      <c r="E14" s="55">
        <f>+E13/'RETO Y DATOS'!PRE.VTA.UNIT</f>
        <v>0.62</v>
      </c>
      <c r="F14" s="55">
        <f>+F13/'RETO Y DATOS'!PRE.VTA.UNIT</f>
        <v>0.62</v>
      </c>
      <c r="G14" s="55">
        <f>+G13/'RETO Y DATOS'!PRE.VTA.UNIT</f>
        <v>0.62</v>
      </c>
    </row>
    <row r="15" spans="1:7" x14ac:dyDescent="0.25">
      <c r="A15" t="s">
        <v>17</v>
      </c>
      <c r="B15" s="15" t="s">
        <v>18</v>
      </c>
    </row>
    <row r="16" spans="1:7" x14ac:dyDescent="0.25">
      <c r="C16" t="s">
        <v>19</v>
      </c>
      <c r="D16" s="4">
        <f>Enunciado!Q5*'Sistema de costos Variables'!$D$13</f>
        <v>0</v>
      </c>
      <c r="E16" s="4">
        <f>Enunciado!R5*'Sistema de costos Variables'!$D$13</f>
        <v>0</v>
      </c>
      <c r="F16" s="4">
        <f>Enunciado!S5*'Sistema de costos Variables'!$D$13</f>
        <v>18600</v>
      </c>
      <c r="G16" s="4">
        <f>Enunciado!T5*'Sistema de costos Variables'!$D$13</f>
        <v>6200</v>
      </c>
    </row>
    <row r="17" spans="1:7" x14ac:dyDescent="0.25">
      <c r="C17" t="s">
        <v>20</v>
      </c>
      <c r="D17" s="4">
        <f>+D3*D13</f>
        <v>108500</v>
      </c>
      <c r="E17" s="4">
        <f>+E3*E13</f>
        <v>130200</v>
      </c>
      <c r="F17" s="4">
        <f>+F3*F13</f>
        <v>117800</v>
      </c>
      <c r="G17" s="4">
        <f>+G3*G13</f>
        <v>124000</v>
      </c>
    </row>
    <row r="18" spans="1:7" x14ac:dyDescent="0.25">
      <c r="C18" t="s">
        <v>21</v>
      </c>
      <c r="D18" s="4">
        <f>Enunciado!Q7*'Sistema de costos Variables'!$D$13</f>
        <v>0</v>
      </c>
      <c r="E18" s="4">
        <f>+E4*E13</f>
        <v>18600</v>
      </c>
      <c r="F18" s="4">
        <f t="shared" ref="F18:G18" si="1">+F4*F13</f>
        <v>6200</v>
      </c>
      <c r="G18" s="4">
        <f t="shared" si="1"/>
        <v>27900</v>
      </c>
    </row>
    <row r="19" spans="1:7" x14ac:dyDescent="0.25">
      <c r="C19" s="10" t="s">
        <v>22</v>
      </c>
      <c r="D19" s="11">
        <f>D16+D17-D18</f>
        <v>108500</v>
      </c>
      <c r="E19" s="11">
        <f t="shared" ref="E19:G19" si="2">E16+E17-E18</f>
        <v>111600</v>
      </c>
      <c r="F19" s="11">
        <f t="shared" si="2"/>
        <v>130200</v>
      </c>
      <c r="G19" s="11">
        <f t="shared" si="2"/>
        <v>102300</v>
      </c>
    </row>
    <row r="21" spans="1:7" x14ac:dyDescent="0.25">
      <c r="A21" t="s">
        <v>23</v>
      </c>
    </row>
    <row r="22" spans="1:7" x14ac:dyDescent="0.25">
      <c r="B22" s="1" t="s">
        <v>24</v>
      </c>
      <c r="C22" s="1" t="s">
        <v>25</v>
      </c>
      <c r="D22" s="1">
        <v>1</v>
      </c>
      <c r="E22" s="1">
        <v>2</v>
      </c>
      <c r="F22" s="1">
        <v>3</v>
      </c>
      <c r="G22" s="1">
        <v>4</v>
      </c>
    </row>
    <row r="23" spans="1:7" x14ac:dyDescent="0.25">
      <c r="B23" t="s">
        <v>26</v>
      </c>
      <c r="C23" t="s">
        <v>27</v>
      </c>
      <c r="D23" s="16">
        <f>+D6*'RETO Y DATOS'!PRE.VTA.UNIT</f>
        <v>175000</v>
      </c>
      <c r="E23" s="16">
        <f>+E6*'RETO Y DATOS'!PRE.VTA.UNIT</f>
        <v>180000</v>
      </c>
      <c r="F23" s="16">
        <f>+F6*'RETO Y DATOS'!PRE.VTA.UNIT</f>
        <v>210000</v>
      </c>
      <c r="G23" s="16">
        <f>+G6*'RETO Y DATOS'!PRE.VTA.UNIT</f>
        <v>165000</v>
      </c>
    </row>
    <row r="24" spans="1:7" x14ac:dyDescent="0.25">
      <c r="B24" t="s">
        <v>28</v>
      </c>
      <c r="C24" t="s">
        <v>29</v>
      </c>
      <c r="D24" s="4">
        <f>D19</f>
        <v>108500</v>
      </c>
      <c r="E24" s="4">
        <f>E19</f>
        <v>111600</v>
      </c>
      <c r="F24" s="4">
        <f>F19</f>
        <v>130200</v>
      </c>
      <c r="G24" s="4">
        <f>G19</f>
        <v>102300</v>
      </c>
    </row>
    <row r="25" spans="1:7" x14ac:dyDescent="0.25">
      <c r="B25" s="35" t="s">
        <v>30</v>
      </c>
      <c r="C25" s="35" t="s">
        <v>31</v>
      </c>
      <c r="D25" s="36">
        <f>D23-D24</f>
        <v>66500</v>
      </c>
      <c r="E25" s="36">
        <f>E23-E24</f>
        <v>68400</v>
      </c>
      <c r="F25" s="36">
        <f>F23-F24</f>
        <v>79800</v>
      </c>
      <c r="G25" s="36">
        <f>G23-G24</f>
        <v>62700</v>
      </c>
    </row>
    <row r="26" spans="1:7" x14ac:dyDescent="0.25">
      <c r="B26" s="17" t="s">
        <v>32</v>
      </c>
      <c r="C26" s="17" t="s">
        <v>33</v>
      </c>
      <c r="D26" s="18">
        <f>D25/D23</f>
        <v>0.38</v>
      </c>
      <c r="E26" s="18">
        <f>E25/E23</f>
        <v>0.38</v>
      </c>
      <c r="F26" s="18">
        <f>F25/F23</f>
        <v>0.38</v>
      </c>
      <c r="G26" s="18">
        <f>G25/G23</f>
        <v>0.38</v>
      </c>
    </row>
    <row r="27" spans="1:7" x14ac:dyDescent="0.25">
      <c r="B27" t="s">
        <v>28</v>
      </c>
      <c r="C27" t="s">
        <v>34</v>
      </c>
      <c r="D27" s="16">
        <f>CIF.FIJOS.MES</f>
        <v>25000</v>
      </c>
      <c r="E27" s="16">
        <f>CIF.FIJOS.MES</f>
        <v>25000</v>
      </c>
      <c r="F27" s="16">
        <f>CIF.FIJOS.MES</f>
        <v>25000</v>
      </c>
      <c r="G27" s="16">
        <f>CIF.FIJOS.MES</f>
        <v>25000</v>
      </c>
    </row>
    <row r="28" spans="1:7" x14ac:dyDescent="0.25">
      <c r="B28" t="s">
        <v>35</v>
      </c>
      <c r="C28" t="s">
        <v>36</v>
      </c>
      <c r="D28" s="16">
        <f>GTOS.ADMON.FIJOS</f>
        <v>5000</v>
      </c>
      <c r="E28" s="16">
        <f>GTOS.ADMON.FIJOS</f>
        <v>5000</v>
      </c>
      <c r="F28" s="16">
        <f>GTOS.ADMON.FIJOS</f>
        <v>5000</v>
      </c>
      <c r="G28" s="16">
        <f>GTOS.ADMON.FIJOS</f>
        <v>5000</v>
      </c>
    </row>
    <row r="29" spans="1:7" x14ac:dyDescent="0.25">
      <c r="B29" s="35" t="s">
        <v>30</v>
      </c>
      <c r="C29" s="35" t="s">
        <v>37</v>
      </c>
      <c r="D29" s="36">
        <f>D25-D27-D28</f>
        <v>36500</v>
      </c>
      <c r="E29" s="36">
        <f>E25-E27-E28</f>
        <v>38400</v>
      </c>
      <c r="F29" s="36">
        <f>F25-F27-F28</f>
        <v>49800</v>
      </c>
      <c r="G29" s="36">
        <f>G25-G27-G28</f>
        <v>32700</v>
      </c>
    </row>
    <row r="30" spans="1:7" x14ac:dyDescent="0.25">
      <c r="B30" s="17" t="s">
        <v>38</v>
      </c>
      <c r="C30" s="17" t="s">
        <v>39</v>
      </c>
      <c r="D30" s="18">
        <f>D29/D23</f>
        <v>0.20857142857142857</v>
      </c>
      <c r="E30" s="18">
        <f>E29/E23</f>
        <v>0.21333333333333335</v>
      </c>
      <c r="F30" s="18">
        <f>F29/F23</f>
        <v>0.23714285714285716</v>
      </c>
      <c r="G30" s="18">
        <f>G29/G23</f>
        <v>0.19818181818181818</v>
      </c>
    </row>
    <row r="32" spans="1:7" x14ac:dyDescent="0.25">
      <c r="B32" t="s">
        <v>40</v>
      </c>
    </row>
    <row r="33" spans="3:12" x14ac:dyDescent="0.25">
      <c r="C33" s="80" t="s">
        <v>41</v>
      </c>
      <c r="D33" s="80" t="s">
        <v>42</v>
      </c>
      <c r="E33" s="81" t="s">
        <v>43</v>
      </c>
      <c r="F33" s="81"/>
      <c r="G33" s="81"/>
      <c r="H33" s="80" t="s">
        <v>42</v>
      </c>
      <c r="I33" s="16">
        <f>SUM(D27:D28)</f>
        <v>30000</v>
      </c>
      <c r="J33" s="16">
        <f>SUM(E27:E28)</f>
        <v>30000</v>
      </c>
      <c r="K33" s="16">
        <f>SUM(F27:F28)</f>
        <v>30000</v>
      </c>
      <c r="L33" s="16">
        <f>SUM(G27:G28)</f>
        <v>30000</v>
      </c>
    </row>
    <row r="34" spans="3:12" x14ac:dyDescent="0.25">
      <c r="C34" s="80"/>
      <c r="D34" s="80"/>
      <c r="E34" s="82" t="s">
        <v>44</v>
      </c>
      <c r="F34" s="82"/>
      <c r="G34" s="82"/>
      <c r="H34" s="80"/>
      <c r="I34" s="6">
        <f>PRE.VTA.UNIT-D13</f>
        <v>3.8</v>
      </c>
      <c r="J34" s="6">
        <f>PRE.VTA.UNIT-E13</f>
        <v>3.8</v>
      </c>
      <c r="K34" s="6">
        <f>PRE.VTA.UNIT-F13</f>
        <v>3.8</v>
      </c>
      <c r="L34" s="6">
        <f>PRE.VTA.UNIT-G13</f>
        <v>3.8</v>
      </c>
    </row>
    <row r="35" spans="3:12" x14ac:dyDescent="0.25">
      <c r="H35" s="56" t="s">
        <v>45</v>
      </c>
      <c r="I35" s="57">
        <f>I33/I34</f>
        <v>7894.7368421052633</v>
      </c>
      <c r="J35" s="57">
        <f>J33/J34</f>
        <v>7894.7368421052633</v>
      </c>
      <c r="K35" s="57">
        <f>K33/K34</f>
        <v>7894.7368421052633</v>
      </c>
      <c r="L35" s="57">
        <f>L33/L34</f>
        <v>7894.7368421052633</v>
      </c>
    </row>
    <row r="36" spans="3:12" x14ac:dyDescent="0.25">
      <c r="I36" s="22"/>
    </row>
    <row r="37" spans="3:12" hidden="1" x14ac:dyDescent="0.25">
      <c r="G37" s="37" t="s">
        <v>46</v>
      </c>
      <c r="H37" s="37"/>
      <c r="I37" s="38">
        <f>I35*PRE.VTA.UNIT</f>
        <v>78947.368421052641</v>
      </c>
      <c r="J37" s="38">
        <f>J35*PRE.VTA.UNIT</f>
        <v>78947.368421052641</v>
      </c>
      <c r="K37" s="38">
        <f>K35*PRE.VTA.UNIT</f>
        <v>78947.368421052641</v>
      </c>
      <c r="L37" s="38">
        <f>L35*PRE.VTA.UNIT</f>
        <v>78947.368421052641</v>
      </c>
    </row>
    <row r="39" spans="3:12" x14ac:dyDescent="0.25">
      <c r="C39" s="80" t="s">
        <v>47</v>
      </c>
      <c r="E39" s="81" t="s">
        <v>43</v>
      </c>
      <c r="F39" s="81"/>
      <c r="G39" s="81"/>
      <c r="H39" s="80" t="s">
        <v>42</v>
      </c>
      <c r="I39" s="16">
        <f>I33</f>
        <v>30000</v>
      </c>
      <c r="J39" s="16">
        <f>J33</f>
        <v>30000</v>
      </c>
      <c r="K39" s="16">
        <f>K33</f>
        <v>30000</v>
      </c>
      <c r="L39" s="16">
        <f>L33</f>
        <v>30000</v>
      </c>
    </row>
    <row r="40" spans="3:12" x14ac:dyDescent="0.25">
      <c r="C40" s="80"/>
      <c r="E40" s="82" t="s">
        <v>48</v>
      </c>
      <c r="F40" s="82"/>
      <c r="G40" s="82"/>
      <c r="H40" s="80"/>
      <c r="I40" s="19">
        <f>D26</f>
        <v>0.38</v>
      </c>
      <c r="J40" s="19">
        <f>E26</f>
        <v>0.38</v>
      </c>
      <c r="K40" s="19">
        <f>F26</f>
        <v>0.38</v>
      </c>
      <c r="L40" s="19">
        <f>G26</f>
        <v>0.38</v>
      </c>
    </row>
    <row r="41" spans="3:12" x14ac:dyDescent="0.25">
      <c r="H41" s="58" t="s">
        <v>49</v>
      </c>
      <c r="I41" s="59">
        <f>I39/I40</f>
        <v>78947.368421052626</v>
      </c>
      <c r="J41" s="59">
        <f>J39/J40</f>
        <v>78947.368421052626</v>
      </c>
      <c r="K41" s="59">
        <f>K39/K40</f>
        <v>78947.368421052626</v>
      </c>
      <c r="L41" s="59">
        <f>L39/L40</f>
        <v>78947.368421052626</v>
      </c>
    </row>
    <row r="42" spans="3:12" x14ac:dyDescent="0.25">
      <c r="D42" s="80" t="s">
        <v>42</v>
      </c>
    </row>
    <row r="43" spans="3:12" x14ac:dyDescent="0.25">
      <c r="D43" s="80"/>
      <c r="F43" s="1">
        <v>0</v>
      </c>
      <c r="G43" s="1">
        <v>1</v>
      </c>
      <c r="H43" s="1">
        <v>2</v>
      </c>
      <c r="I43" s="1">
        <v>3</v>
      </c>
      <c r="J43" s="1">
        <v>4</v>
      </c>
    </row>
    <row r="44" spans="3:12" x14ac:dyDescent="0.25">
      <c r="F44" t="s">
        <v>50</v>
      </c>
      <c r="G44" s="12">
        <v>30000</v>
      </c>
      <c r="H44" s="12">
        <v>30000</v>
      </c>
      <c r="I44" s="12">
        <v>30000</v>
      </c>
      <c r="J44" s="12">
        <v>30000</v>
      </c>
    </row>
    <row r="45" spans="3:12" x14ac:dyDescent="0.25">
      <c r="F45" t="s">
        <v>51</v>
      </c>
      <c r="G45" s="12">
        <f>Enunciado!K14</f>
        <v>20000</v>
      </c>
      <c r="H45" s="12">
        <f>+G45</f>
        <v>20000</v>
      </c>
      <c r="I45" s="12">
        <f>+H45</f>
        <v>20000</v>
      </c>
      <c r="J45" s="12">
        <f>+I45</f>
        <v>20000</v>
      </c>
    </row>
    <row r="46" spans="3:12" x14ac:dyDescent="0.25">
      <c r="F46" t="s">
        <v>52</v>
      </c>
      <c r="G46" s="12">
        <f>G47-G45</f>
        <v>-2500</v>
      </c>
      <c r="H46" s="12">
        <f>H47-H45</f>
        <v>1000</v>
      </c>
      <c r="I46" s="12">
        <f>I47-I45</f>
        <v>-1000</v>
      </c>
      <c r="J46" s="12">
        <f>J47-J45</f>
        <v>0</v>
      </c>
    </row>
    <row r="47" spans="3:12" x14ac:dyDescent="0.25">
      <c r="F47" t="s">
        <v>53</v>
      </c>
      <c r="G47" s="12">
        <f>Enunciado!Q6</f>
        <v>17500</v>
      </c>
      <c r="H47" s="12">
        <f>Enunciado!R6</f>
        <v>21000</v>
      </c>
      <c r="I47" s="12">
        <f>Enunciado!S6</f>
        <v>19000</v>
      </c>
      <c r="J47" s="12">
        <f>Enunciado!T6</f>
        <v>20000</v>
      </c>
    </row>
    <row r="48" spans="3:12" x14ac:dyDescent="0.25">
      <c r="F48" t="s">
        <v>54</v>
      </c>
      <c r="G48" s="12">
        <f>I35</f>
        <v>7894.7368421052633</v>
      </c>
      <c r="H48" s="12">
        <f>J35</f>
        <v>7894.7368421052633</v>
      </c>
      <c r="I48" s="12">
        <f>K35</f>
        <v>7894.7368421052633</v>
      </c>
      <c r="J48" s="12">
        <f>L35</f>
        <v>7894.7368421052633</v>
      </c>
    </row>
    <row r="49" spans="6:10" x14ac:dyDescent="0.25">
      <c r="F49" t="s">
        <v>55</v>
      </c>
      <c r="G49" s="23">
        <f>G47/G48</f>
        <v>2.2166666666666668</v>
      </c>
      <c r="H49" s="23">
        <f t="shared" ref="H49:J49" si="3">H47/H48</f>
        <v>2.66</v>
      </c>
      <c r="I49" s="23">
        <f t="shared" si="3"/>
        <v>2.4066666666666667</v>
      </c>
      <c r="J49" s="23">
        <f t="shared" si="3"/>
        <v>2.5333333333333332</v>
      </c>
    </row>
  </sheetData>
  <mergeCells count="10">
    <mergeCell ref="H33:H34"/>
    <mergeCell ref="H39:H40"/>
    <mergeCell ref="D33:D34"/>
    <mergeCell ref="E33:G33"/>
    <mergeCell ref="E34:G34"/>
    <mergeCell ref="D42:D43"/>
    <mergeCell ref="E39:G39"/>
    <mergeCell ref="E40:G40"/>
    <mergeCell ref="C33:C34"/>
    <mergeCell ref="C39:C40"/>
  </mergeCells>
  <conditionalFormatting sqref="D25:G2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G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{8004C8DB-EB87-4878-9B6C-DEC30E0072C1}</x14:id>
        </ext>
      </extLst>
    </cfRule>
  </conditionalFormatting>
  <pageMargins left="0.7" right="0.7" top="0.75" bottom="0.75" header="0.3" footer="0.3"/>
  <drawing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004C8DB-EB87-4878-9B6C-DEC30E0072C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D2:G6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I2:T18"/>
  <sheetViews>
    <sheetView topLeftCell="E7" zoomScale="160" zoomScaleNormal="160" workbookViewId="0">
      <selection activeCell="I12" sqref="I12"/>
    </sheetView>
  </sheetViews>
  <sheetFormatPr baseColWidth="10" defaultColWidth="9.28515625" defaultRowHeight="15" x14ac:dyDescent="0.25"/>
  <cols>
    <col min="9" max="9" width="26.7109375" customWidth="1"/>
    <col min="11" max="11" width="9.28515625" bestFit="1" customWidth="1"/>
    <col min="13" max="13" width="11.42578125" bestFit="1" customWidth="1"/>
    <col min="16" max="16" width="20.7109375" customWidth="1"/>
  </cols>
  <sheetData>
    <row r="2" spans="9:20" x14ac:dyDescent="0.25">
      <c r="I2" s="15" t="s">
        <v>56</v>
      </c>
    </row>
    <row r="3" spans="9:20" x14ac:dyDescent="0.25">
      <c r="I3" s="2" t="s">
        <v>57</v>
      </c>
      <c r="J3" s="2" t="s">
        <v>58</v>
      </c>
      <c r="K3" s="2" t="s">
        <v>59</v>
      </c>
      <c r="L3" s="2" t="s">
        <v>60</v>
      </c>
      <c r="M3" s="2" t="s">
        <v>61</v>
      </c>
      <c r="N3" s="2" t="s">
        <v>38</v>
      </c>
      <c r="P3" s="15" t="s">
        <v>62</v>
      </c>
    </row>
    <row r="4" spans="9:20" x14ac:dyDescent="0.25">
      <c r="I4" t="s">
        <v>63</v>
      </c>
      <c r="J4" t="s">
        <v>11</v>
      </c>
      <c r="L4" s="4">
        <v>3</v>
      </c>
      <c r="P4" s="2" t="s">
        <v>1</v>
      </c>
      <c r="Q4" s="2">
        <v>1</v>
      </c>
      <c r="R4" s="2">
        <v>2</v>
      </c>
      <c r="S4" s="2">
        <v>3</v>
      </c>
      <c r="T4" s="2">
        <v>4</v>
      </c>
    </row>
    <row r="5" spans="9:20" x14ac:dyDescent="0.25">
      <c r="I5" t="s">
        <v>13</v>
      </c>
      <c r="J5" t="s">
        <v>11</v>
      </c>
      <c r="L5" s="6">
        <v>2.25</v>
      </c>
      <c r="P5" t="s">
        <v>4</v>
      </c>
      <c r="Q5" s="12">
        <v>0</v>
      </c>
      <c r="R5" s="12">
        <f>Q7</f>
        <v>0</v>
      </c>
      <c r="S5" s="12">
        <f>R7</f>
        <v>3000</v>
      </c>
      <c r="T5" s="12">
        <f>S7</f>
        <v>1000</v>
      </c>
    </row>
    <row r="6" spans="9:20" x14ac:dyDescent="0.25">
      <c r="I6" t="s">
        <v>64</v>
      </c>
      <c r="J6" t="s">
        <v>11</v>
      </c>
      <c r="L6" s="6">
        <v>0.75</v>
      </c>
      <c r="P6" s="7" t="s">
        <v>5</v>
      </c>
      <c r="Q6" s="13">
        <v>17500</v>
      </c>
      <c r="R6" s="13">
        <v>21000</v>
      </c>
      <c r="S6" s="13">
        <v>19000</v>
      </c>
      <c r="T6" s="13">
        <v>20000</v>
      </c>
    </row>
    <row r="7" spans="9:20" x14ac:dyDescent="0.25">
      <c r="I7" t="s">
        <v>65</v>
      </c>
      <c r="J7" t="s">
        <v>66</v>
      </c>
      <c r="L7" s="7"/>
      <c r="M7" s="4">
        <v>25000</v>
      </c>
      <c r="P7" t="s">
        <v>6</v>
      </c>
      <c r="Q7" s="12">
        <v>0</v>
      </c>
      <c r="R7" s="12">
        <v>3000</v>
      </c>
      <c r="S7" s="12">
        <v>1000</v>
      </c>
      <c r="T7" s="12">
        <v>4500</v>
      </c>
    </row>
    <row r="8" spans="9:20" x14ac:dyDescent="0.25">
      <c r="I8" t="s">
        <v>67</v>
      </c>
      <c r="J8" t="s">
        <v>66</v>
      </c>
      <c r="L8" s="7"/>
      <c r="M8" s="4">
        <f>M7*12</f>
        <v>300000</v>
      </c>
      <c r="Q8" s="12"/>
      <c r="R8" s="12"/>
      <c r="S8" s="12"/>
      <c r="T8" s="12"/>
    </row>
    <row r="9" spans="9:20" x14ac:dyDescent="0.25">
      <c r="I9" t="s">
        <v>68</v>
      </c>
      <c r="P9" s="20" t="s">
        <v>7</v>
      </c>
      <c r="Q9" s="21">
        <f>Q5+Q6-Q7</f>
        <v>17500</v>
      </c>
      <c r="R9" s="21">
        <f>R5+R6-R7</f>
        <v>18000</v>
      </c>
      <c r="S9" s="21">
        <f>S5+S6-S7</f>
        <v>21000</v>
      </c>
      <c r="T9" s="21">
        <f>T5+T6-T7</f>
        <v>16500</v>
      </c>
    </row>
    <row r="10" spans="9:20" x14ac:dyDescent="0.25">
      <c r="I10" t="s">
        <v>69</v>
      </c>
      <c r="J10" t="s">
        <v>66</v>
      </c>
      <c r="M10" s="16">
        <v>5000</v>
      </c>
    </row>
    <row r="11" spans="9:20" x14ac:dyDescent="0.25">
      <c r="I11" t="s">
        <v>70</v>
      </c>
      <c r="J11" t="s">
        <v>66</v>
      </c>
      <c r="M11" s="16">
        <f>M10*12</f>
        <v>60000</v>
      </c>
      <c r="P11" s="15" t="s">
        <v>71</v>
      </c>
    </row>
    <row r="12" spans="9:20" x14ac:dyDescent="0.25">
      <c r="I12" t="s">
        <v>72</v>
      </c>
      <c r="J12" t="s">
        <v>11</v>
      </c>
      <c r="L12" s="5">
        <v>0.2</v>
      </c>
      <c r="P12" t="s">
        <v>73</v>
      </c>
      <c r="Q12" t="s">
        <v>74</v>
      </c>
    </row>
    <row r="13" spans="9:20" x14ac:dyDescent="0.25">
      <c r="I13" t="s">
        <v>75</v>
      </c>
      <c r="J13" t="s">
        <v>11</v>
      </c>
      <c r="L13" s="5">
        <v>10</v>
      </c>
      <c r="P13" t="s">
        <v>76</v>
      </c>
      <c r="Q13" s="12">
        <v>20000</v>
      </c>
      <c r="R13" s="12">
        <v>20000</v>
      </c>
      <c r="S13" s="12">
        <v>20000</v>
      </c>
      <c r="T13" s="12">
        <v>20000</v>
      </c>
    </row>
    <row r="14" spans="9:20" x14ac:dyDescent="0.25">
      <c r="I14" t="s">
        <v>77</v>
      </c>
      <c r="K14" s="3">
        <v>20000</v>
      </c>
      <c r="P14" t="s">
        <v>78</v>
      </c>
      <c r="Q14" s="12">
        <f>Q6</f>
        <v>17500</v>
      </c>
      <c r="R14" s="12">
        <f t="shared" ref="R14:T14" si="0">R6</f>
        <v>21000</v>
      </c>
      <c r="S14" s="12">
        <f t="shared" si="0"/>
        <v>19000</v>
      </c>
      <c r="T14" s="12">
        <f t="shared" si="0"/>
        <v>20000</v>
      </c>
    </row>
    <row r="15" spans="9:20" ht="15.75" thickBot="1" x14ac:dyDescent="0.3">
      <c r="I15" t="s">
        <v>79</v>
      </c>
      <c r="K15">
        <f>K14*12</f>
        <v>240000</v>
      </c>
      <c r="P15" s="8" t="s">
        <v>80</v>
      </c>
      <c r="Q15" s="14">
        <f>Q14-Q13</f>
        <v>-2500</v>
      </c>
      <c r="R15" s="14">
        <f t="shared" ref="R15:T15" si="1">R14-R13</f>
        <v>1000</v>
      </c>
      <c r="S15" s="14">
        <f t="shared" si="1"/>
        <v>-1000</v>
      </c>
      <c r="T15" s="14">
        <f t="shared" si="1"/>
        <v>0</v>
      </c>
    </row>
    <row r="16" spans="9:20" ht="15.75" thickTop="1" x14ac:dyDescent="0.25">
      <c r="Q16" t="s">
        <v>81</v>
      </c>
      <c r="R16" t="s">
        <v>82</v>
      </c>
      <c r="S16" t="str">
        <f>Q16</f>
        <v>INPRODUCTIVO</v>
      </c>
    </row>
    <row r="18" spans="16:16" x14ac:dyDescent="0.25">
      <c r="P18" t="s">
        <v>83</v>
      </c>
    </row>
  </sheetData>
  <conditionalFormatting sqref="Q15:T15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{BFA4B989-E54C-4A5D-83EE-8A33C8FC2A07}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FA4B989-E54C-4A5D-83EE-8A33C8FC2A0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Q15:T15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2730C-0C7C-4A90-9F4C-733662B1AF4F}">
  <dimension ref="A1:O65"/>
  <sheetViews>
    <sheetView showGridLines="0" tabSelected="1" zoomScale="82" zoomScaleNormal="82" workbookViewId="0">
      <selection activeCell="K21" sqref="K21"/>
    </sheetView>
  </sheetViews>
  <sheetFormatPr baseColWidth="10" defaultColWidth="9.28515625" defaultRowHeight="15" x14ac:dyDescent="0.25"/>
  <cols>
    <col min="2" max="2" width="16" customWidth="1"/>
    <col min="3" max="3" width="29.28515625" bestFit="1" customWidth="1"/>
    <col min="4" max="4" width="24" bestFit="1" customWidth="1"/>
    <col min="5" max="5" width="17.42578125" bestFit="1" customWidth="1"/>
    <col min="6" max="7" width="10.7109375" customWidth="1"/>
    <col min="8" max="8" width="10.28515625" bestFit="1" customWidth="1"/>
  </cols>
  <sheetData>
    <row r="1" spans="1:9" x14ac:dyDescent="0.25">
      <c r="A1" s="15" t="s">
        <v>0</v>
      </c>
      <c r="B1" s="15"/>
      <c r="D1" s="24" t="s">
        <v>1</v>
      </c>
      <c r="E1" s="24" t="s">
        <v>84</v>
      </c>
      <c r="F1" s="24" t="s">
        <v>85</v>
      </c>
      <c r="G1" s="24" t="s">
        <v>86</v>
      </c>
      <c r="H1" s="24" t="s">
        <v>87</v>
      </c>
    </row>
    <row r="2" spans="1:9" x14ac:dyDescent="0.25">
      <c r="A2" s="15" t="s">
        <v>2</v>
      </c>
      <c r="B2" s="15" t="s">
        <v>88</v>
      </c>
      <c r="D2" t="s">
        <v>4</v>
      </c>
      <c r="E2" s="12">
        <f>'Sistema de costos Variables'!D2</f>
        <v>0</v>
      </c>
      <c r="F2" s="12">
        <f>'Sistema de costos Variables'!E2</f>
        <v>0</v>
      </c>
      <c r="G2" s="12">
        <f>'Sistema de costos Variables'!F2</f>
        <v>3000</v>
      </c>
      <c r="H2" s="12">
        <f>'Sistema de costos Variables'!G2</f>
        <v>1000</v>
      </c>
    </row>
    <row r="3" spans="1:9" x14ac:dyDescent="0.25">
      <c r="D3" s="7" t="s">
        <v>5</v>
      </c>
      <c r="E3" s="13">
        <f>'Sistema de costos Variables'!D3</f>
        <v>17500</v>
      </c>
      <c r="F3" s="13">
        <f>'Sistema de costos Variables'!E3</f>
        <v>21000</v>
      </c>
      <c r="G3" s="13">
        <f>'Sistema de costos Variables'!F3</f>
        <v>19000</v>
      </c>
      <c r="H3" s="13">
        <f>'Sistema de costos Variables'!G3</f>
        <v>20000</v>
      </c>
    </row>
    <row r="4" spans="1:9" x14ac:dyDescent="0.25">
      <c r="D4" t="s">
        <v>6</v>
      </c>
      <c r="E4" s="12">
        <f>'Sistema de costos Variables'!D4</f>
        <v>0</v>
      </c>
      <c r="F4" s="12">
        <f>'Sistema de costos Variables'!E4</f>
        <v>3000</v>
      </c>
      <c r="G4" s="12">
        <f>'Sistema de costos Variables'!F4</f>
        <v>1000</v>
      </c>
      <c r="H4" s="12">
        <f>'Sistema de costos Variables'!G4</f>
        <v>4500</v>
      </c>
    </row>
    <row r="5" spans="1:9" x14ac:dyDescent="0.25">
      <c r="D5" s="25" t="s">
        <v>7</v>
      </c>
      <c r="E5" s="26">
        <f>'Sistema de costos Variables'!D6</f>
        <v>17500</v>
      </c>
      <c r="F5" s="26">
        <f>'Sistema de costos Variables'!E6</f>
        <v>18000</v>
      </c>
      <c r="G5" s="26">
        <f>'Sistema de costos Variables'!F6</f>
        <v>21000</v>
      </c>
      <c r="H5" s="26">
        <f>'Sistema de costos Variables'!G6</f>
        <v>16500</v>
      </c>
    </row>
    <row r="6" spans="1:9" x14ac:dyDescent="0.25">
      <c r="D6" t="s">
        <v>89</v>
      </c>
      <c r="E6" s="12">
        <f>E2-E4</f>
        <v>0</v>
      </c>
      <c r="F6" s="12">
        <f>F2-F4</f>
        <v>-3000</v>
      </c>
      <c r="G6" s="12">
        <f>G2-G4</f>
        <v>2000</v>
      </c>
      <c r="H6" s="12">
        <f t="shared" ref="H6" si="0">H2-H4</f>
        <v>-3500</v>
      </c>
    </row>
    <row r="7" spans="1:9" x14ac:dyDescent="0.25">
      <c r="A7" s="15" t="s">
        <v>90</v>
      </c>
      <c r="B7" s="15" t="s">
        <v>9</v>
      </c>
    </row>
    <row r="8" spans="1:9" x14ac:dyDescent="0.25">
      <c r="D8" s="1" t="s">
        <v>10</v>
      </c>
      <c r="E8" s="1">
        <v>1</v>
      </c>
      <c r="F8" s="1">
        <v>2</v>
      </c>
      <c r="G8" s="1">
        <v>3</v>
      </c>
      <c r="H8" s="1">
        <v>4</v>
      </c>
    </row>
    <row r="9" spans="1:9" x14ac:dyDescent="0.25">
      <c r="D9" t="s">
        <v>12</v>
      </c>
      <c r="E9" s="6">
        <f>MAT.PRIM.DIRECTA</f>
        <v>3</v>
      </c>
      <c r="F9" s="6">
        <f t="shared" ref="F9:H10" si="1">E9</f>
        <v>3</v>
      </c>
      <c r="G9" s="6">
        <f t="shared" si="1"/>
        <v>3</v>
      </c>
      <c r="H9" s="6">
        <f t="shared" si="1"/>
        <v>3</v>
      </c>
    </row>
    <row r="10" spans="1:9" x14ac:dyDescent="0.25">
      <c r="D10" t="s">
        <v>13</v>
      </c>
      <c r="E10" s="6">
        <f>MDEO.DIRECTA</f>
        <v>2.25</v>
      </c>
      <c r="F10" s="6">
        <f t="shared" si="1"/>
        <v>2.25</v>
      </c>
      <c r="G10" s="6">
        <f t="shared" si="1"/>
        <v>2.25</v>
      </c>
      <c r="H10" s="6">
        <f t="shared" si="1"/>
        <v>2.25</v>
      </c>
    </row>
    <row r="11" spans="1:9" x14ac:dyDescent="0.25">
      <c r="D11" t="s">
        <v>91</v>
      </c>
      <c r="E11" s="6">
        <f>CIF.VARIABLES</f>
        <v>0.75</v>
      </c>
      <c r="F11" s="6">
        <f>CIF.VARIABLES</f>
        <v>0.75</v>
      </c>
      <c r="G11" s="6">
        <f>CIF.VARIABLES</f>
        <v>0.75</v>
      </c>
      <c r="H11" s="6">
        <f>CIF.VARIABLES</f>
        <v>0.75</v>
      </c>
    </row>
    <row r="12" spans="1:9" x14ac:dyDescent="0.25">
      <c r="D12" s="77" t="s">
        <v>92</v>
      </c>
      <c r="E12" s="78">
        <f>E22</f>
        <v>17858.333333333332</v>
      </c>
      <c r="F12" s="78">
        <f t="shared" ref="F12:H12" si="2">F22</f>
        <v>1.25</v>
      </c>
      <c r="G12" s="78">
        <f t="shared" si="2"/>
        <v>1.25</v>
      </c>
      <c r="H12" s="78">
        <f t="shared" si="2"/>
        <v>1.25</v>
      </c>
      <c r="I12" t="s">
        <v>153</v>
      </c>
    </row>
    <row r="13" spans="1:9" ht="15.75" thickBot="1" x14ac:dyDescent="0.3">
      <c r="D13" s="8" t="s">
        <v>93</v>
      </c>
      <c r="E13" s="9">
        <f>SUM(E9:E12)</f>
        <v>17864.333333333332</v>
      </c>
      <c r="F13" s="9">
        <f>SUM(F9:F12)</f>
        <v>7.25</v>
      </c>
      <c r="G13" s="9">
        <f>SUM(G9:G12)</f>
        <v>7.25</v>
      </c>
      <c r="H13" s="9">
        <f>SUM(H9:H12)</f>
        <v>7.25</v>
      </c>
    </row>
    <row r="14" spans="1:9" ht="15.75" thickTop="1" x14ac:dyDescent="0.25">
      <c r="D14" s="54" t="s">
        <v>94</v>
      </c>
      <c r="E14" s="55">
        <f>E13/PRE.VTA.UNIT</f>
        <v>1786.4333333333332</v>
      </c>
      <c r="F14" s="55">
        <f>F13/PRE.VTA.UNIT</f>
        <v>0.72499999999999998</v>
      </c>
      <c r="G14" s="55">
        <f>G13/PRE.VTA.UNIT</f>
        <v>0.72499999999999998</v>
      </c>
      <c r="H14" s="55">
        <f>H13/PRE.VTA.UNIT</f>
        <v>0.72499999999999998</v>
      </c>
    </row>
    <row r="15" spans="1:9" x14ac:dyDescent="0.25">
      <c r="C15" t="s">
        <v>95</v>
      </c>
    </row>
    <row r="16" spans="1:9" x14ac:dyDescent="0.25">
      <c r="B16" s="15" t="s">
        <v>96</v>
      </c>
    </row>
    <row r="18" spans="2:10" x14ac:dyDescent="0.25">
      <c r="C18" t="s">
        <v>97</v>
      </c>
    </row>
    <row r="19" spans="2:10" x14ac:dyDescent="0.25">
      <c r="C19" s="27" t="s">
        <v>98</v>
      </c>
      <c r="D19" s="83" t="s">
        <v>42</v>
      </c>
      <c r="E19" s="79">
        <f>+[1]Hoja1!$C$38+[1]Hoja1!$D$50</f>
        <v>267875000</v>
      </c>
      <c r="F19" s="28">
        <f>CIF.FIJOS.MES</f>
        <v>25000</v>
      </c>
      <c r="G19" s="28">
        <f>CIF.FIJOS.MES</f>
        <v>25000</v>
      </c>
      <c r="H19" s="28">
        <f>CIF.FIJOS.MES</f>
        <v>25000</v>
      </c>
    </row>
    <row r="20" spans="2:10" x14ac:dyDescent="0.25">
      <c r="C20" t="s">
        <v>99</v>
      </c>
      <c r="D20" s="83"/>
      <c r="E20" s="12">
        <v>15000</v>
      </c>
      <c r="F20" s="12">
        <f>CAP.NORMAL.MES</f>
        <v>20000</v>
      </c>
      <c r="G20" s="12">
        <f>CAP.NORMAL.MES</f>
        <v>20000</v>
      </c>
      <c r="H20" s="12">
        <f>CAP.NORMAL.MES</f>
        <v>20000</v>
      </c>
    </row>
    <row r="22" spans="2:10" x14ac:dyDescent="0.25">
      <c r="C22" s="54" t="s">
        <v>100</v>
      </c>
      <c r="D22" s="60" t="s">
        <v>101</v>
      </c>
      <c r="E22" s="61">
        <f>E19/E20</f>
        <v>17858.333333333332</v>
      </c>
      <c r="F22" s="61">
        <f t="shared" ref="F22:H22" si="3">F19/F20</f>
        <v>1.25</v>
      </c>
      <c r="G22" s="61">
        <f t="shared" si="3"/>
        <v>1.25</v>
      </c>
      <c r="H22" s="61">
        <f t="shared" si="3"/>
        <v>1.25</v>
      </c>
    </row>
    <row r="24" spans="2:10" x14ac:dyDescent="0.25">
      <c r="B24" s="15" t="s">
        <v>102</v>
      </c>
    </row>
    <row r="25" spans="2:10" x14ac:dyDescent="0.25">
      <c r="C25" s="27" t="s">
        <v>98</v>
      </c>
      <c r="D25" s="83" t="s">
        <v>42</v>
      </c>
      <c r="E25" s="79">
        <f>+[1]Hoja1!$C$38+[1]Hoja1!$D$50</f>
        <v>267875000</v>
      </c>
      <c r="F25" s="28">
        <f>CIF.FIJOS.MES</f>
        <v>25000</v>
      </c>
      <c r="G25" s="28">
        <f>CIF.FIJOS.MES</f>
        <v>25000</v>
      </c>
      <c r="H25" s="28">
        <f>CIF.FIJOS.MES</f>
        <v>25000</v>
      </c>
    </row>
    <row r="26" spans="2:10" x14ac:dyDescent="0.25">
      <c r="C26" t="s">
        <v>103</v>
      </c>
      <c r="D26" s="83"/>
      <c r="E26" s="12">
        <v>11000</v>
      </c>
      <c r="F26" s="12">
        <f t="shared" ref="F26:H26" si="4">F3</f>
        <v>21000</v>
      </c>
      <c r="G26" s="12">
        <f t="shared" si="4"/>
        <v>19000</v>
      </c>
      <c r="H26" s="12">
        <f t="shared" si="4"/>
        <v>20000</v>
      </c>
      <c r="J26" s="22"/>
    </row>
    <row r="28" spans="2:10" x14ac:dyDescent="0.25">
      <c r="C28" s="54" t="s">
        <v>104</v>
      </c>
      <c r="D28" s="60" t="s">
        <v>102</v>
      </c>
      <c r="E28" s="61">
        <f>E25/E26</f>
        <v>24352.272727272728</v>
      </c>
      <c r="F28" s="61">
        <f>F25/F26</f>
        <v>1.1904761904761905</v>
      </c>
      <c r="G28" s="61">
        <f>G25/G26</f>
        <v>1.3157894736842106</v>
      </c>
      <c r="H28" s="61">
        <f>H25/H26</f>
        <v>1.25</v>
      </c>
      <c r="I28" t="s">
        <v>154</v>
      </c>
    </row>
    <row r="30" spans="2:10" x14ac:dyDescent="0.25">
      <c r="C30" s="84" t="s">
        <v>105</v>
      </c>
      <c r="D30" s="54" t="s">
        <v>106</v>
      </c>
      <c r="E30" s="62">
        <f>E22-E28</f>
        <v>-6493.9393939393958</v>
      </c>
      <c r="F30" s="62">
        <f>F22-F28</f>
        <v>5.9523809523809534E-2</v>
      </c>
      <c r="G30" s="62">
        <f t="shared" ref="G30:H30" si="5">G22-G28</f>
        <v>-6.578947368421062E-2</v>
      </c>
      <c r="H30" s="62">
        <f t="shared" si="5"/>
        <v>0</v>
      </c>
      <c r="I30" t="s">
        <v>155</v>
      </c>
    </row>
    <row r="31" spans="2:10" x14ac:dyDescent="0.25">
      <c r="C31" s="84"/>
      <c r="D31" s="54" t="s">
        <v>107</v>
      </c>
      <c r="E31" s="63">
        <f>E26</f>
        <v>11000</v>
      </c>
      <c r="F31" s="63">
        <f>F26</f>
        <v>21000</v>
      </c>
      <c r="G31" s="63">
        <f t="shared" ref="G31:H31" si="6">G26</f>
        <v>19000</v>
      </c>
      <c r="H31" s="63">
        <f t="shared" si="6"/>
        <v>20000</v>
      </c>
    </row>
    <row r="32" spans="2:10" x14ac:dyDescent="0.25">
      <c r="C32" s="84"/>
      <c r="D32" s="54" t="s">
        <v>42</v>
      </c>
      <c r="E32" s="64">
        <f>E30*E31</f>
        <v>-71433333.333333358</v>
      </c>
      <c r="F32" s="64">
        <f>F30*F31</f>
        <v>1250.0000000000002</v>
      </c>
      <c r="G32" s="64">
        <f>G30*G31</f>
        <v>-1250.0000000000018</v>
      </c>
      <c r="H32" s="64">
        <f t="shared" ref="H32" si="7">H30*H31</f>
        <v>0</v>
      </c>
    </row>
    <row r="35" spans="1:8" x14ac:dyDescent="0.25">
      <c r="A35" s="29">
        <v>3</v>
      </c>
      <c r="B35" s="15" t="s">
        <v>18</v>
      </c>
    </row>
    <row r="36" spans="1:8" x14ac:dyDescent="0.25">
      <c r="D36" t="s">
        <v>19</v>
      </c>
      <c r="E36" s="4">
        <f t="shared" ref="E36:H38" si="8">E2*E$13</f>
        <v>0</v>
      </c>
      <c r="F36" s="4">
        <f t="shared" si="8"/>
        <v>0</v>
      </c>
      <c r="G36" s="4">
        <f t="shared" si="8"/>
        <v>21750</v>
      </c>
      <c r="H36" s="4">
        <f t="shared" si="8"/>
        <v>7250</v>
      </c>
    </row>
    <row r="37" spans="1:8" x14ac:dyDescent="0.25">
      <c r="D37" t="s">
        <v>20</v>
      </c>
      <c r="E37" s="4">
        <f t="shared" si="8"/>
        <v>312625833.33333331</v>
      </c>
      <c r="F37" s="4">
        <f t="shared" si="8"/>
        <v>152250</v>
      </c>
      <c r="G37" s="4">
        <f t="shared" si="8"/>
        <v>137750</v>
      </c>
      <c r="H37" s="4">
        <f t="shared" si="8"/>
        <v>145000</v>
      </c>
    </row>
    <row r="38" spans="1:8" x14ac:dyDescent="0.25">
      <c r="D38" t="s">
        <v>21</v>
      </c>
      <c r="E38" s="4">
        <f t="shared" si="8"/>
        <v>0</v>
      </c>
      <c r="F38" s="4">
        <f t="shared" si="8"/>
        <v>21750</v>
      </c>
      <c r="G38" s="4">
        <f t="shared" si="8"/>
        <v>7250</v>
      </c>
      <c r="H38" s="4">
        <f t="shared" si="8"/>
        <v>32625</v>
      </c>
    </row>
    <row r="39" spans="1:8" ht="15.75" thickBot="1" x14ac:dyDescent="0.3">
      <c r="D39" s="10" t="s">
        <v>22</v>
      </c>
      <c r="E39" s="11">
        <f>+E36+E37-E38</f>
        <v>312625833.33333331</v>
      </c>
      <c r="F39" s="11">
        <f t="shared" ref="F39:H39" si="9">+F36+F37-F38</f>
        <v>130500</v>
      </c>
      <c r="G39" s="11">
        <f t="shared" si="9"/>
        <v>152250</v>
      </c>
      <c r="H39" s="11">
        <f t="shared" si="9"/>
        <v>119625</v>
      </c>
    </row>
    <row r="40" spans="1:8" ht="15.75" thickTop="1" x14ac:dyDescent="0.25">
      <c r="E40" s="4"/>
      <c r="F40" s="4"/>
      <c r="G40" s="4"/>
      <c r="H40" s="4"/>
    </row>
    <row r="41" spans="1:8" ht="15.75" thickBot="1" x14ac:dyDescent="0.3">
      <c r="D41" s="10" t="s">
        <v>22</v>
      </c>
      <c r="E41" s="11">
        <f>E5*E13</f>
        <v>312625833.33333331</v>
      </c>
      <c r="F41" s="11">
        <f t="shared" ref="F41:G41" si="10">F5*F13</f>
        <v>130500</v>
      </c>
      <c r="G41" s="11">
        <f t="shared" si="10"/>
        <v>152250</v>
      </c>
      <c r="H41" s="11">
        <f>H5*H13</f>
        <v>119625</v>
      </c>
    </row>
    <row r="42" spans="1:8" ht="15.75" thickTop="1" x14ac:dyDescent="0.25"/>
    <row r="43" spans="1:8" x14ac:dyDescent="0.25">
      <c r="A43" s="29">
        <v>4</v>
      </c>
      <c r="B43" s="15" t="s">
        <v>108</v>
      </c>
    </row>
    <row r="44" spans="1:8" x14ac:dyDescent="0.25">
      <c r="C44" s="1" t="s">
        <v>24</v>
      </c>
      <c r="D44" s="1" t="s">
        <v>25</v>
      </c>
      <c r="E44" s="1">
        <v>1</v>
      </c>
      <c r="F44" s="1">
        <v>2</v>
      </c>
      <c r="G44" s="1">
        <v>3</v>
      </c>
      <c r="H44" s="1">
        <v>4</v>
      </c>
    </row>
    <row r="45" spans="1:8" x14ac:dyDescent="0.25">
      <c r="C45" t="s">
        <v>26</v>
      </c>
      <c r="D45" t="s">
        <v>27</v>
      </c>
      <c r="E45" s="16">
        <f>E5*PRE.VTA.UNIT</f>
        <v>175000</v>
      </c>
      <c r="F45" s="16">
        <f>F5*PRE.VTA.UNIT</f>
        <v>180000</v>
      </c>
      <c r="G45" s="16">
        <f>G5*PRE.VTA.UNIT</f>
        <v>210000</v>
      </c>
      <c r="H45" s="16">
        <f>H5*PRE.VTA.UNIT</f>
        <v>165000</v>
      </c>
    </row>
    <row r="46" spans="1:8" x14ac:dyDescent="0.25">
      <c r="C46" t="s">
        <v>35</v>
      </c>
      <c r="D46" t="s">
        <v>109</v>
      </c>
      <c r="E46" s="16">
        <f>-E41</f>
        <v>-312625833.33333331</v>
      </c>
      <c r="F46" s="16">
        <f>-F41</f>
        <v>-130500</v>
      </c>
      <c r="G46" s="16">
        <f>-G41</f>
        <v>-152250</v>
      </c>
      <c r="H46" s="16">
        <f>-H41</f>
        <v>-119625</v>
      </c>
    </row>
    <row r="47" spans="1:8" x14ac:dyDescent="0.25">
      <c r="C47" t="s">
        <v>110</v>
      </c>
      <c r="D47" t="s">
        <v>111</v>
      </c>
      <c r="E47" s="16">
        <f>E32</f>
        <v>-71433333.333333358</v>
      </c>
      <c r="F47" s="16">
        <f>F32</f>
        <v>1250.0000000000002</v>
      </c>
      <c r="G47" s="16">
        <f>G32</f>
        <v>-1250.0000000000018</v>
      </c>
      <c r="H47" s="16">
        <f>H32</f>
        <v>0</v>
      </c>
    </row>
    <row r="48" spans="1:8" ht="15.75" thickBot="1" x14ac:dyDescent="0.3">
      <c r="C48" s="30" t="s">
        <v>42</v>
      </c>
      <c r="D48" s="30" t="s">
        <v>112</v>
      </c>
      <c r="E48" s="31">
        <f>SUM(E45:E47)</f>
        <v>-383884166.66666669</v>
      </c>
      <c r="F48" s="31">
        <f t="shared" ref="F48:H48" si="11">SUM(F45:F47)</f>
        <v>50750</v>
      </c>
      <c r="G48" s="31">
        <f>SUM(G45:G47)</f>
        <v>56500</v>
      </c>
      <c r="H48" s="31">
        <f t="shared" si="11"/>
        <v>45375</v>
      </c>
    </row>
    <row r="49" spans="3:15" ht="16.5" thickTop="1" thickBot="1" x14ac:dyDescent="0.3">
      <c r="C49" s="65" t="s">
        <v>38</v>
      </c>
      <c r="D49" s="65" t="s">
        <v>113</v>
      </c>
      <c r="E49" s="66">
        <f>E48/E45</f>
        <v>-2193.6238095238095</v>
      </c>
      <c r="F49" s="66">
        <f>F48/F45</f>
        <v>0.28194444444444444</v>
      </c>
      <c r="G49" s="66">
        <f t="shared" ref="G49:H49" si="12">G48/G45</f>
        <v>0.26904761904761904</v>
      </c>
      <c r="H49" s="66">
        <f t="shared" si="12"/>
        <v>0.27500000000000002</v>
      </c>
      <c r="L49" t="s">
        <v>114</v>
      </c>
    </row>
    <row r="50" spans="3:15" ht="15.75" thickTop="1" x14ac:dyDescent="0.25">
      <c r="C50" t="s">
        <v>28</v>
      </c>
      <c r="D50" t="s">
        <v>115</v>
      </c>
      <c r="E50" s="16">
        <f>-GTOS.ADMON.FIJOS</f>
        <v>-5000</v>
      </c>
      <c r="F50" s="16">
        <f>-GTOS.ADMON.FIJOS</f>
        <v>-5000</v>
      </c>
      <c r="G50" s="16">
        <f>-GTOS.ADMON.FIJOS</f>
        <v>-5000</v>
      </c>
      <c r="H50" s="16">
        <f>-GTOS.ADMON.FIJOS</f>
        <v>-5000</v>
      </c>
    </row>
    <row r="51" spans="3:15" x14ac:dyDescent="0.25">
      <c r="C51" t="s">
        <v>28</v>
      </c>
      <c r="D51" t="s">
        <v>116</v>
      </c>
      <c r="E51" s="16">
        <f>-GTOS.FIJOS.VAR*E5</f>
        <v>-3500</v>
      </c>
      <c r="F51" s="16">
        <f>-GTOS.FIJOS.VAR*F5</f>
        <v>-3600</v>
      </c>
      <c r="G51" s="16">
        <f>-GTOS.FIJOS.VAR*G5</f>
        <v>-4200</v>
      </c>
      <c r="H51" s="16">
        <f>-GTOS.FIJOS.VAR*H5</f>
        <v>-3300</v>
      </c>
    </row>
    <row r="52" spans="3:15" ht="15.75" thickBot="1" x14ac:dyDescent="0.3">
      <c r="C52" s="8" t="s">
        <v>30</v>
      </c>
      <c r="D52" s="8" t="s">
        <v>117</v>
      </c>
      <c r="E52" s="32">
        <f>E48+E50+E51</f>
        <v>-383892666.66666669</v>
      </c>
      <c r="F52" s="32">
        <f>F48+F50+F51</f>
        <v>42150</v>
      </c>
      <c r="G52" s="32">
        <f t="shared" ref="G52:H52" si="13">G48+G50+G51</f>
        <v>47300</v>
      </c>
      <c r="H52" s="32">
        <f t="shared" si="13"/>
        <v>37075</v>
      </c>
    </row>
    <row r="53" spans="3:15" ht="16.5" thickTop="1" thickBot="1" x14ac:dyDescent="0.3">
      <c r="C53" s="56" t="s">
        <v>38</v>
      </c>
      <c r="D53" s="56" t="s">
        <v>118</v>
      </c>
      <c r="E53" s="67">
        <f>E52/E45</f>
        <v>-2193.672380952381</v>
      </c>
      <c r="F53" s="67">
        <f>F52/F45</f>
        <v>0.23416666666666666</v>
      </c>
      <c r="G53" s="67">
        <f t="shared" ref="G53:H53" si="14">G52/G45</f>
        <v>0.22523809523809524</v>
      </c>
      <c r="H53" s="67">
        <f t="shared" si="14"/>
        <v>0.2246969696969697</v>
      </c>
    </row>
    <row r="54" spans="3:15" ht="15.75" thickTop="1" x14ac:dyDescent="0.25"/>
    <row r="55" spans="3:15" ht="15.75" thickBot="1" x14ac:dyDescent="0.3">
      <c r="C55" t="s">
        <v>119</v>
      </c>
      <c r="E55" t="s">
        <v>95</v>
      </c>
    </row>
    <row r="56" spans="3:15" x14ac:dyDescent="0.25">
      <c r="D56" t="s">
        <v>120</v>
      </c>
      <c r="E56" s="16">
        <f>'Sistema de costos Variables'!D29</f>
        <v>36500</v>
      </c>
      <c r="F56" s="16">
        <f>'Sistema de costos Variables'!E29</f>
        <v>38400</v>
      </c>
      <c r="G56" s="16">
        <f>'Sistema de costos Variables'!F29</f>
        <v>49800</v>
      </c>
      <c r="H56" s="16">
        <f>'Sistema de costos Variables'!G29</f>
        <v>32700</v>
      </c>
      <c r="J56" s="68" t="s">
        <v>146</v>
      </c>
      <c r="K56" s="69" t="s">
        <v>147</v>
      </c>
      <c r="L56" s="69"/>
      <c r="M56" s="69"/>
      <c r="N56" s="69"/>
      <c r="O56" s="70"/>
    </row>
    <row r="57" spans="3:15" x14ac:dyDescent="0.25">
      <c r="D57" t="s">
        <v>121</v>
      </c>
      <c r="E57" s="16">
        <f t="shared" ref="E57:H57" si="15">E52</f>
        <v>-383892666.66666669</v>
      </c>
      <c r="F57" s="16">
        <f t="shared" si="15"/>
        <v>42150</v>
      </c>
      <c r="G57" s="16">
        <f t="shared" si="15"/>
        <v>47300</v>
      </c>
      <c r="H57" s="16">
        <f t="shared" si="15"/>
        <v>37075</v>
      </c>
      <c r="J57" s="71" t="s">
        <v>148</v>
      </c>
      <c r="K57" s="72" t="s">
        <v>149</v>
      </c>
      <c r="L57" s="72"/>
      <c r="M57" s="72"/>
      <c r="N57" s="72"/>
      <c r="O57" s="73"/>
    </row>
    <row r="58" spans="3:15" ht="15.75" thickBot="1" x14ac:dyDescent="0.3">
      <c r="D58" s="33" t="s">
        <v>122</v>
      </c>
      <c r="E58" s="32">
        <f>E56-E57</f>
        <v>383929166.66666669</v>
      </c>
      <c r="F58" s="32">
        <f t="shared" ref="F58:H58" si="16">F56-F57</f>
        <v>-3750</v>
      </c>
      <c r="G58" s="32">
        <f t="shared" si="16"/>
        <v>2500</v>
      </c>
      <c r="H58" s="32">
        <f t="shared" si="16"/>
        <v>-4375</v>
      </c>
      <c r="J58" s="71" t="s">
        <v>150</v>
      </c>
      <c r="K58" s="72" t="s">
        <v>151</v>
      </c>
      <c r="L58" s="72"/>
      <c r="M58" s="72"/>
      <c r="N58" s="72"/>
      <c r="O58" s="73"/>
    </row>
    <row r="59" spans="3:15" ht="16.5" thickTop="1" thickBot="1" x14ac:dyDescent="0.3">
      <c r="J59" s="74" t="s">
        <v>152</v>
      </c>
      <c r="K59" s="75" t="s">
        <v>149</v>
      </c>
      <c r="L59" s="75"/>
      <c r="M59" s="75"/>
      <c r="N59" s="75"/>
      <c r="O59" s="76"/>
    </row>
    <row r="60" spans="3:15" x14ac:dyDescent="0.25">
      <c r="D60" t="s">
        <v>123</v>
      </c>
      <c r="E60" s="12">
        <f>E6</f>
        <v>0</v>
      </c>
      <c r="F60" s="12">
        <f>F6</f>
        <v>-3000</v>
      </c>
      <c r="G60" s="12">
        <f>G6</f>
        <v>2000</v>
      </c>
      <c r="H60" s="12">
        <f>H6</f>
        <v>-3500</v>
      </c>
    </row>
    <row r="61" spans="3:15" x14ac:dyDescent="0.25">
      <c r="D61" t="s">
        <v>124</v>
      </c>
      <c r="E61" s="22">
        <f>E22</f>
        <v>17858.333333333332</v>
      </c>
      <c r="F61" s="22">
        <f>F22</f>
        <v>1.25</v>
      </c>
      <c r="G61" s="22">
        <f>G22</f>
        <v>1.25</v>
      </c>
      <c r="H61" s="22">
        <f>H22</f>
        <v>1.25</v>
      </c>
    </row>
    <row r="62" spans="3:15" ht="15.75" thickBot="1" x14ac:dyDescent="0.3">
      <c r="D62" s="33" t="s">
        <v>125</v>
      </c>
      <c r="E62" s="34">
        <f t="shared" ref="E62:H62" si="17">+E60*E61</f>
        <v>0</v>
      </c>
      <c r="F62" s="34">
        <f t="shared" si="17"/>
        <v>-3750</v>
      </c>
      <c r="G62" s="34">
        <f t="shared" si="17"/>
        <v>2500</v>
      </c>
      <c r="H62" s="34">
        <f t="shared" si="17"/>
        <v>-4375</v>
      </c>
    </row>
    <row r="63" spans="3:15" ht="15.75" thickTop="1" x14ac:dyDescent="0.25"/>
    <row r="65" spans="7:7" x14ac:dyDescent="0.25">
      <c r="G65" t="s">
        <v>95</v>
      </c>
    </row>
  </sheetData>
  <mergeCells count="3">
    <mergeCell ref="D19:D20"/>
    <mergeCell ref="D25:D26"/>
    <mergeCell ref="C30:C32"/>
  </mergeCells>
  <conditionalFormatting sqref="E2:H6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{9C33DFD2-B53D-41D6-ADC0-7930B3E5902D}</x14:id>
        </ext>
      </extLst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C33DFD2-B53D-41D6-ADC0-7930B3E5902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E2:H6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8CFB8-F6D8-4C28-B39E-B8D99CB48A5E}">
  <dimension ref="A1:Y25"/>
  <sheetViews>
    <sheetView showGridLines="0" zoomScale="87" zoomScaleNormal="87" workbookViewId="0">
      <selection activeCell="G24" sqref="G24"/>
    </sheetView>
  </sheetViews>
  <sheetFormatPr baseColWidth="10" defaultColWidth="9.28515625" defaultRowHeight="15" x14ac:dyDescent="0.25"/>
  <cols>
    <col min="1" max="1" width="17.7109375" customWidth="1"/>
    <col min="2" max="5" width="10.5703125" bestFit="1" customWidth="1"/>
    <col min="10" max="13" width="0" hidden="1" customWidth="1"/>
    <col min="14" max="14" width="26.7109375" customWidth="1"/>
    <col min="16" max="16" width="9.28515625" bestFit="1" customWidth="1"/>
    <col min="18" max="18" width="11.42578125" bestFit="1" customWidth="1"/>
    <col min="21" max="21" width="20.7109375" customWidth="1"/>
  </cols>
  <sheetData>
    <row r="1" spans="1:25" x14ac:dyDescent="0.25">
      <c r="A1" s="42" t="s">
        <v>144</v>
      </c>
    </row>
    <row r="2" spans="1:25" ht="16.5" thickBot="1" x14ac:dyDescent="0.3">
      <c r="N2" s="85" t="s">
        <v>145</v>
      </c>
      <c r="O2" s="85"/>
      <c r="P2" s="85"/>
      <c r="Q2" s="85"/>
      <c r="R2" s="85"/>
      <c r="S2" s="85"/>
    </row>
    <row r="3" spans="1:25" x14ac:dyDescent="0.25">
      <c r="A3" s="43" t="s">
        <v>126</v>
      </c>
      <c r="B3" s="44"/>
      <c r="C3" s="44"/>
      <c r="D3" s="44"/>
      <c r="E3" s="44"/>
      <c r="F3" s="44"/>
      <c r="G3" s="44"/>
      <c r="H3" s="45"/>
      <c r="N3" s="2" t="s">
        <v>57</v>
      </c>
      <c r="O3" s="2" t="s">
        <v>58</v>
      </c>
      <c r="P3" s="2" t="s">
        <v>59</v>
      </c>
      <c r="Q3" s="2" t="s">
        <v>60</v>
      </c>
      <c r="R3" s="2" t="s">
        <v>61</v>
      </c>
      <c r="S3" s="2" t="s">
        <v>38</v>
      </c>
      <c r="U3" s="86" t="s">
        <v>62</v>
      </c>
      <c r="V3" s="86"/>
      <c r="W3" s="86"/>
      <c r="X3" s="86"/>
      <c r="Y3" s="86"/>
    </row>
    <row r="4" spans="1:25" x14ac:dyDescent="0.25">
      <c r="A4" s="46" t="s">
        <v>127</v>
      </c>
      <c r="H4" s="47"/>
      <c r="N4" t="s">
        <v>63</v>
      </c>
      <c r="O4" t="s">
        <v>11</v>
      </c>
      <c r="Q4" s="4">
        <v>3</v>
      </c>
      <c r="U4" s="2" t="s">
        <v>1</v>
      </c>
      <c r="V4" s="2">
        <v>1</v>
      </c>
      <c r="W4" s="2">
        <v>2</v>
      </c>
      <c r="X4" s="2">
        <v>3</v>
      </c>
      <c r="Y4" s="2">
        <v>4</v>
      </c>
    </row>
    <row r="5" spans="1:25" x14ac:dyDescent="0.25">
      <c r="A5" s="46" t="s">
        <v>128</v>
      </c>
      <c r="H5" s="47"/>
      <c r="N5" t="s">
        <v>13</v>
      </c>
      <c r="O5" t="s">
        <v>11</v>
      </c>
      <c r="Q5" s="6">
        <v>2.25</v>
      </c>
      <c r="U5" t="s">
        <v>4</v>
      </c>
      <c r="V5" s="12">
        <v>0</v>
      </c>
      <c r="W5" s="12">
        <f>V7</f>
        <v>0</v>
      </c>
      <c r="X5" s="12">
        <f>W7</f>
        <v>3000</v>
      </c>
      <c r="Y5" s="12">
        <f>X7</f>
        <v>1000</v>
      </c>
    </row>
    <row r="6" spans="1:25" x14ac:dyDescent="0.25">
      <c r="A6" s="46" t="s">
        <v>129</v>
      </c>
      <c r="H6" s="47"/>
      <c r="N6" t="s">
        <v>64</v>
      </c>
      <c r="O6" t="s">
        <v>11</v>
      </c>
      <c r="Q6" s="6">
        <v>0.75</v>
      </c>
      <c r="U6" s="7" t="s">
        <v>5</v>
      </c>
      <c r="V6" s="13">
        <v>17500</v>
      </c>
      <c r="W6" s="13">
        <v>21000</v>
      </c>
      <c r="X6" s="13">
        <v>19000</v>
      </c>
      <c r="Y6" s="13">
        <v>20000</v>
      </c>
    </row>
    <row r="7" spans="1:25" x14ac:dyDescent="0.25">
      <c r="A7" s="46" t="s">
        <v>130</v>
      </c>
      <c r="H7" s="47"/>
      <c r="N7" t="s">
        <v>65</v>
      </c>
      <c r="O7" t="s">
        <v>66</v>
      </c>
      <c r="Q7" s="7"/>
      <c r="R7" s="4">
        <v>25000</v>
      </c>
      <c r="U7" t="s">
        <v>6</v>
      </c>
      <c r="V7" s="12">
        <v>0</v>
      </c>
      <c r="W7" s="12">
        <v>3000</v>
      </c>
      <c r="X7" s="12">
        <v>1000</v>
      </c>
      <c r="Y7" s="12">
        <v>4500</v>
      </c>
    </row>
    <row r="8" spans="1:25" x14ac:dyDescent="0.25">
      <c r="A8" s="46"/>
      <c r="H8" s="47"/>
      <c r="N8" t="s">
        <v>67</v>
      </c>
      <c r="O8" t="s">
        <v>66</v>
      </c>
      <c r="Q8" s="7"/>
      <c r="R8" s="4">
        <f>R7*12</f>
        <v>300000</v>
      </c>
      <c r="V8" s="12"/>
      <c r="W8" s="12"/>
      <c r="X8" s="12"/>
      <c r="Y8" s="12"/>
    </row>
    <row r="9" spans="1:25" x14ac:dyDescent="0.25">
      <c r="A9" s="46" t="s">
        <v>131</v>
      </c>
      <c r="H9" s="47"/>
      <c r="N9" t="s">
        <v>68</v>
      </c>
      <c r="U9" s="20" t="s">
        <v>7</v>
      </c>
      <c r="V9" s="21">
        <f>V5+V6-V7</f>
        <v>17500</v>
      </c>
      <c r="W9" s="21">
        <f>W5+W6-W7</f>
        <v>18000</v>
      </c>
      <c r="X9" s="21">
        <f>X5+X6-X7</f>
        <v>21000</v>
      </c>
      <c r="Y9" s="21">
        <f>Y5+Y6-Y7</f>
        <v>16500</v>
      </c>
    </row>
    <row r="10" spans="1:25" x14ac:dyDescent="0.25">
      <c r="A10" s="46"/>
      <c r="H10" s="47"/>
      <c r="N10" t="s">
        <v>69</v>
      </c>
      <c r="O10" t="s">
        <v>66</v>
      </c>
      <c r="R10" s="16">
        <v>5000</v>
      </c>
    </row>
    <row r="11" spans="1:25" x14ac:dyDescent="0.25">
      <c r="A11" s="46" t="s">
        <v>132</v>
      </c>
      <c r="H11" s="47"/>
      <c r="N11" t="s">
        <v>70</v>
      </c>
      <c r="O11" t="s">
        <v>66</v>
      </c>
      <c r="R11" s="16">
        <f>R10*12</f>
        <v>60000</v>
      </c>
      <c r="U11" s="15" t="s">
        <v>71</v>
      </c>
    </row>
    <row r="12" spans="1:25" x14ac:dyDescent="0.25">
      <c r="A12" s="46" t="s">
        <v>133</v>
      </c>
      <c r="H12" s="47"/>
      <c r="N12" t="s">
        <v>72</v>
      </c>
      <c r="O12" t="s">
        <v>11</v>
      </c>
      <c r="Q12" s="5">
        <v>0.2</v>
      </c>
      <c r="U12" t="s">
        <v>73</v>
      </c>
      <c r="V12" t="s">
        <v>74</v>
      </c>
    </row>
    <row r="13" spans="1:25" x14ac:dyDescent="0.25">
      <c r="A13" s="46" t="s">
        <v>134</v>
      </c>
      <c r="H13" s="47"/>
      <c r="N13" t="s">
        <v>75</v>
      </c>
      <c r="O13" t="s">
        <v>11</v>
      </c>
      <c r="Q13" s="5">
        <v>10</v>
      </c>
      <c r="U13" t="s">
        <v>76</v>
      </c>
      <c r="V13" s="12">
        <v>20000</v>
      </c>
      <c r="W13" s="12">
        <v>20000</v>
      </c>
      <c r="X13" s="12">
        <v>20000</v>
      </c>
      <c r="Y13" s="12">
        <v>20000</v>
      </c>
    </row>
    <row r="14" spans="1:25" x14ac:dyDescent="0.25">
      <c r="A14" s="46"/>
      <c r="H14" s="47"/>
      <c r="N14" t="s">
        <v>77</v>
      </c>
      <c r="P14" s="51">
        <v>20000</v>
      </c>
      <c r="U14" t="s">
        <v>78</v>
      </c>
      <c r="V14" s="12">
        <f>V6</f>
        <v>17500</v>
      </c>
      <c r="W14" s="12">
        <f t="shared" ref="W14:Y14" si="0">W6</f>
        <v>21000</v>
      </c>
      <c r="X14" s="12">
        <f t="shared" si="0"/>
        <v>19000</v>
      </c>
      <c r="Y14" s="12">
        <f t="shared" si="0"/>
        <v>20000</v>
      </c>
    </row>
    <row r="15" spans="1:25" ht="15.75" thickBot="1" x14ac:dyDescent="0.3">
      <c r="A15" s="46" t="s">
        <v>135</v>
      </c>
      <c r="H15" s="47"/>
      <c r="N15" t="s">
        <v>79</v>
      </c>
      <c r="P15" s="51">
        <f>P14*12</f>
        <v>240000</v>
      </c>
      <c r="U15" s="8" t="s">
        <v>80</v>
      </c>
      <c r="V15" s="14">
        <f>V14-V13</f>
        <v>-2500</v>
      </c>
      <c r="W15" s="14">
        <f t="shared" ref="W15:Y15" si="1">W14-W13</f>
        <v>1000</v>
      </c>
      <c r="X15" s="14">
        <f t="shared" si="1"/>
        <v>-1000</v>
      </c>
      <c r="Y15" s="14">
        <f t="shared" si="1"/>
        <v>0</v>
      </c>
    </row>
    <row r="16" spans="1:25" ht="15.75" thickTop="1" x14ac:dyDescent="0.25">
      <c r="A16" s="46" t="s">
        <v>136</v>
      </c>
      <c r="H16" s="47"/>
      <c r="V16" s="53" t="s">
        <v>81</v>
      </c>
      <c r="W16" s="53" t="s">
        <v>82</v>
      </c>
      <c r="X16" s="53" t="str">
        <f>V16</f>
        <v>INPRODUCTIVO</v>
      </c>
      <c r="Y16" s="52"/>
    </row>
    <row r="17" spans="1:21" x14ac:dyDescent="0.25">
      <c r="A17" s="46" t="s">
        <v>137</v>
      </c>
      <c r="H17" s="47"/>
    </row>
    <row r="18" spans="1:21" x14ac:dyDescent="0.25">
      <c r="A18" s="46" t="s">
        <v>138</v>
      </c>
      <c r="H18" s="47"/>
      <c r="U18" t="s">
        <v>83</v>
      </c>
    </row>
    <row r="19" spans="1:21" ht="15.75" thickBot="1" x14ac:dyDescent="0.3">
      <c r="A19" s="48"/>
      <c r="B19" s="49"/>
      <c r="C19" s="49"/>
      <c r="D19" s="49"/>
      <c r="E19" s="49"/>
      <c r="F19" s="49"/>
      <c r="G19" s="49"/>
      <c r="H19" s="50"/>
    </row>
    <row r="20" spans="1:21" x14ac:dyDescent="0.25">
      <c r="A20" t="s">
        <v>139</v>
      </c>
    </row>
    <row r="22" spans="1:21" x14ac:dyDescent="0.25">
      <c r="A22" s="41" t="s">
        <v>140</v>
      </c>
      <c r="B22" s="41">
        <v>1</v>
      </c>
      <c r="C22" s="41">
        <v>2</v>
      </c>
      <c r="D22" s="41">
        <v>3</v>
      </c>
      <c r="E22" s="41">
        <v>4</v>
      </c>
    </row>
    <row r="23" spans="1:21" x14ac:dyDescent="0.25">
      <c r="A23" s="39" t="s">
        <v>141</v>
      </c>
      <c r="B23" s="40">
        <v>0</v>
      </c>
      <c r="C23" s="40">
        <v>0</v>
      </c>
      <c r="D23" s="40">
        <v>3000</v>
      </c>
      <c r="E23" s="40">
        <v>1000</v>
      </c>
    </row>
    <row r="24" spans="1:21" x14ac:dyDescent="0.25">
      <c r="A24" s="39" t="s">
        <v>142</v>
      </c>
      <c r="B24" s="40">
        <v>17500</v>
      </c>
      <c r="C24" s="40">
        <v>21000</v>
      </c>
      <c r="D24" s="40">
        <v>19000</v>
      </c>
      <c r="E24" s="40">
        <v>20000</v>
      </c>
    </row>
    <row r="25" spans="1:21" x14ac:dyDescent="0.25">
      <c r="A25" s="39" t="s">
        <v>143</v>
      </c>
      <c r="B25" s="40">
        <v>0</v>
      </c>
      <c r="C25" s="40">
        <v>3000</v>
      </c>
      <c r="D25" s="40">
        <v>1000</v>
      </c>
      <c r="E25" s="40">
        <v>4500</v>
      </c>
    </row>
  </sheetData>
  <mergeCells count="2">
    <mergeCell ref="N2:S2"/>
    <mergeCell ref="U3:Y3"/>
  </mergeCells>
  <conditionalFormatting sqref="V15:Y15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{0B218F81-7B34-4A4A-B1E2-EC5E5A34ACDD}</x14:id>
        </ext>
      </extLst>
    </cfRule>
  </conditionalFormatting>
  <pageMargins left="0.7" right="0.7" top="0.75" bottom="0.75" header="0.3" footer="0.3"/>
  <pageSetup paperSize="9" orientation="portrait" horizontalDpi="1200" verticalDpi="1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B218F81-7B34-4A4A-B1E2-EC5E5A34ACD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V15:Y15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0EB5B6A550F0842A94E3B81DE009869" ma:contentTypeVersion="4" ma:contentTypeDescription="Crear nuevo documento." ma:contentTypeScope="" ma:versionID="a52dbafb1f11a671f99ea190783bb2a6">
  <xsd:schema xmlns:xsd="http://www.w3.org/2001/XMLSchema" xmlns:xs="http://www.w3.org/2001/XMLSchema" xmlns:p="http://schemas.microsoft.com/office/2006/metadata/properties" xmlns:ns2="806aa660-e732-4ff7-ab1d-749bdefae02e" targetNamespace="http://schemas.microsoft.com/office/2006/metadata/properties" ma:root="true" ma:fieldsID="23d12497ef2cb42331ca46b92e277883" ns2:_="">
    <xsd:import namespace="806aa660-e732-4ff7-ab1d-749bdefae02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06aa660-e732-4ff7-ab1d-749bdefae02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A6EA8A7-5D71-41A4-8538-06D1636C9C7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83869500-C501-4339-B110-D5848DA7BD4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429CDBB-C2D7-4BC6-9163-DEC16E64DB6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06aa660-e732-4ff7-ab1d-749bdefae02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18</vt:i4>
      </vt:variant>
    </vt:vector>
  </HeadingPairs>
  <TitlesOfParts>
    <vt:vector size="22" baseType="lpstr">
      <vt:lpstr>Sistema de costos Variables</vt:lpstr>
      <vt:lpstr>Enunciado</vt:lpstr>
      <vt:lpstr>sistema absorbente</vt:lpstr>
      <vt:lpstr>RETO Y DATOS</vt:lpstr>
      <vt:lpstr>'RETO Y DATOS'!CAP.NORMAL.MES</vt:lpstr>
      <vt:lpstr>CAP.NORMAL.MES</vt:lpstr>
      <vt:lpstr>'RETO Y DATOS'!CIF.FIJOS</vt:lpstr>
      <vt:lpstr>CIF.FIJOS</vt:lpstr>
      <vt:lpstr>'RETO Y DATOS'!CIF.FIJOS.MES</vt:lpstr>
      <vt:lpstr>CIF.FIJOS.MES</vt:lpstr>
      <vt:lpstr>'RETO Y DATOS'!CIF.VARIABLES</vt:lpstr>
      <vt:lpstr>CIF.VARIABLES</vt:lpstr>
      <vt:lpstr>'RETO Y DATOS'!GTOS.ADMON.FIJOS</vt:lpstr>
      <vt:lpstr>GTOS.ADMON.FIJOS</vt:lpstr>
      <vt:lpstr>'RETO Y DATOS'!GTOS.FIJOS.VAR</vt:lpstr>
      <vt:lpstr>GTOS.FIJOS.VAR</vt:lpstr>
      <vt:lpstr>'RETO Y DATOS'!MAT.PRIM.DIRECTA</vt:lpstr>
      <vt:lpstr>MAT.PRIM.DIRECTA</vt:lpstr>
      <vt:lpstr>'RETO Y DATOS'!MDEO.DIRECTA</vt:lpstr>
      <vt:lpstr>MDEO.DIRECTA</vt:lpstr>
      <vt:lpstr>'RETO Y DATOS'!PRE.VTA.UNIT</vt:lpstr>
      <vt:lpstr>PRE.VTA.UNIT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NICOLÁS GONZÁLEZ</cp:lastModifiedBy>
  <cp:revision/>
  <dcterms:created xsi:type="dcterms:W3CDTF">2022-09-01T13:59:04Z</dcterms:created>
  <dcterms:modified xsi:type="dcterms:W3CDTF">2022-10-31T00:50:46Z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0x01010010EB5B6A550F0842A94E3B81DE009869</vt:lpwstr>
  </property>
</Properties>
</file>