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1\Contabilidad Financiera (NIIF)\"/>
    </mc:Choice>
  </mc:AlternateContent>
  <xr:revisionPtr revIDLastSave="0" documentId="13_ncr:1_{3D2972B6-697A-4552-8734-79B0BFFF2C3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apitales" sheetId="35" r:id="rId1"/>
    <sheet name="Empanadas La Sabrositas SAS" sheetId="3" r:id="rId2"/>
    <sheet name="EEFF Las Sabrositas SAS" sheetId="28" r:id="rId3"/>
    <sheet name="PCF Las Sabrositas SAS" sheetId="30" r:id="rId4"/>
    <sheet name="EEFF Las Sabrositas Clase" sheetId="29" r:id="rId5"/>
    <sheet name="CON y CC" sheetId="27" r:id="rId6"/>
    <sheet name="Est de Resultados" sheetId="22" r:id="rId7"/>
    <sheet name="Cartera" sheetId="24" r:id="rId8"/>
    <sheet name="Inver Sub Asocia" sheetId="21" r:id="rId9"/>
    <sheet name="Depreciación" sheetId="2" r:id="rId10"/>
    <sheet name="Venta de PPyE" sheetId="16" r:id="rId11"/>
    <sheet name="Dec y Pago Divi" sheetId="19" r:id="rId12"/>
    <sheet name="Diferidos CP" sheetId="17" r:id="rId13"/>
    <sheet name="Impuesto Diferido" sheetId="23" r:id="rId14"/>
    <sheet name="Depreciación II" sheetId="14" r:id="rId15"/>
    <sheet name="Dep UN FNEo" sheetId="15" r:id="rId16"/>
    <sheet name="Depuracion EBITDA" sheetId="12" r:id="rId17"/>
    <sheet name="Provisión de CxC" sheetId="5" r:id="rId18"/>
    <sheet name="Activos diferidos CP" sheetId="10" r:id="rId19"/>
    <sheet name="Acciones" sheetId="6" r:id="rId20"/>
    <sheet name="Patrimonio" sheetId="7" r:id="rId21"/>
    <sheet name="Superavit por metodo de partici" sheetId="8" r:id="rId22"/>
    <sheet name=" Pastorcito Men SAS" sheetId="31" r:id="rId23"/>
    <sheet name="Pasto Vacio" sheetId="34" r:id="rId24"/>
    <sheet name="Metodo de participación" sheetId="4" r:id="rId25"/>
    <sheet name="Met par Otros componente patrim" sheetId="18" r:id="rId26"/>
    <sheet name="ORI" sheetId="9" r:id="rId27"/>
    <sheet name="ORI II" sheetId="13" r:id="rId28"/>
    <sheet name=" ORI III" sheetId="20" r:id="rId29"/>
    <sheet name="Colombina Met Ind" sheetId="32" r:id="rId30"/>
    <sheet name="Fabricato Med Dire" sheetId="25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30" l="1"/>
  <c r="M29" i="34"/>
  <c r="M29" i="31"/>
  <c r="L27" i="34"/>
  <c r="L28" i="31"/>
  <c r="L27" i="31"/>
  <c r="M30" i="31"/>
  <c r="K25" i="34"/>
  <c r="K25" i="31"/>
  <c r="M25" i="34"/>
  <c r="M25" i="31"/>
  <c r="M23" i="34"/>
  <c r="M23" i="31"/>
  <c r="M19" i="34"/>
  <c r="M19" i="31"/>
  <c r="M33" i="34"/>
  <c r="M33" i="31"/>
  <c r="M21" i="31"/>
  <c r="M34" i="34"/>
  <c r="I18" i="34"/>
  <c r="I18" i="31"/>
  <c r="I36" i="34"/>
  <c r="G15" i="34"/>
  <c r="G14" i="34"/>
  <c r="D73" i="34"/>
  <c r="I29" i="34"/>
  <c r="I13" i="34"/>
  <c r="I14" i="34"/>
  <c r="I15" i="34"/>
  <c r="I16" i="34"/>
  <c r="G16" i="34"/>
  <c r="H16" i="34"/>
  <c r="K15" i="34"/>
  <c r="L40" i="34" s="1"/>
  <c r="H14" i="34"/>
  <c r="L14" i="34" s="1"/>
  <c r="L15" i="34" s="1"/>
  <c r="H13" i="34"/>
  <c r="H41" i="34"/>
  <c r="C44" i="34"/>
  <c r="C43" i="34"/>
  <c r="C42" i="34"/>
  <c r="E38" i="34"/>
  <c r="E20" i="34"/>
  <c r="D20" i="34"/>
  <c r="I19" i="34"/>
  <c r="C4" i="35"/>
  <c r="E8" i="35"/>
  <c r="D8" i="35"/>
  <c r="E5" i="35"/>
  <c r="E4" i="35"/>
  <c r="E3" i="35"/>
  <c r="F9" i="13"/>
  <c r="B4" i="13"/>
  <c r="K12" i="13"/>
  <c r="F8" i="13"/>
  <c r="B8" i="9"/>
  <c r="B23" i="9"/>
  <c r="E9" i="9"/>
  <c r="F22" i="13"/>
  <c r="K6" i="13"/>
  <c r="B18" i="13"/>
  <c r="J31" i="32"/>
  <c r="L15" i="25"/>
  <c r="L14" i="25"/>
  <c r="L12" i="25"/>
  <c r="L11" i="25"/>
  <c r="L13" i="25" s="1"/>
  <c r="L16" i="25" s="1"/>
  <c r="K12" i="25"/>
  <c r="K10" i="25"/>
  <c r="J13" i="25"/>
  <c r="J12" i="25"/>
  <c r="J11" i="25"/>
  <c r="J35" i="25"/>
  <c r="J37" i="25"/>
  <c r="J36" i="25"/>
  <c r="J34" i="25"/>
  <c r="J31" i="25"/>
  <c r="G32" i="25"/>
  <c r="I35" i="25"/>
  <c r="G30" i="25"/>
  <c r="J30" i="25" s="1"/>
  <c r="G24" i="25"/>
  <c r="G23" i="25"/>
  <c r="C25" i="25"/>
  <c r="C36" i="25" s="1"/>
  <c r="G29" i="30"/>
  <c r="C26" i="30"/>
  <c r="G12" i="30"/>
  <c r="C124" i="34"/>
  <c r="D125" i="34" s="1"/>
  <c r="C112" i="34"/>
  <c r="D111" i="34" s="1"/>
  <c r="H111" i="34"/>
  <c r="E111" i="34"/>
  <c r="G108" i="34" s="1"/>
  <c r="E86" i="34"/>
  <c r="D85" i="34"/>
  <c r="D86" i="34" s="1"/>
  <c r="C84" i="34"/>
  <c r="B84" i="34"/>
  <c r="D78" i="34"/>
  <c r="D77" i="34"/>
  <c r="D72" i="34"/>
  <c r="G71" i="34"/>
  <c r="C71" i="34" s="1"/>
  <c r="M69" i="34"/>
  <c r="M72" i="34" s="1"/>
  <c r="N73" i="34" s="1"/>
  <c r="G69" i="34"/>
  <c r="H56" i="34"/>
  <c r="H57" i="34" s="1"/>
  <c r="H55" i="34"/>
  <c r="H54" i="34"/>
  <c r="F54" i="34"/>
  <c r="H53" i="34"/>
  <c r="C47" i="34"/>
  <c r="C45" i="34"/>
  <c r="H42" i="34"/>
  <c r="C41" i="34"/>
  <c r="C40" i="34"/>
  <c r="M36" i="34"/>
  <c r="E34" i="34"/>
  <c r="I33" i="34"/>
  <c r="I34" i="34" s="1"/>
  <c r="L28" i="34"/>
  <c r="I26" i="34"/>
  <c r="H25" i="34"/>
  <c r="L25" i="34" s="1"/>
  <c r="G25" i="34"/>
  <c r="E25" i="34"/>
  <c r="E30" i="34" s="1"/>
  <c r="I24" i="34"/>
  <c r="M24" i="34" s="1"/>
  <c r="I23" i="34"/>
  <c r="H44" i="34" s="1"/>
  <c r="E21" i="34"/>
  <c r="M20" i="34"/>
  <c r="I20" i="34"/>
  <c r="I21" i="34" s="1"/>
  <c r="I38" i="34" s="1"/>
  <c r="L47" i="34"/>
  <c r="H47" i="34"/>
  <c r="M18" i="34"/>
  <c r="X16" i="34"/>
  <c r="E16" i="34"/>
  <c r="E51" i="34" s="1"/>
  <c r="X15" i="34"/>
  <c r="H15" i="34"/>
  <c r="E15" i="34"/>
  <c r="X14" i="34"/>
  <c r="K14" i="34"/>
  <c r="E14" i="34"/>
  <c r="L13" i="34"/>
  <c r="E13" i="34"/>
  <c r="D12" i="7"/>
  <c r="B9" i="3"/>
  <c r="B10" i="3"/>
  <c r="L15" i="32"/>
  <c r="L14" i="32"/>
  <c r="L11" i="32"/>
  <c r="J6" i="32"/>
  <c r="J4" i="32"/>
  <c r="G12" i="32"/>
  <c r="G10" i="32"/>
  <c r="K9" i="32" s="1"/>
  <c r="C10" i="32"/>
  <c r="K8" i="32" s="1"/>
  <c r="G7" i="32"/>
  <c r="J3" i="32" s="1"/>
  <c r="C6" i="32"/>
  <c r="J2" i="32" s="1"/>
  <c r="M30" i="34" l="1"/>
  <c r="M38" i="34" s="1"/>
  <c r="H40" i="34"/>
  <c r="H43" i="34" s="1"/>
  <c r="D79" i="34" s="1"/>
  <c r="K13" i="34"/>
  <c r="L41" i="34" s="1"/>
  <c r="D108" i="34"/>
  <c r="M16" i="34"/>
  <c r="D109" i="34"/>
  <c r="D110" i="34"/>
  <c r="N70" i="34"/>
  <c r="Q7" i="25"/>
  <c r="J32" i="25"/>
  <c r="Q3" i="25"/>
  <c r="M15" i="34"/>
  <c r="L43" i="34"/>
  <c r="L50" i="34" s="1"/>
  <c r="M14" i="34"/>
  <c r="L44" i="34"/>
  <c r="I25" i="34"/>
  <c r="I30" i="34" s="1"/>
  <c r="C50" i="34"/>
  <c r="L42" i="34"/>
  <c r="H45" i="34"/>
  <c r="C55" i="34"/>
  <c r="E53" i="34"/>
  <c r="G53" i="34" s="1"/>
  <c r="G51" i="34"/>
  <c r="L45" i="34"/>
  <c r="M21" i="34"/>
  <c r="J5" i="32"/>
  <c r="J7" i="32" s="1"/>
  <c r="K10" i="32"/>
  <c r="B26" i="9"/>
  <c r="I19" i="9" s="1"/>
  <c r="H49" i="34" l="1"/>
  <c r="M13" i="34"/>
  <c r="H50" i="34"/>
  <c r="C49" i="34"/>
  <c r="D112" i="34"/>
  <c r="H48" i="34"/>
  <c r="D56" i="34"/>
  <c r="C60" i="34" s="1"/>
  <c r="D61" i="34" s="1"/>
  <c r="C48" i="34"/>
  <c r="G54" i="34"/>
  <c r="D80" i="34"/>
  <c r="M2" i="34"/>
  <c r="C27" i="9"/>
  <c r="L38" i="32"/>
  <c r="K32" i="32"/>
  <c r="J29" i="32"/>
  <c r="J28" i="32"/>
  <c r="J27" i="32"/>
  <c r="G31" i="32"/>
  <c r="L36" i="32" s="1"/>
  <c r="C33" i="32"/>
  <c r="L33" i="32" s="1"/>
  <c r="G29" i="32"/>
  <c r="K30" i="32" s="1"/>
  <c r="C29" i="32"/>
  <c r="K29" i="32" s="1"/>
  <c r="G26" i="32"/>
  <c r="C27" i="32"/>
  <c r="I16" i="30"/>
  <c r="X59" i="28"/>
  <c r="F60" i="28"/>
  <c r="F44" i="28"/>
  <c r="X41" i="28"/>
  <c r="F26" i="28"/>
  <c r="F34" i="28" s="1"/>
  <c r="F20" i="28"/>
  <c r="F15" i="28"/>
  <c r="I10" i="32"/>
  <c r="L13" i="32" s="1"/>
  <c r="C8" i="32"/>
  <c r="D57" i="34" l="1"/>
  <c r="H42" i="32"/>
  <c r="H44" i="32"/>
  <c r="C38" i="32"/>
  <c r="I44" i="32"/>
  <c r="I42" i="32"/>
  <c r="I29" i="32"/>
  <c r="L34" i="32" s="1"/>
  <c r="L35" i="32" s="1"/>
  <c r="L37" i="32" s="1"/>
  <c r="L39" i="32" s="1"/>
  <c r="K31" i="32"/>
  <c r="K33" i="32" s="1"/>
  <c r="C19" i="32"/>
  <c r="J25" i="32"/>
  <c r="L49" i="34"/>
  <c r="L48" i="34"/>
  <c r="G33" i="32"/>
  <c r="I33" i="32" s="1"/>
  <c r="J26" i="32"/>
  <c r="J30" i="32" s="1"/>
  <c r="J32" i="32" s="1"/>
  <c r="G27" i="32"/>
  <c r="I27" i="32"/>
  <c r="I36" i="32" s="1"/>
  <c r="I38" i="32" s="1"/>
  <c r="G8" i="32"/>
  <c r="I8" i="32" s="1"/>
  <c r="L12" i="32" s="1"/>
  <c r="G14" i="32"/>
  <c r="I14" i="32" s="1"/>
  <c r="E4" i="4"/>
  <c r="C12" i="4"/>
  <c r="D13" i="4" s="1"/>
  <c r="B12" i="4"/>
  <c r="D10" i="4"/>
  <c r="C9" i="4" s="1"/>
  <c r="E10" i="4" l="1"/>
  <c r="E12" i="4"/>
  <c r="G36" i="32"/>
  <c r="G38" i="32" s="1"/>
  <c r="I18" i="32"/>
  <c r="I17" i="32"/>
  <c r="E86" i="31"/>
  <c r="D85" i="31"/>
  <c r="D86" i="31" s="1"/>
  <c r="C84" i="31"/>
  <c r="M32" i="31"/>
  <c r="D78" i="31"/>
  <c r="D77" i="31"/>
  <c r="I36" i="31"/>
  <c r="M36" i="31" s="1"/>
  <c r="I20" i="31"/>
  <c r="I19" i="31"/>
  <c r="G15" i="31"/>
  <c r="G14" i="31"/>
  <c r="I29" i="31"/>
  <c r="G16" i="31"/>
  <c r="C40" i="31"/>
  <c r="C14" i="31"/>
  <c r="C124" i="31"/>
  <c r="D125" i="31" s="1"/>
  <c r="C112" i="31"/>
  <c r="D110" i="31" s="1"/>
  <c r="H111" i="31"/>
  <c r="E111" i="31"/>
  <c r="D109" i="31"/>
  <c r="G108" i="31"/>
  <c r="B84" i="31"/>
  <c r="M69" i="31"/>
  <c r="M72" i="31" s="1"/>
  <c r="N73" i="31" s="1"/>
  <c r="G69" i="31"/>
  <c r="D73" i="31" s="1"/>
  <c r="H55" i="31"/>
  <c r="H54" i="31"/>
  <c r="F54" i="31"/>
  <c r="H53" i="31"/>
  <c r="C47" i="31"/>
  <c r="C45" i="31"/>
  <c r="C44" i="31"/>
  <c r="C42" i="31"/>
  <c r="H41" i="31"/>
  <c r="C41" i="31"/>
  <c r="H40" i="31"/>
  <c r="E34" i="31"/>
  <c r="I33" i="31"/>
  <c r="I34" i="31" s="1"/>
  <c r="I26" i="31"/>
  <c r="H25" i="31"/>
  <c r="L25" i="31" s="1"/>
  <c r="G25" i="31"/>
  <c r="H42" i="31" s="1"/>
  <c r="E25" i="31"/>
  <c r="E30" i="31" s="1"/>
  <c r="I24" i="31"/>
  <c r="M24" i="31" s="1"/>
  <c r="I23" i="31"/>
  <c r="H44" i="31" s="1"/>
  <c r="E21" i="31"/>
  <c r="M20" i="31"/>
  <c r="X16" i="31"/>
  <c r="E16" i="31"/>
  <c r="E51" i="31" s="1"/>
  <c r="E53" i="31" s="1"/>
  <c r="G54" i="31" s="1"/>
  <c r="X15" i="31"/>
  <c r="K15" i="31"/>
  <c r="L40" i="31" s="1"/>
  <c r="H15" i="31"/>
  <c r="H16" i="31" s="1"/>
  <c r="E15" i="31"/>
  <c r="X14" i="31"/>
  <c r="L14" i="31"/>
  <c r="L15" i="31" s="1"/>
  <c r="K14" i="31"/>
  <c r="I14" i="31"/>
  <c r="E14" i="31"/>
  <c r="L13" i="31"/>
  <c r="K13" i="31"/>
  <c r="L41" i="31" s="1"/>
  <c r="I13" i="31"/>
  <c r="E13" i="31"/>
  <c r="I16" i="31" l="1"/>
  <c r="M16" i="31" s="1"/>
  <c r="I19" i="32"/>
  <c r="D72" i="31"/>
  <c r="E38" i="31"/>
  <c r="C43" i="31"/>
  <c r="C50" i="31" s="1"/>
  <c r="L42" i="31"/>
  <c r="H47" i="31"/>
  <c r="L47" i="31"/>
  <c r="G17" i="32"/>
  <c r="G71" i="31"/>
  <c r="C71" i="31" s="1"/>
  <c r="H56" i="31"/>
  <c r="H57" i="31" s="1"/>
  <c r="I21" i="31"/>
  <c r="H45" i="31"/>
  <c r="G53" i="31"/>
  <c r="H43" i="31"/>
  <c r="D108" i="31"/>
  <c r="D111" i="31"/>
  <c r="N70" i="31"/>
  <c r="M15" i="31"/>
  <c r="I25" i="31"/>
  <c r="I30" i="31" s="1"/>
  <c r="G51" i="31"/>
  <c r="C55" i="31"/>
  <c r="M14" i="31"/>
  <c r="M13" i="31"/>
  <c r="I15" i="31"/>
  <c r="M18" i="31"/>
  <c r="G19" i="32" l="1"/>
  <c r="L16" i="32"/>
  <c r="L17" i="32" s="1"/>
  <c r="C49" i="31"/>
  <c r="H50" i="31"/>
  <c r="D79" i="31"/>
  <c r="D112" i="31"/>
  <c r="I38" i="31"/>
  <c r="H49" i="31" s="1"/>
  <c r="L43" i="31"/>
  <c r="L50" i="31" s="1"/>
  <c r="L44" i="31"/>
  <c r="C48" i="31"/>
  <c r="D56" i="31"/>
  <c r="C60" i="31" s="1"/>
  <c r="D61" i="31" s="1"/>
  <c r="L45" i="31"/>
  <c r="H48" i="31" l="1"/>
  <c r="M2" i="31"/>
  <c r="D80" i="31"/>
  <c r="M34" i="31" s="1"/>
  <c r="M38" i="31" s="1"/>
  <c r="L49" i="31" s="1"/>
  <c r="D57" i="31"/>
  <c r="L48" i="31" l="1"/>
  <c r="C53" i="23" l="1"/>
  <c r="B52" i="23"/>
  <c r="H21" i="4"/>
  <c r="H20" i="4"/>
  <c r="G8" i="5"/>
  <c r="G9" i="5"/>
  <c r="G4" i="5"/>
  <c r="N5" i="3" l="1"/>
  <c r="N11" i="3" s="1"/>
  <c r="G21" i="3"/>
  <c r="G11" i="3"/>
  <c r="B21" i="3"/>
  <c r="E11" i="3"/>
  <c r="B12" i="3" l="1"/>
  <c r="F67" i="29"/>
  <c r="Z66" i="29"/>
  <c r="U66" i="29"/>
  <c r="S66" i="29"/>
  <c r="K64" i="29"/>
  <c r="AF60" i="29" s="1"/>
  <c r="N62" i="29"/>
  <c r="AJ61" i="29"/>
  <c r="AJ65" i="29" s="1"/>
  <c r="AH61" i="29"/>
  <c r="AH66" i="29" s="1"/>
  <c r="G26" i="30" s="1"/>
  <c r="P59" i="29"/>
  <c r="P69" i="29" s="1"/>
  <c r="U58" i="29"/>
  <c r="S58" i="29"/>
  <c r="AH57" i="29"/>
  <c r="AH58" i="29" s="1"/>
  <c r="AJ56" i="29"/>
  <c r="AJ58" i="29" s="1"/>
  <c r="K55" i="29"/>
  <c r="K63" i="29" s="1"/>
  <c r="N53" i="29"/>
  <c r="AF51" i="29"/>
  <c r="P50" i="29"/>
  <c r="P58" i="29" s="1"/>
  <c r="U49" i="29"/>
  <c r="S49" i="29"/>
  <c r="P49" i="29"/>
  <c r="AH48" i="29"/>
  <c r="AH49" i="29" s="1"/>
  <c r="AJ47" i="29"/>
  <c r="AJ49" i="29" s="1"/>
  <c r="X45" i="29"/>
  <c r="X54" i="29" s="1"/>
  <c r="X61" i="29" s="1"/>
  <c r="K45" i="29"/>
  <c r="K54" i="29" s="1"/>
  <c r="K62" i="29" s="1"/>
  <c r="N44" i="29"/>
  <c r="AB43" i="29"/>
  <c r="AB47" i="29" s="1"/>
  <c r="AB49" i="29" s="1"/>
  <c r="P42" i="29"/>
  <c r="U41" i="29"/>
  <c r="S41" i="29"/>
  <c r="AH40" i="29"/>
  <c r="AH41" i="29" s="1"/>
  <c r="F40" i="29"/>
  <c r="F48" i="29" s="1"/>
  <c r="F55" i="29" s="1"/>
  <c r="F66" i="29" s="1"/>
  <c r="AJ39" i="29"/>
  <c r="AJ41" i="29" s="1"/>
  <c r="H39" i="29"/>
  <c r="H47" i="29" s="1"/>
  <c r="H55" i="29" s="1"/>
  <c r="H66" i="29" s="1"/>
  <c r="X37" i="29"/>
  <c r="X44" i="29" s="1"/>
  <c r="X53" i="29" s="1"/>
  <c r="X57" i="29" s="1"/>
  <c r="N37" i="29"/>
  <c r="K37" i="29"/>
  <c r="K41" i="29" s="1"/>
  <c r="AB36" i="29"/>
  <c r="AB39" i="29" s="1"/>
  <c r="AB41" i="29" s="1"/>
  <c r="Z36" i="29"/>
  <c r="Z43" i="29" s="1"/>
  <c r="X36" i="29"/>
  <c r="H36" i="29"/>
  <c r="H44" i="29" s="1"/>
  <c r="H53" i="29" s="1"/>
  <c r="H62" i="29" s="1"/>
  <c r="F36" i="29"/>
  <c r="AF36" i="29" s="1"/>
  <c r="H35" i="29"/>
  <c r="H43" i="29" s="1"/>
  <c r="H52" i="29" s="1"/>
  <c r="H60" i="29" s="1"/>
  <c r="F35" i="29"/>
  <c r="F43" i="29" s="1"/>
  <c r="AF46" i="29" s="1"/>
  <c r="P34" i="29"/>
  <c r="P41" i="29" s="1"/>
  <c r="H34" i="29"/>
  <c r="AJ33" i="29"/>
  <c r="U33" i="29"/>
  <c r="S33" i="29"/>
  <c r="K33" i="29"/>
  <c r="N32" i="29" s="1"/>
  <c r="F33" i="29"/>
  <c r="AH32" i="29"/>
  <c r="AH33" i="29" s="1"/>
  <c r="Z32" i="29"/>
  <c r="Z33" i="29" s="1"/>
  <c r="X32" i="29"/>
  <c r="AJ31" i="29"/>
  <c r="AB31" i="29"/>
  <c r="AB33" i="29" s="1"/>
  <c r="X31" i="29"/>
  <c r="AF30" i="29"/>
  <c r="AF29" i="29"/>
  <c r="AF28" i="29"/>
  <c r="N28" i="29"/>
  <c r="P26" i="29"/>
  <c r="P33" i="29" s="1"/>
  <c r="F26" i="29"/>
  <c r="F34" i="29" s="1"/>
  <c r="F42" i="29" s="1"/>
  <c r="F50" i="29" s="1"/>
  <c r="F59" i="29" s="1"/>
  <c r="U25" i="29"/>
  <c r="S25" i="29"/>
  <c r="H25" i="29"/>
  <c r="AH24" i="29"/>
  <c r="AH25" i="29" s="1"/>
  <c r="AF24" i="29"/>
  <c r="Z24" i="29"/>
  <c r="Z25" i="29" s="1"/>
  <c r="X24" i="29"/>
  <c r="X25" i="29" s="1"/>
  <c r="AJ23" i="29"/>
  <c r="AJ25" i="29" s="1"/>
  <c r="AB23" i="29"/>
  <c r="AB25" i="29" s="1"/>
  <c r="N22" i="29"/>
  <c r="N25" i="29" s="1"/>
  <c r="AF20" i="29"/>
  <c r="AF23" i="29" s="1"/>
  <c r="AF25" i="29" s="1"/>
  <c r="P20" i="29"/>
  <c r="P25" i="29" s="1"/>
  <c r="F20" i="29"/>
  <c r="F25" i="29" s="1"/>
  <c r="AF19" i="29"/>
  <c r="X19" i="29"/>
  <c r="U19" i="29"/>
  <c r="S19" i="29"/>
  <c r="P19" i="29"/>
  <c r="N19" i="29"/>
  <c r="AH18" i="29"/>
  <c r="AH19" i="29" s="1"/>
  <c r="Z18" i="29"/>
  <c r="Z19" i="29" s="1"/>
  <c r="H18" i="29"/>
  <c r="AJ17" i="29"/>
  <c r="AJ19" i="29" s="1"/>
  <c r="AB17" i="29"/>
  <c r="AB19" i="29" s="1"/>
  <c r="H15" i="29"/>
  <c r="F15" i="29"/>
  <c r="F19" i="29" s="1"/>
  <c r="AH14" i="29"/>
  <c r="AF14" i="29"/>
  <c r="Z14" i="29"/>
  <c r="X14" i="29"/>
  <c r="U14" i="29"/>
  <c r="S14" i="29"/>
  <c r="P14" i="29"/>
  <c r="N14" i="29"/>
  <c r="H14" i="29"/>
  <c r="F14" i="29"/>
  <c r="AJ12" i="29"/>
  <c r="AJ14" i="29" s="1"/>
  <c r="AB12" i="29"/>
  <c r="AB14" i="29" s="1"/>
  <c r="K69" i="28"/>
  <c r="N68" i="28" s="1"/>
  <c r="F67" i="28"/>
  <c r="AH66" i="28"/>
  <c r="Z66" i="28"/>
  <c r="X66" i="28"/>
  <c r="U66" i="28"/>
  <c r="S66" i="28"/>
  <c r="AJ65" i="28"/>
  <c r="AB65" i="28"/>
  <c r="AF63" i="28"/>
  <c r="N62" i="28"/>
  <c r="F61" i="28"/>
  <c r="AF62" i="28" s="1"/>
  <c r="AF66" i="28" s="1"/>
  <c r="AF60" i="28"/>
  <c r="AF64" i="28"/>
  <c r="X65" i="28"/>
  <c r="P59" i="28"/>
  <c r="P69" i="28" s="1"/>
  <c r="U58" i="28"/>
  <c r="S58" i="28"/>
  <c r="K58" i="28"/>
  <c r="AF50" i="28" s="1"/>
  <c r="AH57" i="28"/>
  <c r="AH58" i="28" s="1"/>
  <c r="Z57" i="28"/>
  <c r="Z58" i="28" s="1"/>
  <c r="X57" i="28"/>
  <c r="AJ56" i="28"/>
  <c r="AJ58" i="28" s="1"/>
  <c r="AB56" i="28"/>
  <c r="AB58" i="28" s="1"/>
  <c r="X56" i="28"/>
  <c r="F56" i="28"/>
  <c r="AF55" i="28"/>
  <c r="AF54" i="28"/>
  <c r="N53" i="28"/>
  <c r="F53" i="28"/>
  <c r="AF53" i="28" s="1"/>
  <c r="AF51" i="28"/>
  <c r="P50" i="28"/>
  <c r="P58" i="28" s="1"/>
  <c r="F50" i="28"/>
  <c r="U49" i="28"/>
  <c r="S49" i="28"/>
  <c r="K49" i="28"/>
  <c r="N48" i="28" s="1"/>
  <c r="AH48" i="28"/>
  <c r="AH49" i="28" s="1"/>
  <c r="Z48" i="28"/>
  <c r="Z49" i="28" s="1"/>
  <c r="X48" i="28"/>
  <c r="AJ47" i="28"/>
  <c r="AJ49" i="28" s="1"/>
  <c r="AB47" i="28"/>
  <c r="AB49" i="28" s="1"/>
  <c r="X47" i="28"/>
  <c r="AF46" i="28"/>
  <c r="AF45" i="28"/>
  <c r="AF44" i="28"/>
  <c r="AF48" i="28" s="1"/>
  <c r="N44" i="28"/>
  <c r="P42" i="28"/>
  <c r="P49" i="28" s="1"/>
  <c r="F42" i="28"/>
  <c r="F49" i="28" s="1"/>
  <c r="U41" i="28"/>
  <c r="S41" i="28"/>
  <c r="K41" i="28"/>
  <c r="AH40" i="28"/>
  <c r="AH41" i="28" s="1"/>
  <c r="Z40" i="28"/>
  <c r="Z41" i="28" s="1"/>
  <c r="X40" i="28"/>
  <c r="AJ39" i="28"/>
  <c r="AJ41" i="28" s="1"/>
  <c r="AB39" i="28"/>
  <c r="AB41" i="28" s="1"/>
  <c r="X39" i="28"/>
  <c r="AF38" i="28"/>
  <c r="AF37" i="28"/>
  <c r="N37" i="28"/>
  <c r="AF36" i="28"/>
  <c r="AF40" i="28" s="1"/>
  <c r="P34" i="28"/>
  <c r="P41" i="28" s="1"/>
  <c r="F41" i="28"/>
  <c r="U33" i="28"/>
  <c r="S33" i="28"/>
  <c r="K33" i="28"/>
  <c r="AF26" i="28" s="1"/>
  <c r="AF27" i="28" s="1"/>
  <c r="AH32" i="28"/>
  <c r="AH33" i="28" s="1"/>
  <c r="Z32" i="28"/>
  <c r="Z33" i="28" s="1"/>
  <c r="X32" i="28"/>
  <c r="AJ31" i="28"/>
  <c r="AJ33" i="28" s="1"/>
  <c r="AB31" i="28"/>
  <c r="AB33" i="28" s="1"/>
  <c r="X31" i="28"/>
  <c r="AF30" i="28"/>
  <c r="AF29" i="28"/>
  <c r="AF28" i="28"/>
  <c r="N28" i="28"/>
  <c r="P26" i="28"/>
  <c r="P33" i="28" s="1"/>
  <c r="F33" i="28"/>
  <c r="U25" i="28"/>
  <c r="S25" i="28"/>
  <c r="H25" i="28"/>
  <c r="F25" i="28"/>
  <c r="AH24" i="28"/>
  <c r="AH25" i="28" s="1"/>
  <c r="Z24" i="28"/>
  <c r="Z25" i="28" s="1"/>
  <c r="X24" i="28"/>
  <c r="X25" i="28" s="1"/>
  <c r="AJ23" i="28"/>
  <c r="AJ25" i="28" s="1"/>
  <c r="AB23" i="28"/>
  <c r="AB25" i="28" s="1"/>
  <c r="AF22" i="28"/>
  <c r="N22" i="28"/>
  <c r="N25" i="28" s="1"/>
  <c r="AF21" i="28"/>
  <c r="AF24" i="28" s="1"/>
  <c r="AF20" i="28"/>
  <c r="P20" i="28"/>
  <c r="P25" i="28" s="1"/>
  <c r="AF19" i="28"/>
  <c r="X19" i="28"/>
  <c r="U19" i="28"/>
  <c r="S19" i="28"/>
  <c r="P19" i="28"/>
  <c r="N19" i="28"/>
  <c r="H19" i="28"/>
  <c r="F19" i="28"/>
  <c r="AH18" i="28"/>
  <c r="AH19" i="28" s="1"/>
  <c r="Z18" i="28"/>
  <c r="Z19" i="28" s="1"/>
  <c r="AJ17" i="28"/>
  <c r="AJ19" i="28" s="1"/>
  <c r="AB17" i="28"/>
  <c r="AB19" i="28" s="1"/>
  <c r="AH14" i="28"/>
  <c r="AF14" i="28"/>
  <c r="Z14" i="28"/>
  <c r="X14" i="28"/>
  <c r="U14" i="28"/>
  <c r="S14" i="28"/>
  <c r="P14" i="28"/>
  <c r="N14" i="28"/>
  <c r="H14" i="28"/>
  <c r="F14" i="28"/>
  <c r="AJ12" i="28"/>
  <c r="AJ14" i="28" s="1"/>
  <c r="AB12" i="28"/>
  <c r="AB14" i="28" s="1"/>
  <c r="AF32" i="29" l="1"/>
  <c r="Z67" i="29"/>
  <c r="G8" i="30"/>
  <c r="AF26" i="29"/>
  <c r="AF27" i="29" s="1"/>
  <c r="AF33" i="29" s="1"/>
  <c r="AK33" i="29" s="1"/>
  <c r="H32" i="29"/>
  <c r="H33" i="29" s="1"/>
  <c r="AH67" i="29"/>
  <c r="X33" i="28"/>
  <c r="AC33" i="28" s="1"/>
  <c r="H32" i="28"/>
  <c r="H33" i="28" s="1"/>
  <c r="AF57" i="28"/>
  <c r="AJ67" i="29"/>
  <c r="C29" i="30"/>
  <c r="AK25" i="29"/>
  <c r="U67" i="28"/>
  <c r="U69" i="28" s="1"/>
  <c r="AH67" i="28"/>
  <c r="I26" i="30"/>
  <c r="AC19" i="29"/>
  <c r="AF38" i="29"/>
  <c r="AF40" i="29" s="1"/>
  <c r="X40" i="29"/>
  <c r="X67" i="28"/>
  <c r="Z67" i="28"/>
  <c r="I8" i="30"/>
  <c r="AF32" i="28"/>
  <c r="AF31" i="28"/>
  <c r="AF33" i="28" s="1"/>
  <c r="AK33" i="28" s="1"/>
  <c r="N40" i="28"/>
  <c r="N41" i="28" s="1"/>
  <c r="AF34" i="28"/>
  <c r="AC14" i="29"/>
  <c r="AK19" i="29"/>
  <c r="F41" i="29"/>
  <c r="F58" i="28"/>
  <c r="F59" i="28"/>
  <c r="AJ67" i="28"/>
  <c r="I29" i="30"/>
  <c r="AK14" i="28"/>
  <c r="X49" i="28"/>
  <c r="AF52" i="28"/>
  <c r="AF58" i="28" s="1"/>
  <c r="AF56" i="28"/>
  <c r="AB67" i="28"/>
  <c r="H67" i="28"/>
  <c r="H69" i="28" s="1"/>
  <c r="U67" i="29"/>
  <c r="U69" i="29" s="1"/>
  <c r="AK19" i="28"/>
  <c r="AC41" i="28"/>
  <c r="H56" i="28"/>
  <c r="H58" i="28" s="1"/>
  <c r="H48" i="28"/>
  <c r="H49" i="28" s="1"/>
  <c r="X58" i="28"/>
  <c r="AC58" i="28" s="1"/>
  <c r="AC14" i="28"/>
  <c r="AF23" i="28"/>
  <c r="AF25" i="28" s="1"/>
  <c r="AK25" i="28" s="1"/>
  <c r="AC25" i="28"/>
  <c r="AF35" i="28"/>
  <c r="H40" i="28"/>
  <c r="H41" i="28" s="1"/>
  <c r="N49" i="28"/>
  <c r="AC49" i="28"/>
  <c r="AF59" i="28"/>
  <c r="N69" i="28"/>
  <c r="AC25" i="29"/>
  <c r="Z52" i="29"/>
  <c r="Z57" i="29" s="1"/>
  <c r="Z58" i="29" s="1"/>
  <c r="Z48" i="29"/>
  <c r="Z49" i="29" s="1"/>
  <c r="F52" i="29"/>
  <c r="X60" i="29"/>
  <c r="X66" i="29" s="1"/>
  <c r="G6" i="30" s="1"/>
  <c r="H17" i="29"/>
  <c r="H19" i="29" s="1"/>
  <c r="X48" i="29"/>
  <c r="AB52" i="29"/>
  <c r="H40" i="29"/>
  <c r="H41" i="29" s="1"/>
  <c r="AF34" i="29"/>
  <c r="AF35" i="29" s="1"/>
  <c r="N40" i="29"/>
  <c r="N41" i="29" s="1"/>
  <c r="K44" i="29"/>
  <c r="AK14" i="29"/>
  <c r="AF37" i="29"/>
  <c r="H42" i="29"/>
  <c r="N33" i="29"/>
  <c r="X33" i="29"/>
  <c r="AC33" i="29" s="1"/>
  <c r="X43" i="29"/>
  <c r="X39" i="29"/>
  <c r="X41" i="29" s="1"/>
  <c r="Z40" i="29"/>
  <c r="Z41" i="29" s="1"/>
  <c r="F44" i="29"/>
  <c r="F49" i="29" s="1"/>
  <c r="AC19" i="28"/>
  <c r="AK58" i="28"/>
  <c r="AF42" i="28"/>
  <c r="AF43" i="28" s="1"/>
  <c r="N57" i="28"/>
  <c r="N58" i="28" s="1"/>
  <c r="N32" i="28"/>
  <c r="N33" i="28" s="1"/>
  <c r="AC41" i="29" l="1"/>
  <c r="AC67" i="28"/>
  <c r="AC69" i="28" s="1"/>
  <c r="AF31" i="29"/>
  <c r="AF61" i="28"/>
  <c r="AF65" i="28"/>
  <c r="AK41" i="28"/>
  <c r="AF39" i="28"/>
  <c r="AF41" i="28"/>
  <c r="I17" i="30"/>
  <c r="F69" i="28"/>
  <c r="AF49" i="28"/>
  <c r="AK49" i="28" s="1"/>
  <c r="AF47" i="28"/>
  <c r="K49" i="29"/>
  <c r="K53" i="29"/>
  <c r="AB56" i="29"/>
  <c r="AB58" i="29" s="1"/>
  <c r="AB59" i="29"/>
  <c r="AB65" i="29" s="1"/>
  <c r="AF44" i="29"/>
  <c r="AF48" i="29" s="1"/>
  <c r="F53" i="29"/>
  <c r="AF39" i="29"/>
  <c r="AF41" i="29"/>
  <c r="AK41" i="29" s="1"/>
  <c r="F60" i="29"/>
  <c r="AF55" i="29"/>
  <c r="X47" i="29"/>
  <c r="X49" i="29" s="1"/>
  <c r="AC49" i="29" s="1"/>
  <c r="X52" i="29"/>
  <c r="AF45" i="29"/>
  <c r="H50" i="29"/>
  <c r="K17" i="27"/>
  <c r="K21" i="27" s="1"/>
  <c r="E7" i="27"/>
  <c r="H11" i="27" s="1"/>
  <c r="D7" i="27"/>
  <c r="G11" i="27" s="1"/>
  <c r="K19" i="27" l="1"/>
  <c r="AB67" i="29"/>
  <c r="C12" i="30"/>
  <c r="I12" i="30" s="1"/>
  <c r="K20" i="27"/>
  <c r="AF67" i="28"/>
  <c r="AK67" i="28"/>
  <c r="AK69" i="28" s="1"/>
  <c r="AF54" i="29"/>
  <c r="H59" i="29"/>
  <c r="AF53" i="29"/>
  <c r="AF57" i="29" s="1"/>
  <c r="F61" i="29"/>
  <c r="AF62" i="29" s="1"/>
  <c r="K61" i="29"/>
  <c r="K69" i="29" s="1"/>
  <c r="K58" i="29"/>
  <c r="AF64" i="29"/>
  <c r="F69" i="29"/>
  <c r="N48" i="29"/>
  <c r="N49" i="29" s="1"/>
  <c r="AF42" i="29"/>
  <c r="AF43" i="29" s="1"/>
  <c r="AF47" i="29" s="1"/>
  <c r="AF49" i="29" s="1"/>
  <c r="AK49" i="29" s="1"/>
  <c r="H48" i="29"/>
  <c r="H49" i="29" s="1"/>
  <c r="X59" i="29"/>
  <c r="X65" i="29" s="1"/>
  <c r="X56" i="29"/>
  <c r="X58" i="29" s="1"/>
  <c r="AC58" i="29" s="1"/>
  <c r="F58" i="29"/>
  <c r="F31" i="22"/>
  <c r="F30" i="22"/>
  <c r="X67" i="29" l="1"/>
  <c r="AC67" i="29" s="1"/>
  <c r="AC69" i="29" s="1"/>
  <c r="H56" i="29"/>
  <c r="H58" i="29" s="1"/>
  <c r="AF50" i="29"/>
  <c r="AF52" i="29" s="1"/>
  <c r="AF56" i="29" s="1"/>
  <c r="AF58" i="29" s="1"/>
  <c r="AK58" i="29" s="1"/>
  <c r="N57" i="29"/>
  <c r="N58" i="29" s="1"/>
  <c r="AF63" i="29"/>
  <c r="N68" i="29"/>
  <c r="N69" i="29" s="1"/>
  <c r="H67" i="29"/>
  <c r="H69" i="29" s="1"/>
  <c r="AF59" i="29"/>
  <c r="AF61" i="29" s="1"/>
  <c r="AF66" i="29"/>
  <c r="G24" i="30" s="1"/>
  <c r="C17" i="30" l="1"/>
  <c r="I6" i="30"/>
  <c r="G15" i="30" s="1"/>
  <c r="G17" i="30" s="1"/>
  <c r="AF65" i="29"/>
  <c r="G14" i="25"/>
  <c r="C9" i="25"/>
  <c r="K9" i="25" s="1"/>
  <c r="K11" i="25" s="1"/>
  <c r="K13" i="25" s="1"/>
  <c r="G6" i="25"/>
  <c r="C7" i="25"/>
  <c r="AF67" i="29" l="1"/>
  <c r="AK67" i="29" s="1"/>
  <c r="AK69" i="29" s="1"/>
  <c r="C24" i="30"/>
  <c r="P7" i="25"/>
  <c r="P3" i="25"/>
  <c r="G13" i="25"/>
  <c r="I13" i="25" s="1"/>
  <c r="I9" i="25"/>
  <c r="G7" i="25"/>
  <c r="I7" i="25" s="1"/>
  <c r="H45" i="25"/>
  <c r="H48" i="25" s="1"/>
  <c r="F45" i="25"/>
  <c r="F47" i="25" s="1"/>
  <c r="F49" i="25" s="1"/>
  <c r="I41" i="25"/>
  <c r="I39" i="25"/>
  <c r="G31" i="25"/>
  <c r="I31" i="25" s="1"/>
  <c r="I27" i="25"/>
  <c r="G25" i="25"/>
  <c r="I25" i="25" s="1"/>
  <c r="C34" i="30" l="1"/>
  <c r="I24" i="30"/>
  <c r="I31" i="30" s="1"/>
  <c r="I34" i="25"/>
  <c r="I36" i="25" s="1"/>
  <c r="I17" i="25" s="1"/>
  <c r="G18" i="25"/>
  <c r="I16" i="25"/>
  <c r="G31" i="30" l="1"/>
  <c r="G34" i="30" s="1"/>
  <c r="I35" i="30"/>
  <c r="I18" i="25"/>
  <c r="G34" i="25"/>
  <c r="G36" i="25" s="1"/>
  <c r="C16" i="25"/>
  <c r="C111" i="7"/>
  <c r="E7" i="7"/>
  <c r="G4" i="6"/>
  <c r="C18" i="25" l="1"/>
  <c r="L4" i="24"/>
  <c r="L5" i="24" s="1"/>
  <c r="L3" i="24"/>
  <c r="K5" i="24"/>
  <c r="M29" i="3"/>
  <c r="L22" i="3"/>
  <c r="J10" i="3" l="1"/>
  <c r="J16" i="3" s="1"/>
  <c r="J12" i="3" l="1"/>
  <c r="L8" i="3"/>
  <c r="F28" i="7"/>
  <c r="F27" i="7"/>
  <c r="E27" i="7"/>
  <c r="C3" i="7"/>
  <c r="P61" i="23"/>
  <c r="P60" i="23"/>
  <c r="P59" i="23"/>
  <c r="P58" i="23"/>
  <c r="P57" i="23"/>
  <c r="L42" i="23"/>
  <c r="L43" i="23" s="1"/>
  <c r="L47" i="23" s="1"/>
  <c r="B79" i="23" s="1"/>
  <c r="K42" i="23"/>
  <c r="K43" i="23" s="1"/>
  <c r="K47" i="23" s="1"/>
  <c r="B76" i="23" s="1"/>
  <c r="J42" i="23"/>
  <c r="J43" i="23" s="1"/>
  <c r="J47" i="23" s="1"/>
  <c r="B73" i="23" s="1"/>
  <c r="I42" i="23"/>
  <c r="I43" i="23" s="1"/>
  <c r="I47" i="23" s="1"/>
  <c r="B70" i="23" s="1"/>
  <c r="H42" i="23"/>
  <c r="H43" i="23" s="1"/>
  <c r="H47" i="23" s="1"/>
  <c r="B67" i="23" s="1"/>
  <c r="L36" i="23"/>
  <c r="L37" i="23" s="1"/>
  <c r="L17" i="23" s="1"/>
  <c r="K36" i="23"/>
  <c r="K37" i="23" s="1"/>
  <c r="K17" i="23" s="1"/>
  <c r="J36" i="23"/>
  <c r="J37" i="23" s="1"/>
  <c r="J17" i="23" s="1"/>
  <c r="I36" i="23"/>
  <c r="I37" i="23" s="1"/>
  <c r="I17" i="23" s="1"/>
  <c r="H36" i="23"/>
  <c r="B28" i="23"/>
  <c r="B9" i="23"/>
  <c r="C35" i="23" s="1"/>
  <c r="C36" i="23" s="1"/>
  <c r="F29" i="7" l="1"/>
  <c r="E21" i="3"/>
  <c r="F9" i="23"/>
  <c r="H15" i="23"/>
  <c r="H16" i="23" s="1"/>
  <c r="L15" i="23"/>
  <c r="L16" i="23" s="1"/>
  <c r="E35" i="23"/>
  <c r="E36" i="23" s="1"/>
  <c r="E37" i="23" s="1"/>
  <c r="E17" i="23" s="1"/>
  <c r="J9" i="23"/>
  <c r="C15" i="23"/>
  <c r="C16" i="23" s="1"/>
  <c r="C28" i="23"/>
  <c r="J38" i="23"/>
  <c r="K38" i="23"/>
  <c r="L25" i="3"/>
  <c r="M28" i="3" s="1"/>
  <c r="O28" i="3" s="1"/>
  <c r="J14" i="3"/>
  <c r="C80" i="23"/>
  <c r="L18" i="23" s="1"/>
  <c r="L19" i="23" s="1"/>
  <c r="L20" i="23" s="1"/>
  <c r="O67" i="23"/>
  <c r="C37" i="23"/>
  <c r="C17" i="23" s="1"/>
  <c r="C71" i="23"/>
  <c r="I18" i="23" s="1"/>
  <c r="I19" i="23" s="1"/>
  <c r="O64" i="23"/>
  <c r="C68" i="23"/>
  <c r="H18" i="23" s="1"/>
  <c r="O63" i="23"/>
  <c r="C74" i="23"/>
  <c r="J18" i="23" s="1"/>
  <c r="J19" i="23" s="1"/>
  <c r="O65" i="23"/>
  <c r="O66" i="23"/>
  <c r="C77" i="23"/>
  <c r="K18" i="23" s="1"/>
  <c r="K19" i="23" s="1"/>
  <c r="L38" i="23"/>
  <c r="K9" i="23"/>
  <c r="E15" i="23"/>
  <c r="E16" i="23" s="1"/>
  <c r="E28" i="23"/>
  <c r="I38" i="23"/>
  <c r="C9" i="23"/>
  <c r="H9" i="23"/>
  <c r="L9" i="23"/>
  <c r="F15" i="23"/>
  <c r="F16" i="23" s="1"/>
  <c r="J15" i="23"/>
  <c r="J16" i="23" s="1"/>
  <c r="F28" i="23"/>
  <c r="B35" i="23"/>
  <c r="G35" i="23"/>
  <c r="G36" i="23" s="1"/>
  <c r="H37" i="23"/>
  <c r="H17" i="23" s="1"/>
  <c r="G9" i="23"/>
  <c r="I15" i="23"/>
  <c r="I16" i="23" s="1"/>
  <c r="F35" i="23"/>
  <c r="F36" i="23" s="1"/>
  <c r="E9" i="23"/>
  <c r="I9" i="23"/>
  <c r="B15" i="23"/>
  <c r="G15" i="23"/>
  <c r="G16" i="23" s="1"/>
  <c r="K15" i="23"/>
  <c r="K16" i="23" s="1"/>
  <c r="G28" i="23"/>
  <c r="E38" i="23" l="1"/>
  <c r="H19" i="23"/>
  <c r="H20" i="23" s="1"/>
  <c r="I20" i="23"/>
  <c r="C38" i="23"/>
  <c r="B36" i="23"/>
  <c r="B29" i="23"/>
  <c r="K20" i="23"/>
  <c r="F37" i="23"/>
  <c r="F17" i="23" s="1"/>
  <c r="J20" i="23"/>
  <c r="B10" i="23"/>
  <c r="B16" i="23"/>
  <c r="B21" i="23" s="1"/>
  <c r="G37" i="23"/>
  <c r="G17" i="23" s="1"/>
  <c r="O68" i="23"/>
  <c r="H38" i="23"/>
  <c r="C10" i="23" l="1"/>
  <c r="B11" i="23"/>
  <c r="B41" i="23" s="1"/>
  <c r="F38" i="23"/>
  <c r="B37" i="23"/>
  <c r="B17" i="23" s="1"/>
  <c r="G38" i="23"/>
  <c r="B30" i="23"/>
  <c r="B42" i="23" s="1"/>
  <c r="C29" i="23"/>
  <c r="B38" i="23" l="1"/>
  <c r="E29" i="23"/>
  <c r="C30" i="23"/>
  <c r="C42" i="23" s="1"/>
  <c r="B43" i="23"/>
  <c r="B47" i="23" s="1"/>
  <c r="E10" i="23"/>
  <c r="C11" i="23"/>
  <c r="C41" i="23" s="1"/>
  <c r="C43" i="23" s="1"/>
  <c r="C47" i="23" s="1"/>
  <c r="B49" i="23" l="1"/>
  <c r="B18" i="23" s="1"/>
  <c r="C50" i="23"/>
  <c r="B55" i="23"/>
  <c r="C18" i="23" s="1"/>
  <c r="C19" i="23" s="1"/>
  <c r="C20" i="23" s="1"/>
  <c r="C56" i="23"/>
  <c r="O58" i="23" s="1"/>
  <c r="F10" i="23"/>
  <c r="E11" i="23"/>
  <c r="E41" i="23" s="1"/>
  <c r="F29" i="23"/>
  <c r="E30" i="23"/>
  <c r="E42" i="23" s="1"/>
  <c r="B19" i="23" l="1"/>
  <c r="B20" i="23" s="1"/>
  <c r="G29" i="23"/>
  <c r="G30" i="23" s="1"/>
  <c r="G42" i="23" s="1"/>
  <c r="F30" i="23"/>
  <c r="F42" i="23" s="1"/>
  <c r="E43" i="23"/>
  <c r="E47" i="23" s="1"/>
  <c r="G10" i="23"/>
  <c r="F11" i="23"/>
  <c r="F41" i="23" s="1"/>
  <c r="O57" i="23"/>
  <c r="F56" i="23"/>
  <c r="F43" i="23" l="1"/>
  <c r="F47" i="23" s="1"/>
  <c r="H10" i="23"/>
  <c r="G11" i="23"/>
  <c r="G41" i="23" s="1"/>
  <c r="G43" i="23" s="1"/>
  <c r="G47" i="23" s="1"/>
  <c r="B58" i="23"/>
  <c r="E18" i="23" s="1"/>
  <c r="E19" i="23" s="1"/>
  <c r="E20" i="23" s="1"/>
  <c r="C59" i="23"/>
  <c r="O59" i="23" s="1"/>
  <c r="B61" i="23"/>
  <c r="F18" i="23" s="1"/>
  <c r="F19" i="23" s="1"/>
  <c r="F20" i="23" s="1"/>
  <c r="C62" i="23"/>
  <c r="O60" i="23" s="1"/>
  <c r="B64" i="23" l="1"/>
  <c r="G18" i="23" s="1"/>
  <c r="G19" i="23" s="1"/>
  <c r="G20" i="23" s="1"/>
  <c r="C65" i="23"/>
  <c r="O61" i="23" s="1"/>
  <c r="O62" i="23" s="1"/>
  <c r="O69" i="23" s="1"/>
  <c r="I10" i="23"/>
  <c r="H11" i="23"/>
  <c r="J10" i="23" l="1"/>
  <c r="I11" i="23"/>
  <c r="K10" i="23" l="1"/>
  <c r="J11" i="23"/>
  <c r="L10" i="23" l="1"/>
  <c r="L11" i="23" s="1"/>
  <c r="K11" i="23"/>
  <c r="K16" i="22" l="1"/>
  <c r="K18" i="22" s="1"/>
  <c r="K21" i="22" s="1"/>
  <c r="G5" i="22"/>
  <c r="G11" i="22" l="1"/>
  <c r="H5" i="22"/>
  <c r="G14" i="22"/>
  <c r="G16" i="22" s="1"/>
  <c r="G19" i="22" s="1"/>
  <c r="F27" i="22" s="1"/>
  <c r="I8" i="22"/>
  <c r="F13" i="20"/>
  <c r="J9" i="20"/>
  <c r="E13" i="20"/>
  <c r="I9" i="20"/>
  <c r="D14" i="20"/>
  <c r="E14" i="20" s="1"/>
  <c r="F14" i="20" s="1"/>
  <c r="D13" i="20"/>
  <c r="E12" i="20" s="1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E15" i="20" l="1"/>
  <c r="F12" i="20"/>
  <c r="F15" i="20" s="1"/>
  <c r="H22" i="22"/>
  <c r="G22" i="22"/>
  <c r="D12" i="18"/>
  <c r="E13" i="18" s="1"/>
  <c r="D9" i="18"/>
  <c r="E10" i="18" s="1"/>
  <c r="E2" i="17" l="1"/>
  <c r="C5" i="17" s="1"/>
  <c r="D6" i="17" s="1"/>
  <c r="C8" i="17"/>
  <c r="D9" i="17" s="1"/>
  <c r="I7" i="17" s="1"/>
  <c r="B9" i="17"/>
  <c r="E3" i="16"/>
  <c r="E5" i="16" s="1"/>
  <c r="E18" i="16"/>
  <c r="E20" i="16" s="1"/>
  <c r="I26" i="16"/>
  <c r="I28" i="16" s="1"/>
  <c r="I27" i="16"/>
  <c r="I6" i="17" l="1"/>
  <c r="I8" i="17" s="1"/>
  <c r="H10" i="5"/>
  <c r="G15" i="5"/>
  <c r="G10" i="5"/>
  <c r="F16" i="5"/>
  <c r="F10" i="5"/>
  <c r="C20" i="13" l="1"/>
  <c r="B20" i="13"/>
  <c r="K14" i="13" s="1"/>
  <c r="K8" i="13"/>
  <c r="F5" i="13"/>
  <c r="B2" i="14"/>
  <c r="B3" i="14"/>
  <c r="B13" i="14" s="1"/>
  <c r="J10" i="14"/>
  <c r="F9" i="14"/>
  <c r="F13" i="14" s="1"/>
  <c r="L8" i="13" l="1"/>
  <c r="C13" i="13"/>
  <c r="B13" i="13"/>
  <c r="G10" i="13"/>
  <c r="G13" i="13" s="1"/>
  <c r="B26" i="13"/>
  <c r="C27" i="13" s="1"/>
  <c r="J30" i="13"/>
  <c r="F33" i="12"/>
  <c r="F35" i="12" s="1"/>
  <c r="E5" i="12"/>
  <c r="E3" i="12"/>
  <c r="E1" i="12"/>
  <c r="K16" i="13" l="1"/>
  <c r="F10" i="13"/>
  <c r="F13" i="13" s="1"/>
  <c r="J9" i="10"/>
  <c r="K4" i="10"/>
  <c r="H9" i="10"/>
  <c r="D9" i="10"/>
  <c r="H5" i="10"/>
  <c r="K9" i="10" l="1"/>
  <c r="E53" i="5"/>
  <c r="C58" i="5"/>
  <c r="H42" i="5"/>
  <c r="H41" i="5"/>
  <c r="H43" i="5" s="1"/>
  <c r="N38" i="5" s="1"/>
  <c r="I37" i="5"/>
  <c r="J37" i="5" s="1"/>
  <c r="K37" i="5" s="1"/>
  <c r="I36" i="5"/>
  <c r="J36" i="5" s="1"/>
  <c r="K36" i="5" s="1"/>
  <c r="I16" i="5"/>
  <c r="H16" i="5"/>
  <c r="G16" i="5"/>
  <c r="K39" i="5" l="1"/>
  <c r="K38" i="5"/>
  <c r="J38" i="5"/>
  <c r="J39" i="5" s="1"/>
  <c r="A50" i="5"/>
  <c r="I38" i="5"/>
  <c r="I39" i="5" s="1"/>
  <c r="H38" i="5"/>
  <c r="H39" i="5" s="1"/>
  <c r="A46" i="5"/>
  <c r="L12" i="3" l="1"/>
  <c r="B40" i="9" l="1"/>
  <c r="E33" i="9"/>
  <c r="B42" i="9" s="1"/>
  <c r="I26" i="9"/>
  <c r="I28" i="9" s="1"/>
  <c r="H34" i="9"/>
  <c r="A36" i="9"/>
  <c r="B33" i="9"/>
  <c r="B35" i="9" s="1"/>
  <c r="C36" i="9" s="1"/>
  <c r="B41" i="9"/>
  <c r="B43" i="9" l="1"/>
  <c r="B45" i="9" s="1"/>
  <c r="B47" i="9" s="1"/>
  <c r="I20" i="9"/>
  <c r="C19" i="8"/>
  <c r="D20" i="8" s="1"/>
  <c r="B32" i="8"/>
  <c r="C28" i="8"/>
  <c r="D29" i="8" s="1"/>
  <c r="C31" i="8" s="1"/>
  <c r="D32" i="8" s="1"/>
  <c r="M12" i="8"/>
  <c r="L13" i="8" s="1"/>
  <c r="M14" i="8" s="1"/>
  <c r="H12" i="8"/>
  <c r="I13" i="8" s="1"/>
  <c r="H15" i="8" s="1"/>
  <c r="I16" i="8" s="1"/>
  <c r="C12" i="8"/>
  <c r="C15" i="8" s="1"/>
  <c r="D16" i="8" s="1"/>
  <c r="I9" i="8"/>
  <c r="C8" i="8"/>
  <c r="D9" i="8" s="1"/>
  <c r="D13" i="8" l="1"/>
  <c r="C24" i="8" s="1"/>
  <c r="I21" i="7"/>
  <c r="B72" i="7"/>
  <c r="C73" i="7" s="1"/>
  <c r="C61" i="7"/>
  <c r="C60" i="7"/>
  <c r="B64" i="7" s="1"/>
  <c r="C65" i="7" s="1"/>
  <c r="K26" i="7"/>
  <c r="I8" i="7" l="1"/>
  <c r="C14" i="7"/>
  <c r="I14" i="7" s="1"/>
  <c r="I17" i="7" s="1"/>
  <c r="C56" i="7"/>
  <c r="C55" i="7"/>
  <c r="B54" i="7"/>
  <c r="K21" i="7"/>
  <c r="K24" i="7" s="1"/>
  <c r="I7" i="7"/>
  <c r="I3" i="7"/>
  <c r="I2" i="7"/>
  <c r="I4" i="7"/>
  <c r="F7" i="7"/>
  <c r="F4" i="7"/>
  <c r="F3" i="7"/>
  <c r="F2" i="7"/>
  <c r="N10" i="5"/>
  <c r="A20" i="5"/>
  <c r="A36" i="5" s="1"/>
  <c r="A21" i="5"/>
  <c r="I10" i="7" l="1"/>
  <c r="B33" i="4"/>
  <c r="C29" i="4"/>
  <c r="D30" i="4" s="1"/>
  <c r="C32" i="4" s="1"/>
  <c r="D33" i="4" s="1"/>
  <c r="M12" i="4"/>
  <c r="L13" i="4" s="1"/>
  <c r="M14" i="4" s="1"/>
  <c r="H12" i="4"/>
  <c r="I13" i="4" s="1"/>
  <c r="H15" i="4" s="1"/>
  <c r="I16" i="4" s="1"/>
  <c r="C17" i="4"/>
  <c r="C20" i="4" s="1"/>
  <c r="D21" i="4" s="1"/>
  <c r="D18" i="4" l="1"/>
  <c r="H22" i="4" l="1"/>
  <c r="H23" i="4" s="1"/>
  <c r="C24" i="4"/>
  <c r="C26" i="4" s="1"/>
  <c r="D27" i="2"/>
  <c r="E123" i="2" l="1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C110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G95" i="2" s="1"/>
  <c r="C85" i="2"/>
  <c r="C79" i="2"/>
  <c r="C78" i="2"/>
  <c r="G78" i="2" s="1"/>
  <c r="C77" i="2"/>
  <c r="C76" i="2"/>
  <c r="G76" i="2" s="1"/>
  <c r="C75" i="2"/>
  <c r="C74" i="2"/>
  <c r="G74" i="2" s="1"/>
  <c r="C73" i="2"/>
  <c r="C72" i="2"/>
  <c r="G72" i="2" s="1"/>
  <c r="C71" i="2"/>
  <c r="D63" i="2"/>
  <c r="C63" i="2"/>
  <c r="H63" i="2" s="1"/>
  <c r="D62" i="2"/>
  <c r="C62" i="2"/>
  <c r="H62" i="2" s="1"/>
  <c r="D61" i="2"/>
  <c r="C61" i="2"/>
  <c r="D60" i="2"/>
  <c r="C60" i="2"/>
  <c r="H60" i="2" s="1"/>
  <c r="D59" i="2"/>
  <c r="C59" i="2"/>
  <c r="H59" i="2" s="1"/>
  <c r="D58" i="2"/>
  <c r="C58" i="2"/>
  <c r="H58" i="2" s="1"/>
  <c r="D57" i="2"/>
  <c r="C57" i="2"/>
  <c r="H57" i="2" s="1"/>
  <c r="D56" i="2"/>
  <c r="C56" i="2"/>
  <c r="H56" i="2" s="1"/>
  <c r="K55" i="2"/>
  <c r="K56" i="2" s="1"/>
  <c r="K57" i="2" s="1"/>
  <c r="K58" i="2" s="1"/>
  <c r="K59" i="2" s="1"/>
  <c r="K60" i="2" s="1"/>
  <c r="K61" i="2" s="1"/>
  <c r="K62" i="2" s="1"/>
  <c r="K63" i="2" s="1"/>
  <c r="C55" i="2"/>
  <c r="D49" i="2"/>
  <c r="C49" i="2"/>
  <c r="H49" i="2" s="1"/>
  <c r="D48" i="2"/>
  <c r="C48" i="2"/>
  <c r="H48" i="2" s="1"/>
  <c r="D47" i="2"/>
  <c r="C47" i="2"/>
  <c r="H47" i="2" s="1"/>
  <c r="D46" i="2"/>
  <c r="C46" i="2"/>
  <c r="H46" i="2" s="1"/>
  <c r="H45" i="2"/>
  <c r="D45" i="2"/>
  <c r="C45" i="2"/>
  <c r="D44" i="2"/>
  <c r="C44" i="2"/>
  <c r="H44" i="2" s="1"/>
  <c r="D43" i="2"/>
  <c r="C43" i="2"/>
  <c r="H43" i="2" s="1"/>
  <c r="K42" i="2"/>
  <c r="K43" i="2" s="1"/>
  <c r="K44" i="2" s="1"/>
  <c r="K45" i="2" s="1"/>
  <c r="K46" i="2" s="1"/>
  <c r="K47" i="2" s="1"/>
  <c r="K48" i="2" s="1"/>
  <c r="K49" i="2" s="1"/>
  <c r="D42" i="2"/>
  <c r="C42" i="2"/>
  <c r="H42" i="2" s="1"/>
  <c r="K41" i="2"/>
  <c r="D41" i="2"/>
  <c r="C41" i="2"/>
  <c r="G41" i="2" s="1"/>
  <c r="C35" i="2"/>
  <c r="D34" i="2"/>
  <c r="H34" i="2" s="1"/>
  <c r="D33" i="2"/>
  <c r="D32" i="2"/>
  <c r="H32" i="2" s="1"/>
  <c r="D31" i="2"/>
  <c r="D30" i="2"/>
  <c r="H30" i="2" s="1"/>
  <c r="D29" i="2"/>
  <c r="D28" i="2"/>
  <c r="H28" i="2" s="1"/>
  <c r="D26" i="2"/>
  <c r="H26" i="2" s="1"/>
  <c r="C20" i="2"/>
  <c r="G20" i="2" s="1"/>
  <c r="D20" i="2" s="1"/>
  <c r="C19" i="2"/>
  <c r="G19" i="2" s="1"/>
  <c r="D19" i="2" s="1"/>
  <c r="C18" i="2"/>
  <c r="G18" i="2" s="1"/>
  <c r="D18" i="2" s="1"/>
  <c r="C17" i="2"/>
  <c r="G17" i="2" s="1"/>
  <c r="D17" i="2" s="1"/>
  <c r="C16" i="2"/>
  <c r="G16" i="2" s="1"/>
  <c r="D16" i="2" s="1"/>
  <c r="C15" i="2"/>
  <c r="G15" i="2" s="1"/>
  <c r="D15" i="2" s="1"/>
  <c r="C14" i="2"/>
  <c r="G14" i="2" s="1"/>
  <c r="D14" i="2" s="1"/>
  <c r="C13" i="2"/>
  <c r="G13" i="2" s="1"/>
  <c r="D13" i="2" s="1"/>
  <c r="E13" i="2" s="1"/>
  <c r="K12" i="2"/>
  <c r="K13" i="2" s="1"/>
  <c r="K14" i="2" s="1"/>
  <c r="K15" i="2" s="1"/>
  <c r="K16" i="2" s="1"/>
  <c r="K17" i="2" s="1"/>
  <c r="K18" i="2" s="1"/>
  <c r="K19" i="2" s="1"/>
  <c r="K20" i="2" s="1"/>
  <c r="C12" i="2"/>
  <c r="G12" i="2" s="1"/>
  <c r="H41" i="2" l="1"/>
  <c r="F12" i="2"/>
  <c r="G93" i="2"/>
  <c r="G91" i="2"/>
  <c r="D92" i="2" s="1"/>
  <c r="E92" i="2" s="1"/>
  <c r="F92" i="2" s="1"/>
  <c r="G26" i="2"/>
  <c r="E28" i="2"/>
  <c r="E30" i="2"/>
  <c r="E32" i="2"/>
  <c r="E34" i="2"/>
  <c r="E42" i="2"/>
  <c r="F42" i="2" s="1"/>
  <c r="G42" i="2" s="1"/>
  <c r="E43" i="2" s="1"/>
  <c r="F43" i="2" s="1"/>
  <c r="E14" i="2"/>
  <c r="F13" i="2"/>
  <c r="H55" i="2"/>
  <c r="E55" i="2" s="1"/>
  <c r="H27" i="2"/>
  <c r="E27" i="2" s="1"/>
  <c r="H29" i="2"/>
  <c r="H31" i="2"/>
  <c r="E31" i="2" s="1"/>
  <c r="E59" i="2"/>
  <c r="H61" i="2"/>
  <c r="E61" i="2" s="1"/>
  <c r="F71" i="2"/>
  <c r="G71" i="2"/>
  <c r="C67" i="2" s="1"/>
  <c r="I110" i="2"/>
  <c r="F110" i="2" s="1"/>
  <c r="H110" i="2"/>
  <c r="I112" i="2"/>
  <c r="F112" i="2"/>
  <c r="I114" i="2"/>
  <c r="F114" i="2" s="1"/>
  <c r="E29" i="2"/>
  <c r="H33" i="2"/>
  <c r="E33" i="2" s="1"/>
  <c r="G55" i="2"/>
  <c r="E57" i="2"/>
  <c r="D94" i="2"/>
  <c r="D96" i="2"/>
  <c r="I111" i="2"/>
  <c r="F111" i="2"/>
  <c r="G111" i="2" s="1"/>
  <c r="G112" i="2" s="1"/>
  <c r="I113" i="2"/>
  <c r="F113" i="2" s="1"/>
  <c r="I115" i="2"/>
  <c r="F115" i="2" s="1"/>
  <c r="E56" i="2"/>
  <c r="F56" i="2" s="1"/>
  <c r="E58" i="2"/>
  <c r="E63" i="2"/>
  <c r="G73" i="2"/>
  <c r="G75" i="2"/>
  <c r="G77" i="2"/>
  <c r="G79" i="2"/>
  <c r="G96" i="2"/>
  <c r="G94" i="2"/>
  <c r="D95" i="2" s="1"/>
  <c r="G92" i="2"/>
  <c r="D93" i="2" s="1"/>
  <c r="E93" i="2" s="1"/>
  <c r="F91" i="2"/>
  <c r="E60" i="2"/>
  <c r="E62" i="2"/>
  <c r="G113" i="2" l="1"/>
  <c r="F27" i="2"/>
  <c r="F28" i="2" s="1"/>
  <c r="F29" i="2" s="1"/>
  <c r="G43" i="2"/>
  <c r="E44" i="2" s="1"/>
  <c r="F44" i="2" s="1"/>
  <c r="G28" i="2"/>
  <c r="E94" i="2"/>
  <c r="G27" i="2"/>
  <c r="E15" i="2"/>
  <c r="F14" i="2"/>
  <c r="F57" i="2"/>
  <c r="H111" i="2"/>
  <c r="G56" i="2"/>
  <c r="H112" i="2"/>
  <c r="F93" i="2"/>
  <c r="D72" i="2"/>
  <c r="E72" i="2" s="1"/>
  <c r="G114" i="2" l="1"/>
  <c r="H113" i="2"/>
  <c r="G44" i="2"/>
  <c r="E45" i="2" s="1"/>
  <c r="F45" i="2" s="1"/>
  <c r="F72" i="2"/>
  <c r="D73" i="2" s="1"/>
  <c r="E73" i="2" s="1"/>
  <c r="F30" i="2"/>
  <c r="G29" i="2"/>
  <c r="F58" i="2"/>
  <c r="G57" i="2"/>
  <c r="E16" i="2"/>
  <c r="F15" i="2"/>
  <c r="E95" i="2"/>
  <c r="F94" i="2"/>
  <c r="G115" i="2" l="1"/>
  <c r="H115" i="2" s="1"/>
  <c r="D116" i="2" s="1"/>
  <c r="I122" i="2" s="1"/>
  <c r="F122" i="2" s="1"/>
  <c r="H114" i="2"/>
  <c r="F73" i="2"/>
  <c r="D74" i="2" s="1"/>
  <c r="E74" i="2" s="1"/>
  <c r="G45" i="2"/>
  <c r="E46" i="2" s="1"/>
  <c r="F46" i="2" s="1"/>
  <c r="I123" i="2"/>
  <c r="F123" i="2" s="1"/>
  <c r="I121" i="2"/>
  <c r="F121" i="2" s="1"/>
  <c r="I120" i="2"/>
  <c r="F120" i="2" s="1"/>
  <c r="I119" i="2"/>
  <c r="F119" i="2" s="1"/>
  <c r="I118" i="2"/>
  <c r="F118" i="2" s="1"/>
  <c r="I117" i="2"/>
  <c r="F117" i="2" s="1"/>
  <c r="I116" i="2"/>
  <c r="F116" i="2" s="1"/>
  <c r="G116" i="2" s="1"/>
  <c r="E96" i="2"/>
  <c r="F95" i="2"/>
  <c r="E17" i="2"/>
  <c r="F16" i="2"/>
  <c r="F59" i="2"/>
  <c r="G58" i="2"/>
  <c r="F31" i="2"/>
  <c r="G30" i="2"/>
  <c r="G117" i="2" l="1"/>
  <c r="H116" i="2"/>
  <c r="G46" i="2"/>
  <c r="E47" i="2" s="1"/>
  <c r="F47" i="2" s="1"/>
  <c r="F74" i="2"/>
  <c r="D75" i="2" s="1"/>
  <c r="E75" i="2" s="1"/>
  <c r="F32" i="2"/>
  <c r="G31" i="2"/>
  <c r="F60" i="2"/>
  <c r="G59" i="2"/>
  <c r="E18" i="2"/>
  <c r="F17" i="2"/>
  <c r="F96" i="2"/>
  <c r="F75" i="2" l="1"/>
  <c r="D76" i="2" s="1"/>
  <c r="E76" i="2" s="1"/>
  <c r="G47" i="2"/>
  <c r="E48" i="2" s="1"/>
  <c r="F48" i="2" s="1"/>
  <c r="G104" i="2"/>
  <c r="G102" i="2"/>
  <c r="G100" i="2"/>
  <c r="G98" i="2"/>
  <c r="G103" i="2"/>
  <c r="G101" i="2"/>
  <c r="G99" i="2"/>
  <c r="G97" i="2"/>
  <c r="D104" i="2" s="1"/>
  <c r="E19" i="2"/>
  <c r="F18" i="2"/>
  <c r="F61" i="2"/>
  <c r="G60" i="2"/>
  <c r="F33" i="2"/>
  <c r="G32" i="2"/>
  <c r="G118" i="2"/>
  <c r="H117" i="2"/>
  <c r="G48" i="2" l="1"/>
  <c r="E49" i="2" s="1"/>
  <c r="F49" i="2" s="1"/>
  <c r="G49" i="2" s="1"/>
  <c r="F76" i="2"/>
  <c r="D77" i="2" s="1"/>
  <c r="E77" i="2" s="1"/>
  <c r="D97" i="2"/>
  <c r="E97" i="2" s="1"/>
  <c r="D99" i="2"/>
  <c r="D101" i="2"/>
  <c r="D103" i="2"/>
  <c r="G119" i="2"/>
  <c r="H118" i="2"/>
  <c r="F34" i="2"/>
  <c r="G34" i="2" s="1"/>
  <c r="G33" i="2"/>
  <c r="F62" i="2"/>
  <c r="G61" i="2"/>
  <c r="E20" i="2"/>
  <c r="F20" i="2" s="1"/>
  <c r="F19" i="2"/>
  <c r="D98" i="2"/>
  <c r="D100" i="2"/>
  <c r="D102" i="2"/>
  <c r="F77" i="2" l="1"/>
  <c r="D78" i="2" s="1"/>
  <c r="E78" i="2" s="1"/>
  <c r="F63" i="2"/>
  <c r="G63" i="2" s="1"/>
  <c r="G62" i="2"/>
  <c r="G120" i="2"/>
  <c r="H119" i="2"/>
  <c r="E98" i="2"/>
  <c r="F97" i="2"/>
  <c r="F78" i="2" l="1"/>
  <c r="D79" i="2" s="1"/>
  <c r="E79" i="2" s="1"/>
  <c r="F79" i="2" s="1"/>
  <c r="E99" i="2"/>
  <c r="F98" i="2"/>
  <c r="G121" i="2"/>
  <c r="H120" i="2"/>
  <c r="G122" i="2" l="1"/>
  <c r="H121" i="2"/>
  <c r="E100" i="2"/>
  <c r="F99" i="2"/>
  <c r="E101" i="2" l="1"/>
  <c r="F100" i="2"/>
  <c r="G123" i="2"/>
  <c r="H123" i="2" s="1"/>
  <c r="H122" i="2"/>
  <c r="E102" i="2" l="1"/>
  <c r="F101" i="2"/>
  <c r="E103" i="2" l="1"/>
  <c r="F102" i="2"/>
  <c r="E104" i="2" l="1"/>
  <c r="F104" i="2" s="1"/>
  <c r="F103" i="2"/>
  <c r="E22" i="3" l="1"/>
  <c r="F11" i="3" s="1"/>
  <c r="H11" i="3" s="1"/>
  <c r="F21" i="3" l="1"/>
  <c r="H21" i="3" s="1"/>
  <c r="H22" i="3" s="1"/>
  <c r="A40" i="3" s="1"/>
  <c r="F22" i="3" l="1"/>
  <c r="B22" i="3"/>
  <c r="L26" i="3" l="1"/>
  <c r="N25" i="3" s="1"/>
  <c r="L23" i="3"/>
  <c r="N2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tc={F3972EFD-E394-4A94-BC6D-2CA497D817CB}</author>
    <author>tc={89812004-F8B6-4D6D-BF38-10405F35CD16}</author>
    <author>tc={87FD2BFB-EB13-4347-B643-B07ACFC7AB16}</author>
  </authors>
  <commentList>
    <comment ref="C3" authorId="0" shapeId="0" xr:uid="{F3972EFD-E394-4A94-BC6D-2CA497D817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 acciones que estoy autorizado a emitir que se definen cuando se constituye la sociedad.</t>
      </text>
    </comment>
    <comment ref="E5" authorId="1" shapeId="0" xr:uid="{89812004-F8B6-4D6D-BF38-10405F35CD1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es al K Suscrito y Pagado expresado en valores NOMINALES</t>
      </text>
    </comment>
    <comment ref="E8" authorId="2" shapeId="0" xr:uid="{87FD2BFB-EB13-4347-B643-B07ACFC7AB1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se tiene en cuenta como utilidades. Sino como un mayor valor aportado por los accionistas.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Sanchez Garrido</author>
    <author>UNIVERSIDAD EAFIT</author>
  </authors>
  <commentList>
    <comment ref="A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una segregación del efectivo con una finalidad especifica</t>
        </r>
      </text>
    </comment>
    <comment ref="E1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Va a estar a valores nominales de las acciones</t>
        </r>
      </text>
    </comment>
    <comment ref="A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DEP= ACT TAN
AMOR=ACT int
agot= rec nat aCTivos biologicos</t>
        </r>
      </text>
    </comment>
    <comment ref="D1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Una reserva es una apropiación de las utilidades con una finalidad especifica, que no implica moviento del efectivo, ni cuando la creamos, ni cuando la aplicamos</t>
        </r>
      </text>
    </comment>
    <comment ref="E20" authorId="1" shapeId="0" xr:uid="{00000000-0006-0000-0000-000005000000}">
      <text>
        <r>
          <rPr>
            <b/>
            <sz val="9"/>
            <color indexed="81"/>
            <rFont val="Tahoma"/>
            <charset val="1"/>
          </rPr>
          <t>UNIVERSIDAD EAFIT: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Sanchez Garrido</author>
  </authors>
  <commentList>
    <comment ref="D21" authorId="0" shapeId="0" xr:uid="{00000000-0006-0000-0E00-000001000000}">
      <text>
        <r>
          <rPr>
            <b/>
            <sz val="9"/>
            <color indexed="81"/>
            <rFont val="Tahoma"/>
            <charset val="1"/>
          </rPr>
          <t>Leonardo Sanchez Garrido:</t>
        </r>
        <r>
          <rPr>
            <sz val="9"/>
            <color indexed="81"/>
            <rFont val="Tahoma"/>
            <charset val="1"/>
          </rPr>
          <t xml:space="preserve">
Todas aquellas partidas que van sumando en el Estado de resultados y no significaron entrada rea de recursos o efectivo o aquellas partidas que van en el Estado de resultados  restando y no significaron salida real de recursos o de efectivo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Sánchez Garrido</author>
    <author>Leonardo Sanchez Garrido</author>
    <author>Audiovisuales</author>
  </authors>
  <commentList>
    <comment ref="G14" authorId="0" shapeId="0" xr:uid="{00000000-0006-0000-1500-000001000000}">
      <text>
        <r>
          <rPr>
            <sz val="9"/>
            <color indexed="81"/>
            <rFont val="Tahoma"/>
            <family val="2"/>
          </rPr>
          <t>Acciones en  reserva o por suscribir.</t>
        </r>
      </text>
    </comment>
    <comment ref="K14" authorId="0" shapeId="0" xr:uid="{00000000-0006-0000-1500-000002000000}">
      <text>
        <r>
          <rPr>
            <sz val="9"/>
            <color indexed="81"/>
            <rFont val="Tahoma"/>
            <family val="2"/>
          </rPr>
          <t>Acciones en  reserva o por suscribir</t>
        </r>
      </text>
    </comment>
    <comment ref="G15" authorId="0" shapeId="0" xr:uid="{00000000-0006-0000-1500-000003000000}">
      <text>
        <r>
          <rPr>
            <sz val="9"/>
            <color indexed="81"/>
            <rFont val="Tahoma"/>
            <family val="2"/>
          </rPr>
          <t>Las acciones en circulación = acciones suscritas y pagadas - acciones en tesorería.</t>
        </r>
      </text>
    </comment>
    <comment ref="K15" authorId="0" shapeId="0" xr:uid="{00000000-0006-0000-1500-000004000000}">
      <text>
        <r>
          <rPr>
            <sz val="9"/>
            <color indexed="81"/>
            <rFont val="Tahoma"/>
            <family val="2"/>
          </rPr>
          <t>Las acciones en circulación = acciones suscritas y pagadas - acciones en tesorería</t>
        </r>
      </text>
    </comment>
    <comment ref="E18" authorId="1" shapeId="0" xr:uid="{00000000-0006-0000-1500-000005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la difrencia entre el valor de mercado o de colocación, menos el valor nominal: es un mayor valor aportado por los accionistas</t>
        </r>
      </text>
    </comment>
    <comment ref="H18" authorId="2" shapeId="0" xr:uid="{00000000-0006-0000-1500-000006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el diferencial entre el valor de mercado de $13 y el valor nominal de la acción de $10</t>
        </r>
      </text>
    </comment>
    <comment ref="I18" authorId="1" shapeId="0" xr:uid="{00000000-0006-0000-1500-000007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No es una utilidad en venta de acciones, es un mayr valor aportado por los nuevos accionistas
</t>
        </r>
      </text>
    </comment>
    <comment ref="E19" authorId="1" shapeId="0" xr:uid="{00000000-0006-0000-1500-000008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diferencial entre el nuevo valor de venta de la acción, menos el valor de readquisición</t>
        </r>
      </text>
    </comment>
    <comment ref="G19" authorId="2" shapeId="0" xr:uid="{00000000-0006-0000-1500-000009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Son las nuevas 10 acciones recolocadas en el mercado a los nuevos accionistas</t>
        </r>
      </text>
    </comment>
    <comment ref="H19" authorId="2" shapeId="0" xr:uid="{00000000-0006-0000-1500-00000A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el diferencial entre el nuevo valor de venta o colocación de $17, menos los $15 que fue el valor de la readquisición</t>
        </r>
      </text>
    </comment>
    <comment ref="E20" authorId="1" shapeId="0" xr:uid="{00000000-0006-0000-1500-00000B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diferencial a como van a recibir las acciones los señores accinostas, producto del decreto de dividendos en acciones, menos el valor nominal (Las acciones se recibiran a valor de mercado del cierre de las utilidades a repartir)</t>
        </r>
      </text>
    </comment>
    <comment ref="B23" authorId="1" shapeId="0" xr:uid="{00000000-0006-0000-1500-00000C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Reservas son apropiaciones de utilidades con una finalidad especifica, que no implican movimiento del efectivo ni cuando se crean ni cuando se aplican o utilizan.
La reserva legal es minimamente el 10% de las utilidades del ejercicio y será obligatorio, hasta que esta alcance minimamente el 50% del capital social</t>
        </r>
      </text>
    </comment>
    <comment ref="M23" authorId="2" shapeId="0" xr:uid="{00000000-0006-0000-1500-00000D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la reserva legal que viene de diciembre de 2019, mas la apropiación del 10% de la utilidad del ejercicio</t>
        </r>
      </text>
    </comment>
    <comment ref="G25" authorId="0" shapeId="0" xr:uid="{00000000-0006-0000-1500-00000E000000}">
      <text>
        <r>
          <rPr>
            <sz val="9"/>
            <color indexed="81"/>
            <rFont val="Tahoma"/>
            <family val="2"/>
          </rPr>
          <t>Total de acciones en tesoreria o propias readquiridas</t>
        </r>
      </text>
    </comment>
    <comment ref="H25" authorId="2" shapeId="0" xr:uid="{00000000-0006-0000-1500-00000F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5" authorId="2" shapeId="0" xr:uid="{00000000-0006-0000-1500-000010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L</t>
        </r>
      </text>
    </comment>
    <comment ref="K25" authorId="0" shapeId="0" xr:uid="{00000000-0006-0000-1500-000011000000}">
      <text>
        <r>
          <rPr>
            <sz val="9"/>
            <color indexed="81"/>
            <rFont val="Tahoma"/>
            <family val="2"/>
          </rPr>
          <t>Total de acciones en tesoreria o propias readquiridas</t>
        </r>
      </text>
    </comment>
    <comment ref="L25" authorId="2" shapeId="0" xr:uid="{00000000-0006-0000-1500-000012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" authorId="1" shapeId="0" xr:uid="{00000000-0006-0000-1500-000013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Debe coincidir la utilidad neta del estado de resultados con la utilidad neta presentada en el patromonio</t>
        </r>
      </text>
    </comment>
    <comment ref="I33" authorId="2" shapeId="0" xr:uid="{00000000-0006-0000-1500-000014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Son las utilidades de ejercicios anteriores, mas las utilidades del ejercicio del año 2018, las cuales no se repartieron</t>
        </r>
      </text>
    </comment>
    <comment ref="I36" authorId="2" shapeId="0" xr:uid="{00000000-0006-0000-1500-000015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la acumulación de los otros resulatdos integradles que vienen del año anterior +ó- los resultados integrales del periodo que pueden ser de naturaleaza debito(que se restan) o credito(que se suman).
Todas las partidas del patrimonio en terminos normales son de nmaturaleza credito y por tal razón las partidas debidos se muestran restando o negativas</t>
        </r>
      </text>
    </comment>
    <comment ref="B43" authorId="1" shapeId="0" xr:uid="{00000000-0006-0000-1500-000016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Son las acciones suscritas y pagadas, menos las acciones propias readquiridas o en tesoreria</t>
        </r>
      </text>
    </comment>
    <comment ref="C43" authorId="1" shapeId="0" xr:uid="{00000000-0006-0000-1500-000017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Son iguakes a las acciones suscritas y pagadas, menos las acciones en tesoreria</t>
        </r>
      </text>
    </comment>
    <comment ref="H43" authorId="2" shapeId="0" xr:uid="{00000000-0006-0000-1500-000018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Son la diferencia entre las acciones en circulacion de las suscritas y pagadas, menos las acciones en tesoreria</t>
        </r>
      </text>
    </comment>
    <comment ref="H49" authorId="1" shapeId="0" xr:uid="{00000000-0006-0000-1500-000019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total del patrimonio, dividido entre el numero de acciones en circulación</t>
        </r>
      </text>
    </comment>
    <comment ref="L49" authorId="1" shapeId="0" xr:uid="{00000000-0006-0000-1500-00001A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total del patrimonio, dividido entre el numero de acciones en circulación</t>
        </r>
      </text>
    </comment>
    <comment ref="B50" authorId="1" shapeId="0" xr:uid="{00000000-0006-0000-1500-00001B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Sale de dividir el total de la utilidad del ejercicio entre el numero de acciones en circulación</t>
        </r>
      </text>
    </comment>
    <comment ref="E86" authorId="1" shapeId="0" xr:uid="{00000000-0006-0000-1500-00001C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diferencial entre el nuevo valor de mercado de recolocación, menos el valor de readquisición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Sánchez Garrido</author>
    <author>Leonardo Sanchez Garrido</author>
    <author>Audiovisuales</author>
    <author>tc={2636BED2-5386-4A84-BEC1-1137A6D26B47}</author>
  </authors>
  <commentList>
    <comment ref="K14" authorId="0" shapeId="0" xr:uid="{00000000-0006-0000-1600-000002000000}">
      <text>
        <r>
          <rPr>
            <sz val="9"/>
            <color indexed="81"/>
            <rFont val="Tahoma"/>
            <family val="2"/>
          </rPr>
          <t>Acciones en  reserva o por suscribir</t>
        </r>
      </text>
    </comment>
    <comment ref="G15" authorId="0" shapeId="0" xr:uid="{00000000-0006-0000-1600-000003000000}">
      <text>
        <r>
          <rPr>
            <sz val="9"/>
            <color indexed="81"/>
            <rFont val="Tahoma"/>
            <family val="2"/>
          </rPr>
          <t>Las acciones en circulación = acciones suscritas y pagadas - acciones en tesorería.</t>
        </r>
      </text>
    </comment>
    <comment ref="K15" authorId="0" shapeId="0" xr:uid="{00000000-0006-0000-1600-000004000000}">
      <text>
        <r>
          <rPr>
            <sz val="9"/>
            <color indexed="81"/>
            <rFont val="Tahoma"/>
            <family val="2"/>
          </rPr>
          <t>Las acciones en circulación = acciones suscritas y pagadas - acciones en tesorería</t>
        </r>
      </text>
    </comment>
    <comment ref="E18" authorId="1" shapeId="0" xr:uid="{00000000-0006-0000-1600-000005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la difrencia entre el valor de mercado o de colocación, menos el valor nominal: es un mayor valor aportado por los accionistas</t>
        </r>
      </text>
    </comment>
    <comment ref="H18" authorId="2" shapeId="0" xr:uid="{00000000-0006-0000-1600-000006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el diferencial entre el valor de mercado de $13 y el valor nominal de la acción de $10</t>
        </r>
      </text>
    </comment>
    <comment ref="I18" authorId="1" shapeId="0" xr:uid="{00000000-0006-0000-1600-000007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No es una utilidad en venta de acciones, es un mayr valor aportado por los nuevos accionistas
</t>
        </r>
      </text>
    </comment>
    <comment ref="E19" authorId="1" shapeId="0" xr:uid="{00000000-0006-0000-1600-000008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diferencial entre el nuevo valor de venta de la acción, menos el valor de readquisición</t>
        </r>
      </text>
    </comment>
    <comment ref="G19" authorId="2" shapeId="0" xr:uid="{00000000-0006-0000-1600-000009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Son las nuevas 10 acciones recolocadas en el mercado a los nuevos accionistas</t>
        </r>
      </text>
    </comment>
    <comment ref="H19" authorId="2" shapeId="0" xr:uid="{00000000-0006-0000-1600-00000A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el diferencial entre el nuevo valor de venta o colocación de $17, menos los $15 que fue el valor de la readquisición</t>
        </r>
      </text>
    </comment>
    <comment ref="E20" authorId="1" shapeId="0" xr:uid="{00000000-0006-0000-1600-00000B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diferencial a como van a recibir las acciones los señores accinostas, producto del decreto de dividendos en acciones, menos el valor nominal (Las acciones se recibiran a valor de mercado del cierre de las utilidades a repartir)</t>
        </r>
      </text>
    </comment>
    <comment ref="B23" authorId="1" shapeId="0" xr:uid="{00000000-0006-0000-1600-00000C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Reservas son apropiaciones de utilidades con una finalidad especifica, que no implican movimiento del efectivo ni cuando se crean ni cuando se aplican o utilizan.
La reserva legal es minimamente el 10% de las utilidades del ejercicio y será obligatorio, hasta que esta alcance minimamente el 50% del capital social</t>
        </r>
      </text>
    </comment>
    <comment ref="M23" authorId="2" shapeId="0" xr:uid="{00000000-0006-0000-1600-00000D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la reserva legal que viene de diciembre de 2019, mas la apropiación del 10% de la utilidad del ejercicio</t>
        </r>
      </text>
    </comment>
    <comment ref="G25" authorId="0" shapeId="0" xr:uid="{00000000-0006-0000-1600-00000E000000}">
      <text>
        <r>
          <rPr>
            <sz val="9"/>
            <color indexed="81"/>
            <rFont val="Tahoma"/>
            <family val="2"/>
          </rPr>
          <t>Total de acciones en tesoreria o propias readquiridas</t>
        </r>
      </text>
    </comment>
    <comment ref="H25" authorId="2" shapeId="0" xr:uid="{00000000-0006-0000-1600-00000F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5" authorId="2" shapeId="0" xr:uid="{00000000-0006-0000-1600-000010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L</t>
        </r>
      </text>
    </comment>
    <comment ref="K25" authorId="0" shapeId="0" xr:uid="{00000000-0006-0000-1600-000011000000}">
      <text>
        <r>
          <rPr>
            <sz val="9"/>
            <color indexed="81"/>
            <rFont val="Tahoma"/>
            <family val="2"/>
          </rPr>
          <t>Total de acciones en tesoreria o propias readquiridas</t>
        </r>
      </text>
    </comment>
    <comment ref="L25" authorId="2" shapeId="0" xr:uid="{00000000-0006-0000-1600-000012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" authorId="1" shapeId="0" xr:uid="{00000000-0006-0000-1600-000013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Debe coincidir la utilidad neta del estado de resultados con la utilidad neta presentada en el patromonio</t>
        </r>
      </text>
    </comment>
    <comment ref="I33" authorId="2" shapeId="0" xr:uid="{00000000-0006-0000-1600-000014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Son las utilidades de ejercicios anteriores, mas las utilidades del ejercicio del año 2018, las cuales no se repartieron</t>
        </r>
      </text>
    </comment>
    <comment ref="I36" authorId="2" shapeId="0" xr:uid="{00000000-0006-0000-1600-000015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la acumulación de los otros resulatdos integradles que vienen del año anterior +ó- los resultados integrales del periodo que pueden ser de naturaleaza debito(que se restan) o credito(que se suman).
Todas las partidas del patrimonio en terminos normales son de nmaturaleza credito y por tal razón las partidas debidos se muestran restando o negativas</t>
        </r>
      </text>
    </comment>
    <comment ref="B43" authorId="1" shapeId="0" xr:uid="{00000000-0006-0000-1600-000016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Son las acciones suscritas y pagadas, menos las acciones propias readquiridas o en tesoreria</t>
        </r>
      </text>
    </comment>
    <comment ref="C43" authorId="1" shapeId="0" xr:uid="{00000000-0006-0000-1600-000017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Son iguakes a las acciones suscritas y pagadas, menos las acciones en tesoreria</t>
        </r>
      </text>
    </comment>
    <comment ref="H43" authorId="2" shapeId="0" xr:uid="{00000000-0006-0000-1600-000018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Son la diferencia entre las acciones en circulacion de las suscritas y pagadas, menos las acciones en tesoreria</t>
        </r>
      </text>
    </comment>
    <comment ref="H49" authorId="1" shapeId="0" xr:uid="{00000000-0006-0000-1600-000019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total del patrimonio, dividido entre el numero de acciones en circulación</t>
        </r>
      </text>
    </comment>
    <comment ref="L49" authorId="1" shapeId="0" xr:uid="{00000000-0006-0000-1600-00001A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total del patrimonio, dividido entre el numero de acciones en circulación</t>
        </r>
      </text>
    </comment>
    <comment ref="B50" authorId="1" shapeId="0" xr:uid="{00000000-0006-0000-1600-00001B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Sale de dividir el total de la utilidad del ejercicio entre el numero de acciones en circulación</t>
        </r>
      </text>
    </comment>
    <comment ref="D73" authorId="3" shapeId="0" xr:uid="{2636BED2-5386-4A84-BEC1-1137A6D26B4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es una utilidad. Es un mayor valor aportados por los accionistas para entrar a gozar de los beneficios económicos de la entidad o la empresa.</t>
      </text>
    </comment>
    <comment ref="E86" authorId="1" shapeId="0" xr:uid="{00000000-0006-0000-1600-00001C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diferencial entre el nuevo valor de mercado de recolocación, menos el valor de readquisición
</t>
        </r>
      </text>
    </comment>
  </commentList>
</comments>
</file>

<file path=xl/sharedStrings.xml><?xml version="1.0" encoding="utf-8"?>
<sst xmlns="http://schemas.openxmlformats.org/spreadsheetml/2006/main" count="2912" uniqueCount="1134">
  <si>
    <r>
      <t xml:space="preserve">COMPAÑIA LAS SABROSITAS SAS </t>
    </r>
    <r>
      <rPr>
        <b/>
        <sz val="11"/>
        <color rgb="FFFF0000"/>
        <rFont val="Calibri"/>
        <family val="2"/>
        <scheme val="minor"/>
      </rPr>
      <t>CAUSACIÓN, ACUMULACIÓN DEVENGO</t>
    </r>
  </si>
  <si>
    <t>COMPAÑIA LAS SABROSITAS SAS</t>
  </si>
  <si>
    <t>ESTADO DE SITUACION FINANCIERA</t>
  </si>
  <si>
    <t>ESTADO DE RESULTADOS</t>
  </si>
  <si>
    <t>ACTIVOS</t>
  </si>
  <si>
    <t>PASIVOS</t>
  </si>
  <si>
    <t>AÑO 2020</t>
  </si>
  <si>
    <t>EXPLICACIÓN DE CONFORMACIÓN EFECTIVO</t>
  </si>
  <si>
    <t>Efectivo y equivalentes de efectivo</t>
  </si>
  <si>
    <t>OPEX CP</t>
  </si>
  <si>
    <t>Obligaciones financieras</t>
  </si>
  <si>
    <t>Ventas</t>
  </si>
  <si>
    <t>efectivo</t>
  </si>
  <si>
    <t>Inventario</t>
  </si>
  <si>
    <t>Impuesto renta por pagar</t>
  </si>
  <si>
    <t>Costo nomina</t>
  </si>
  <si>
    <t>nomina del proximo PyG</t>
  </si>
  <si>
    <t>Provisión Inventario</t>
  </si>
  <si>
    <t>Dividendos por pagar en efectivo</t>
  </si>
  <si>
    <t>Costo materiales</t>
  </si>
  <si>
    <t>utilidad</t>
  </si>
  <si>
    <t>CxC</t>
  </si>
  <si>
    <t>Retencion en la fuente por pagar</t>
  </si>
  <si>
    <t>Costo depreciación</t>
  </si>
  <si>
    <t>dian</t>
  </si>
  <si>
    <t>Activo financiero:Instrumentos de patrimonio</t>
  </si>
  <si>
    <t>Ingreso o gasto finaciero No Operacional</t>
  </si>
  <si>
    <t>capital incial accionistas</t>
  </si>
  <si>
    <t>Fondo PROREPOSICIÓN FRITADORA</t>
  </si>
  <si>
    <t>utilidad antes de impuestos</t>
  </si>
  <si>
    <t>depreciacion</t>
  </si>
  <si>
    <t>Activo finanicero: CDT, Fiducuenta, FIDI, Portafolio acciones</t>
  </si>
  <si>
    <t>Total pasivos</t>
  </si>
  <si>
    <t>Provisión impuesto de renta</t>
  </si>
  <si>
    <t>Total activos corrientes</t>
  </si>
  <si>
    <t>=</t>
  </si>
  <si>
    <t>Utilidad Neta del ejercicio</t>
  </si>
  <si>
    <t>Credito mercatil Plusvalia Good will</t>
  </si>
  <si>
    <t>CAPEX LP</t>
  </si>
  <si>
    <t>ORI. Reavaluacion de instrumentos de patrimonio a valores razonable</t>
  </si>
  <si>
    <t>Marca</t>
  </si>
  <si>
    <t>PATRIMONIO</t>
  </si>
  <si>
    <t>TOTAL RESULTADOS INTEGRALES</t>
  </si>
  <si>
    <t>Fritadora bruta: PPyE</t>
  </si>
  <si>
    <t>Capital social</t>
  </si>
  <si>
    <t>Depreciación acumulada</t>
  </si>
  <si>
    <t>Prima en colocación de acciones</t>
  </si>
  <si>
    <t xml:space="preserve">EBITDA </t>
  </si>
  <si>
    <t>Fritadora II</t>
  </si>
  <si>
    <t>Reserva legal</t>
  </si>
  <si>
    <t>EBITDA=UTILIDAD OPERACIONAL + Depreciaciones+Amortizaciones</t>
  </si>
  <si>
    <t>Congelador</t>
  </si>
  <si>
    <t>Reserva para futuro ensanches</t>
  </si>
  <si>
    <t>PROYECTO DE DISTRIBUCIÓN DE UTILIDADES; 9 MARZO DE 2021</t>
  </si>
  <si>
    <t>Molino electrico maiz= Inc CAPEX</t>
  </si>
  <si>
    <t>Utlidaddes de ejercicios anteriores</t>
  </si>
  <si>
    <t>Utilidad del ejercicio</t>
  </si>
  <si>
    <t>Reserva futuros ensanches</t>
  </si>
  <si>
    <t>Total activos no corrientes</t>
  </si>
  <si>
    <t>Total patrimonio</t>
  </si>
  <si>
    <t>Dividendos en efectivo</t>
  </si>
  <si>
    <t>Total activos</t>
  </si>
  <si>
    <t>Total pasivos + patrimonio</t>
  </si>
  <si>
    <t>Utilidades de ejercicios anteriores</t>
  </si>
  <si>
    <t>RAT</t>
  </si>
  <si>
    <t>VALOR DE MERCADO FRITADORA SEGÚNPERITO</t>
  </si>
  <si>
    <t>REVALUACION DE LA FRITADORA SEGÚN PERITO</t>
  </si>
  <si>
    <t>rotacion de activos totales</t>
  </si>
  <si>
    <t>ROA</t>
  </si>
  <si>
    <t>Que pasa si aparece un comprador de fritadoras y se la vendo en $76</t>
  </si>
  <si>
    <t>Activos totales</t>
  </si>
  <si>
    <t>Fritadora Bruta</t>
  </si>
  <si>
    <t>Deperaciacion acumulada</t>
  </si>
  <si>
    <t>Rentabilidad activo total</t>
  </si>
  <si>
    <t>Utilidad Neta</t>
  </si>
  <si>
    <t>MN</t>
  </si>
  <si>
    <t>Valor neto fritadoa</t>
  </si>
  <si>
    <t>Activos Totales</t>
  </si>
  <si>
    <t>Revaluacion fritadora</t>
  </si>
  <si>
    <t>AUM EFECTIVO</t>
  </si>
  <si>
    <t>Toatl fritadora en ESF</t>
  </si>
  <si>
    <t>DIS DEPRECIACION ACUULAD</t>
  </si>
  <si>
    <t>Margen Neto</t>
  </si>
  <si>
    <t>Dis fritadora</t>
  </si>
  <si>
    <t>Actes+Act Fijos</t>
  </si>
  <si>
    <t>Venta de fritadora en</t>
  </si>
  <si>
    <t>INO Ede R UTILIDAD VENTA PPyE</t>
  </si>
  <si>
    <t>Utilida en venta de fritaDORA</t>
  </si>
  <si>
    <t>Ingreso en el ER no operacional</t>
  </si>
  <si>
    <t>Costo de capital ANUAL</t>
  </si>
  <si>
    <t>Tasa de rentabilidad accionistas=TIO=TMRRaccionista</t>
  </si>
  <si>
    <t>Tasa de rentabiliodad del patrimonio</t>
  </si>
  <si>
    <t>Rentabilidad activo operaciona</t>
  </si>
  <si>
    <t>Utilidad Operacional</t>
  </si>
  <si>
    <t>WACC=COSTO PROMEDIO PONDERADO de las fuentes de financiación</t>
  </si>
  <si>
    <t>Tasa de rentabilidad de los activos</t>
  </si>
  <si>
    <t>Activos Operacionales</t>
  </si>
  <si>
    <t>Tasa de endeudamiento empresarial</t>
  </si>
  <si>
    <t>Tasa de endeudamiento</t>
  </si>
  <si>
    <t>Tasa de captación sector financiero</t>
  </si>
  <si>
    <t>Tasa de captación del SF</t>
  </si>
  <si>
    <t>Inflación</t>
  </si>
  <si>
    <t>4 fuentes de financiación:</t>
  </si>
  <si>
    <t>Deuda</t>
  </si>
  <si>
    <t>Capital social accionistas</t>
  </si>
  <si>
    <t>Desinversion</t>
  </si>
  <si>
    <t>Recursos propios</t>
  </si>
  <si>
    <t>UTILIDAD, EBITDA, GIFO</t>
  </si>
  <si>
    <t>DESCRIPCIÓN DE TRANSACCIONES:</t>
  </si>
  <si>
    <t xml:space="preserve">1) </t>
  </si>
  <si>
    <t>Aporte de capital de los accionistas por $100 de los cuales 20 son a valores nominales y $80 de la prima en colocación de acciones</t>
  </si>
  <si>
    <t xml:space="preserve">2) </t>
  </si>
  <si>
    <t>Compra de una fritadora por valor de $80, de los cuales $50 son pagados de contado y $30 a credito a 5 años</t>
  </si>
  <si>
    <t>3)</t>
  </si>
  <si>
    <t>Compra de inventarios (capital de trabajo a corto plazo) por valor de $10, de los cuales $7 son de contado y $3 a credito a 60 días</t>
  </si>
  <si>
    <t>4)</t>
  </si>
  <si>
    <t>Vendemos $50 de los cuales $35 son de contado y $15 en cartera comercial a 30 días</t>
  </si>
  <si>
    <t>5)</t>
  </si>
  <si>
    <t xml:space="preserve">Los costos asociados a las ventas son: La nómina del periodo por $9 la cual se cancela de contado, </t>
  </si>
  <si>
    <t>6)</t>
  </si>
  <si>
    <t>El costo de los materiales directos por $8 los cuales son consumidos del inventario</t>
  </si>
  <si>
    <t>7)</t>
  </si>
  <si>
    <t>El costo por la depreciación de la fritadora por valor de $7</t>
  </si>
  <si>
    <t>8)</t>
  </si>
  <si>
    <t>Recaudamos $14 de las cuentas por cobrar</t>
  </si>
  <si>
    <t>CAMBIOS EN LA SITUACIÓN FINANCIERA = EFAF</t>
  </si>
  <si>
    <t>FLUJO DE CAJA</t>
  </si>
  <si>
    <t>FLUJO DE EFECTIVO DIRECTO</t>
  </si>
  <si>
    <t>FLUJO DE EFECTIVO INDIRECTO</t>
  </si>
  <si>
    <t>TRANSACCIÓN</t>
  </si>
  <si>
    <t>ESTADO DE SITUACIÓN FINANCIERA</t>
  </si>
  <si>
    <t xml:space="preserve">Fuentes </t>
  </si>
  <si>
    <t>Aplicaciones</t>
  </si>
  <si>
    <t>Entradas</t>
  </si>
  <si>
    <t>Salidas</t>
  </si>
  <si>
    <t>Operación</t>
  </si>
  <si>
    <t>Inversión</t>
  </si>
  <si>
    <t>Financiación</t>
  </si>
  <si>
    <t>FNE total</t>
  </si>
  <si>
    <t>Activos</t>
  </si>
  <si>
    <t>Pasivos + Patrimonio</t>
  </si>
  <si>
    <t>Aporte de capital</t>
  </si>
  <si>
    <t>1)</t>
  </si>
  <si>
    <t>AUM Efectivo $100</t>
  </si>
  <si>
    <t>Efectivo</t>
  </si>
  <si>
    <t xml:space="preserve">Capital Social </t>
  </si>
  <si>
    <t>EGO</t>
  </si>
  <si>
    <t>EGI</t>
  </si>
  <si>
    <t>EGF</t>
  </si>
  <si>
    <t>PSEUDO EGO</t>
  </si>
  <si>
    <t>AUM Capital social             $20</t>
  </si>
  <si>
    <t>Prima en Colo Acciones</t>
  </si>
  <si>
    <t>No hay movimiento todavia</t>
  </si>
  <si>
    <t>Prima en colo accion</t>
  </si>
  <si>
    <t>No hay salidas</t>
  </si>
  <si>
    <t>ECO</t>
  </si>
  <si>
    <t>ECI</t>
  </si>
  <si>
    <t>ECF</t>
  </si>
  <si>
    <t>PSEUDO ECO</t>
  </si>
  <si>
    <t>AUM Prima en colo accione$80</t>
  </si>
  <si>
    <t>Total Pas + Pat</t>
  </si>
  <si>
    <t>Total fuentes</t>
  </si>
  <si>
    <t>Total aplicaciones</t>
  </si>
  <si>
    <t>Total Entradas</t>
  </si>
  <si>
    <t>Total Salidas</t>
  </si>
  <si>
    <t>Total FNEoperación</t>
  </si>
  <si>
    <t>Total FNEinversión</t>
  </si>
  <si>
    <t>Total FNEfinanciación</t>
  </si>
  <si>
    <t>CxP Fritadora cp</t>
  </si>
  <si>
    <t>2)</t>
  </si>
  <si>
    <t>AUM fritadora $80</t>
  </si>
  <si>
    <t>Inventarios</t>
  </si>
  <si>
    <t>Proveedores</t>
  </si>
  <si>
    <t>Compra fritadora</t>
  </si>
  <si>
    <t>DIS Efectivo              $50</t>
  </si>
  <si>
    <t>Fritadora</t>
  </si>
  <si>
    <t>CxP Fritadora lp</t>
  </si>
  <si>
    <t xml:space="preserve">Efectivo </t>
  </si>
  <si>
    <t>AUM CxP Fritadora    $30</t>
  </si>
  <si>
    <t>Patrimonio</t>
  </si>
  <si>
    <t>Cxp Fritadora</t>
  </si>
  <si>
    <t>TOTAL GIFO/EBITDA</t>
  </si>
  <si>
    <t>AUM Inventarios $10</t>
  </si>
  <si>
    <t>Compra de inventarios</t>
  </si>
  <si>
    <t>KdeW:Aum Inventarios</t>
  </si>
  <si>
    <t>DIS Efectivo                $7</t>
  </si>
  <si>
    <t>Cartera</t>
  </si>
  <si>
    <t>KdeW:Aum Proveedores</t>
  </si>
  <si>
    <t>AUM Proveedores        $3</t>
  </si>
  <si>
    <t xml:space="preserve">UTILIDAD NETA </t>
  </si>
  <si>
    <t>CxC clientes</t>
  </si>
  <si>
    <t>Efectivo provenietes o recaudado de operación</t>
  </si>
  <si>
    <t>Total GIFO/EBITDA</t>
  </si>
  <si>
    <t>AUM Efectivo        $35</t>
  </si>
  <si>
    <t>Efectivo de ventas</t>
  </si>
  <si>
    <t>AUM CxC clientes $15</t>
  </si>
  <si>
    <t>AUM Ventas                    $50</t>
  </si>
  <si>
    <t>Costos y Gastos</t>
  </si>
  <si>
    <t>KdeW:Aum CxC clientes</t>
  </si>
  <si>
    <t>GIFO/EBITDA</t>
  </si>
  <si>
    <t>AUM Costo nomina  $9</t>
  </si>
  <si>
    <t>DIS Efectivo                   $9</t>
  </si>
  <si>
    <t>Costos de la nomina</t>
  </si>
  <si>
    <t>Pago de sueldos, salarios</t>
  </si>
  <si>
    <t>Cap soci+prima en colo</t>
  </si>
  <si>
    <t>Pago de la nomina</t>
  </si>
  <si>
    <t>AUM Costo Materiales $8</t>
  </si>
  <si>
    <t>DIS Inventario                     $8</t>
  </si>
  <si>
    <t>Costos de los materiales</t>
  </si>
  <si>
    <t>+ Gasto por depreciación</t>
  </si>
  <si>
    <t>AUM Costo Depreciación $7</t>
  </si>
  <si>
    <t>AUM Depreciación acumulada $7</t>
  </si>
  <si>
    <t>Capital Social +prima</t>
  </si>
  <si>
    <t>Costo de la depreciación</t>
  </si>
  <si>
    <t>Cxp Fritadora lp</t>
  </si>
  <si>
    <t>Cxp Fritadora cp</t>
  </si>
  <si>
    <t>Recaudo de CxC clientes</t>
  </si>
  <si>
    <t>AUM Efectivo $14</t>
  </si>
  <si>
    <t>DIS                   CxC $14</t>
  </si>
  <si>
    <t>CxC Clientes</t>
  </si>
  <si>
    <t>Total Entradas - Salidas</t>
  </si>
  <si>
    <t>Saldo inicial en caja</t>
  </si>
  <si>
    <t>Saldo final en caja</t>
  </si>
  <si>
    <t>aumento de activos</t>
  </si>
  <si>
    <t>disminución de pasivos</t>
  </si>
  <si>
    <t>disminución de patrimonio</t>
  </si>
  <si>
    <t>disminución de activos</t>
  </si>
  <si>
    <t>aumento de pasivos</t>
  </si>
  <si>
    <t>aumento de patrimonio</t>
  </si>
  <si>
    <t>COMPAÑÍA LAS SABROSITAS SAS</t>
  </si>
  <si>
    <t>PCF Estado de Flujos de Efectivo (Método directo)</t>
  </si>
  <si>
    <t>a DICIEMBRE 31 DE 2020</t>
  </si>
  <si>
    <t>.+1</t>
  </si>
  <si>
    <t>FUENTES</t>
  </si>
  <si>
    <t>APLICACIONES</t>
  </si>
  <si>
    <t>1) ECO</t>
  </si>
  <si>
    <t>cobertura de la liquidez BÁSICA</t>
  </si>
  <si>
    <t>EGO: Efectivo generado por la operación</t>
  </si>
  <si>
    <t>ECO: Efectivo consumido operación</t>
  </si>
  <si>
    <t>FNEo</t>
  </si>
  <si>
    <t>2)PAGO DE IMPUESTOS</t>
  </si>
  <si>
    <t>(ECO+PAGO IMPUESTOS+PAGO INTERESES+PAGO DE DIVIDENDOS)</t>
  </si>
  <si>
    <t>3) Pago de intereses</t>
  </si>
  <si>
    <t>EGI: Efectivo generado inversión</t>
  </si>
  <si>
    <t>ECI: Efectivo consumido inversión</t>
  </si>
  <si>
    <t>FNEi</t>
  </si>
  <si>
    <t>4) pago de dividendos</t>
  </si>
  <si>
    <t>Pago de Prestamos</t>
  </si>
  <si>
    <t>5) Amortizar capital deuda</t>
  </si>
  <si>
    <t>Pago de dividendos</t>
  </si>
  <si>
    <t>cobertura de la liquidez ACIDA</t>
  </si>
  <si>
    <t>Pago de intereses</t>
  </si>
  <si>
    <t>(ECO+PAGO IMPUESTOS+PAGO INTERESES+PAGO DE DIVIDENDOS+AMORTIZACION DEUDA)</t>
  </si>
  <si>
    <t>EGF: Efectivo generado financiación</t>
  </si>
  <si>
    <t>ECF: Efectivo consumido financiación</t>
  </si>
  <si>
    <t>FNEf</t>
  </si>
  <si>
    <t>1A) Operacional:PPyE, Intangibles, REC NAT, Biologicos</t>
  </si>
  <si>
    <t>1B) Act Secunda: Activos financieros</t>
  </si>
  <si>
    <t>Disminución en Efectivo y equivalentes</t>
  </si>
  <si>
    <t>ó</t>
  </si>
  <si>
    <t>Aumento en Efectivo y equivalentes</t>
  </si>
  <si>
    <t>FNEtotal</t>
  </si>
  <si>
    <t>SI Efectivo</t>
  </si>
  <si>
    <t>1) Crecimiento Inversión: ECI</t>
  </si>
  <si>
    <t>TOTAL FUENTES DE EFECTIVO</t>
  </si>
  <si>
    <t>TOTAL APLICACIONES DE EFECTIVO</t>
  </si>
  <si>
    <t>SF Efectivo</t>
  </si>
  <si>
    <t>2) Compra de cartera EGF, va ECF</t>
  </si>
  <si>
    <t>3) Deuda hacia Patrimonio o Patrimonio hacia Deuda</t>
  </si>
  <si>
    <t>PCF Estado de Flujos de Efectivo (Método Indirecto)</t>
  </si>
  <si>
    <t>AUM ó DIS efectivo</t>
  </si>
  <si>
    <t>PSEUDO EGO: Efectivo generado por la operación</t>
  </si>
  <si>
    <t>PSEUDO ECO: Efectivo consumido operación</t>
  </si>
  <si>
    <t>(PSEUDO ECO+PAGO IMPUESTOS+PAGO INTERESES+PAGO DE DIVIDENDOS)</t>
  </si>
  <si>
    <t>(PSEUDO ECO+PAGO IMPUESTOS+PAGO INTERESES+PAGO DE DIVIDENDOS+AMORTIZACION DEUDA)</t>
  </si>
  <si>
    <t xml:space="preserve"> </t>
  </si>
  <si>
    <t>Disminución en Caja y bancos</t>
  </si>
  <si>
    <t>ò</t>
  </si>
  <si>
    <t>Aumento en Caja y Bancos</t>
  </si>
  <si>
    <t>CON=DIAS EFECTIVO+DIAS INVENTARIOS+DIAS CXC-DIAS PROVEEDORES</t>
  </si>
  <si>
    <t>Vendemos $50 de los cuales $35 son de contado y $15 a 30 días</t>
  </si>
  <si>
    <t>.=</t>
  </si>
  <si>
    <t xml:space="preserve">Los costos asociados a las ventas son: La nomina del periodo por $9 la cual se cancela de contado, </t>
  </si>
  <si>
    <t>AUM ACTIVOS</t>
  </si>
  <si>
    <t>APLICACIÓN</t>
  </si>
  <si>
    <t>DISM PASIVO</t>
  </si>
  <si>
    <t>DIS PATRIMONIO</t>
  </si>
  <si>
    <t>DEBITO= COSTOS Y GASTOS</t>
  </si>
  <si>
    <t>DIS ACTIVOS</t>
  </si>
  <si>
    <t>FUENTE</t>
  </si>
  <si>
    <t>AUM Pasivos</t>
  </si>
  <si>
    <t>aum patrimonio</t>
  </si>
  <si>
    <t>fuente</t>
  </si>
  <si>
    <t>credito= INGRESOS</t>
  </si>
  <si>
    <t>EGO: efectivo generado por la operación</t>
  </si>
  <si>
    <t>ECO: efec consumido operación</t>
  </si>
  <si>
    <t>Capital Social + Prima colocac</t>
  </si>
  <si>
    <t>Pago de materiales</t>
  </si>
  <si>
    <t>ACTES</t>
  </si>
  <si>
    <t>CXC</t>
  </si>
  <si>
    <t>PROVEEDORE</t>
  </si>
  <si>
    <t>INVE</t>
  </si>
  <si>
    <t>KT</t>
  </si>
  <si>
    <t>ACTIVOS CORRIENTES</t>
  </si>
  <si>
    <t xml:space="preserve">KTN  </t>
  </si>
  <si>
    <t>AC-PC</t>
  </si>
  <si>
    <t>KTNO</t>
  </si>
  <si>
    <t>ACT OPE CP-PAS OPE CP</t>
  </si>
  <si>
    <t>CICLO OPERATIVO DEL NEGOCIO</t>
  </si>
  <si>
    <t>PERIODO DE TIEMPO DESDE EL MOMENTO EN QUE UNA EMPRESAS METE UN $1 EFECTIVO A LA CIA Y DA TODO EL GIRO ORDINARIO DEL NEGOCIO</t>
  </si>
  <si>
    <t>GON</t>
  </si>
  <si>
    <t>DIAS EFECTIVO+DIAS DE CARTERA+DIAS DE INVEN MP, PP, PT</t>
  </si>
  <si>
    <t>DIAS</t>
  </si>
  <si>
    <t>LO MAS CHIQUITO POSIBLE</t>
  </si>
  <si>
    <t>CON</t>
  </si>
  <si>
    <t>GON-DIAS PROVEEDORES</t>
  </si>
  <si>
    <t>QUE SEAN MAYOR NUMERO DE DIAS</t>
  </si>
  <si>
    <t>PVENTA</t>
  </si>
  <si>
    <t>COSTO+COSTO*MARGEN UTILIDAD</t>
  </si>
  <si>
    <t>COSTOS + PVTA*MARGEN UTILIDAD</t>
  </si>
  <si>
    <t>VENTAS</t>
  </si>
  <si>
    <t>SALARIO</t>
  </si>
  <si>
    <t>COSTOS</t>
  </si>
  <si>
    <t>CMV O COSTO DE PRODUCCIÓN</t>
  </si>
  <si>
    <t>CONSIGNA</t>
  </si>
  <si>
    <t>1-MARGEN UTILIDAD</t>
  </si>
  <si>
    <t>UTILIDAD BRUTA</t>
  </si>
  <si>
    <t>GASTOS DE ADMINISTRACIÓN</t>
  </si>
  <si>
    <t>MERCADO</t>
  </si>
  <si>
    <t>GASTOS DE VENTAS</t>
  </si>
  <si>
    <t>COLEGIO</t>
  </si>
  <si>
    <t>DEPRECIACION = TANGIBLES</t>
  </si>
  <si>
    <t>EBITDA=UO+D+A+A</t>
  </si>
  <si>
    <t>CUOTA APTO</t>
  </si>
  <si>
    <t>AMORTIZACION= INTANGIBLES</t>
  </si>
  <si>
    <t>CUOTA CARRO</t>
  </si>
  <si>
    <t>AGOTAMIENTO= RECURSOS NATURALES</t>
  </si>
  <si>
    <t>UTILIDAD OPERACIONAL</t>
  </si>
  <si>
    <t>SERVICIOS</t>
  </si>
  <si>
    <t>OTROS INGRESOS NO OPERACIONALES</t>
  </si>
  <si>
    <t>TC1</t>
  </si>
  <si>
    <t>OTROS EGRESOS NO OPERACIONALES</t>
  </si>
  <si>
    <t>TC2</t>
  </si>
  <si>
    <t>UTILIDAD ANTES DE INTERESE E IMPUESTOS</t>
  </si>
  <si>
    <t>EBIT=UAII</t>
  </si>
  <si>
    <t>DIVERSION</t>
  </si>
  <si>
    <t>GASTOS FINANICEROS o INTERESES</t>
  </si>
  <si>
    <t>ZAPATOS</t>
  </si>
  <si>
    <t>UTILIDAD ANTES DE IMPUESTOS</t>
  </si>
  <si>
    <t>GASTO IMPUESTO DE RENTA CORRIENTE</t>
  </si>
  <si>
    <t>GASTO/INGRESO POR IMPUESTO DIFERIDO</t>
  </si>
  <si>
    <t>FCL</t>
  </si>
  <si>
    <t>UTILIDAD NETA</t>
  </si>
  <si>
    <t>ENDEUDAMIENTO</t>
  </si>
  <si>
    <t>FCL DESPUES DE FINANICACI+ON</t>
  </si>
  <si>
    <t>MARGEN EBITDA</t>
  </si>
  <si>
    <t>EBITDA</t>
  </si>
  <si>
    <t>METODO INDIRECTO DEL FLUJO DE EFECTIVO ES UNA FORMA ALTERNATIVA DE CONSEGUIR O CALCULAR EL FNEo</t>
  </si>
  <si>
    <t>CAUSACIÓN</t>
  </si>
  <si>
    <t>INGRESO POR IMPUESTO DIFERIDO</t>
  </si>
  <si>
    <t>GASTO POR DEPRECIACION</t>
  </si>
  <si>
    <t>GASTO POR AMORTIZACION</t>
  </si>
  <si>
    <t>GASTO POR AGITAMOENTO</t>
  </si>
  <si>
    <t>UTILIDAD EN VENTA DE PROPIEDAD PLANTA Y EQUIPO</t>
  </si>
  <si>
    <t>-</t>
  </si>
  <si>
    <t>PERDIDAD EN VENTA DE PPyE</t>
  </si>
  <si>
    <t>+</t>
  </si>
  <si>
    <t>CAJA/EFECTIVO</t>
  </si>
  <si>
    <t>aum CxC</t>
  </si>
  <si>
    <t>ESF</t>
  </si>
  <si>
    <t>Aum Gasto Prov CXc</t>
  </si>
  <si>
    <t>CxC Brutas</t>
  </si>
  <si>
    <t>Aum Ventas Ingresos</t>
  </si>
  <si>
    <t>PyG</t>
  </si>
  <si>
    <t>Aum Provis CxC</t>
  </si>
  <si>
    <t>Prov CxC</t>
  </si>
  <si>
    <t>CxC Netas</t>
  </si>
  <si>
    <t>Aum Efec</t>
  </si>
  <si>
    <t>Dis CxC</t>
  </si>
  <si>
    <t>COMPAÑÍA A</t>
  </si>
  <si>
    <t>Cia A</t>
  </si>
  <si>
    <t>Aum Inversiones Subsidiarias</t>
  </si>
  <si>
    <t>Cia B</t>
  </si>
  <si>
    <t>Cia C</t>
  </si>
  <si>
    <t>Dis Efectivo</t>
  </si>
  <si>
    <t>Aum efectiv</t>
  </si>
  <si>
    <t>Aum Cap Soc</t>
  </si>
  <si>
    <t>Aum Sup de Cap</t>
  </si>
  <si>
    <t xml:space="preserve">CIA D </t>
  </si>
  <si>
    <t>CIA E</t>
  </si>
  <si>
    <t>Compañía de telas Fabricato S.A</t>
  </si>
  <si>
    <t>Activo:</t>
  </si>
  <si>
    <t>Camión de transporte</t>
  </si>
  <si>
    <t>Fecha de compra del activo:</t>
  </si>
  <si>
    <t>1 de enero de 2017</t>
  </si>
  <si>
    <t>Valor de compra con todas las erogaciones necesarias para su óptimo funcionamiento:</t>
  </si>
  <si>
    <t>Años de vida útil:</t>
  </si>
  <si>
    <t>Valor residual o del salvamento:</t>
  </si>
  <si>
    <t>del costo histórico</t>
  </si>
  <si>
    <t>Métodos de depreciación a utilizar de manera comparativa:</t>
  </si>
  <si>
    <t>5 métodos</t>
  </si>
  <si>
    <t>MÉTODO DE DEPRECIACIÓN LÍNEA RECTA</t>
  </si>
  <si>
    <t>AÑO</t>
  </si>
  <si>
    <t>COSTO HISTÓRICO</t>
  </si>
  <si>
    <t>GASTO x DEPRECIACIÓN</t>
  </si>
  <si>
    <t>DEPRECIACIÓN ACUMULADA</t>
  </si>
  <si>
    <t>VALOR EN LIBROS</t>
  </si>
  <si>
    <t>VALOR RESIDUAL</t>
  </si>
  <si>
    <t>Año</t>
  </si>
  <si>
    <t>SLN</t>
  </si>
  <si>
    <t>MÉTODO DE DEPRECIACIÓN UNIDADES DE PRODUCCIÓN</t>
  </si>
  <si>
    <t>KILÓMETROS RECORRIDOS</t>
  </si>
  <si>
    <t>MÉTODO DE DEPRECIACIÓN DOBLE TASA DE DECLINACIÓN O SALDOS DECRECIENTES</t>
  </si>
  <si>
    <t>TASA DE DEPRECIACIÓN</t>
  </si>
  <si>
    <t>DB</t>
  </si>
  <si>
    <t>MÉTODO DE DEPRECIACIÓN SUMA DE DÍGITOS DE LOS AÑOS</t>
  </si>
  <si>
    <t>SYD</t>
  </si>
  <si>
    <t>MÉTODO DE DEPRECIACIÓN REDUCCIÓN DE SALDOS</t>
  </si>
  <si>
    <t>Costo del motor</t>
  </si>
  <si>
    <t>Nueva vida útil</t>
  </si>
  <si>
    <t>M1</t>
  </si>
  <si>
    <t>M4</t>
  </si>
  <si>
    <t>NUEVA BASE DE DEPRECIACIÓN</t>
  </si>
  <si>
    <t>Propiedad planta y equipo</t>
  </si>
  <si>
    <t>Depreacicón acumulada</t>
  </si>
  <si>
    <t>valor en libros</t>
  </si>
  <si>
    <t>Decide ponerlo a la venta</t>
  </si>
  <si>
    <t>VALOR DE VENTA</t>
  </si>
  <si>
    <t>Pasamaos para los activos corrientes</t>
  </si>
  <si>
    <t>Utilidad en venta de propiedadplanta y equipo</t>
  </si>
  <si>
    <t>DISM PATRIMONIO</t>
  </si>
  <si>
    <t>AUM PATRIMO</t>
  </si>
  <si>
    <t>DISMI PASIVO</t>
  </si>
  <si>
    <t>AUMENT PASIVO</t>
  </si>
  <si>
    <t>DISMUN ACTIVO</t>
  </si>
  <si>
    <t>Venta:</t>
  </si>
  <si>
    <t>DEBITO</t>
  </si>
  <si>
    <t>CREDITO</t>
  </si>
  <si>
    <t>Propieda planta y equipo</t>
  </si>
  <si>
    <t>Ingreso: Utilidad en venta de PPyE</t>
  </si>
  <si>
    <t>10 efect, 10 cxc</t>
  </si>
  <si>
    <t>CxC PPyE</t>
  </si>
  <si>
    <t>Provisi CxC</t>
  </si>
  <si>
    <t>CxC Neta</t>
  </si>
  <si>
    <t>Gasto provision CxC</t>
  </si>
  <si>
    <t>Provision de CxC</t>
  </si>
  <si>
    <t>Provisión CxC</t>
  </si>
  <si>
    <t>UTILIDAD NETA DEL 2019</t>
  </si>
  <si>
    <t>decreto 120 pesos de dividendos :marzo de 2020 AGA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</si>
  <si>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</si>
  <si>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</si>
  <si>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</si>
  <si>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</si>
  <si>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</si>
  <si>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</si>
  <si>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</si>
  <si>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</si>
  <si>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</si>
  <si>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EMITICMOS EEFF</t>
  </si>
  <si>
    <t>PAGO 90 DECRETO 120</t>
  </si>
  <si>
    <t>DIVIDENDOS POR PAGAR 30</t>
  </si>
  <si>
    <t>ENERO</t>
  </si>
  <si>
    <t>FEBRERO</t>
  </si>
  <si>
    <t>MARZO</t>
  </si>
  <si>
    <t xml:space="preserve">ASAMBLEA AGA </t>
  </si>
  <si>
    <t>MARZO DE 2021 DECRETO UTILIDADES DEL 20221</t>
  </si>
  <si>
    <t>3 meses de arrendamientos</t>
  </si>
  <si>
    <t>ACT DIF: Arrenadasmirto pagados por anticipado</t>
  </si>
  <si>
    <t>Acti diferrido no finanicero</t>
  </si>
  <si>
    <t>Gastos por arrendamiento</t>
  </si>
  <si>
    <t>EST RESUL</t>
  </si>
  <si>
    <t>EJEMPLO DE CALCULO DEL IMPUESTO DIFERIDO</t>
  </si>
  <si>
    <t>Tenemos un activo adquirido el 1 de enero de 2020 por valor de $100</t>
  </si>
  <si>
    <t>base contable (REAL)</t>
  </si>
  <si>
    <t>Costo historico</t>
  </si>
  <si>
    <t>Vida util</t>
  </si>
  <si>
    <t>años</t>
  </si>
  <si>
    <t>Tasa de impuesto de renta</t>
  </si>
  <si>
    <t>Año 1</t>
  </si>
  <si>
    <t>Año 2</t>
  </si>
  <si>
    <t>Año 3</t>
  </si>
  <si>
    <t>Año 4</t>
  </si>
  <si>
    <t>Año 5</t>
  </si>
  <si>
    <t>Año 6</t>
  </si>
  <si>
    <t>Año 7</t>
  </si>
  <si>
    <t>Año 8</t>
  </si>
  <si>
    <t>Año 9</t>
  </si>
  <si>
    <t>Año 10</t>
  </si>
  <si>
    <t>Costo</t>
  </si>
  <si>
    <t>Valor en libros</t>
  </si>
  <si>
    <t>Estado de Resultados CONTABLE</t>
  </si>
  <si>
    <t>Ingresos (supuestos)</t>
  </si>
  <si>
    <t>Gasto * depreciación</t>
  </si>
  <si>
    <t>Utilidad antes de impuestos</t>
  </si>
  <si>
    <t>Gasto corriente Impuesto de renta</t>
  </si>
  <si>
    <t>Ingreso(gasto)Impuesto de renta DIFERIDO</t>
  </si>
  <si>
    <t>Total ingreso (gasto) por impuesto renta</t>
  </si>
  <si>
    <t>Utilidad neta</t>
  </si>
  <si>
    <t>Base tributaria (FISCAL)</t>
  </si>
  <si>
    <t>Costo FISCAL</t>
  </si>
  <si>
    <t>Valor en libros FISCAL</t>
  </si>
  <si>
    <t>Declaración de RENTA</t>
  </si>
  <si>
    <t>Gasto * depreciación deducible fiscalmente</t>
  </si>
  <si>
    <t>Renta liquida gravable</t>
  </si>
  <si>
    <t>Impuesto de renta corriente</t>
  </si>
  <si>
    <t>Utilidad neta despues de impuestos</t>
  </si>
  <si>
    <t>Impuesto diferido ACTIVO</t>
  </si>
  <si>
    <r>
      <t xml:space="preserve">Cuando la base Fiscal </t>
    </r>
    <r>
      <rPr>
        <b/>
        <sz val="11"/>
        <color rgb="FFFF0000"/>
        <rFont val="Calibri"/>
        <family val="2"/>
        <scheme val="minor"/>
      </rPr>
      <t>ES MAYOR</t>
    </r>
    <r>
      <rPr>
        <b/>
        <sz val="11"/>
        <color theme="1"/>
        <rFont val="Calibri"/>
        <family val="2"/>
        <scheme val="minor"/>
      </rPr>
      <t xml:space="preserve"> que la base Contable</t>
    </r>
  </si>
  <si>
    <t>Base PPyE Contable ESF</t>
  </si>
  <si>
    <t>Base PPyE FISCAL DEC RENTA</t>
  </si>
  <si>
    <t>DIFERENCIA</t>
  </si>
  <si>
    <t>DIFERENCIA * Tasa de impuesto de renta</t>
  </si>
  <si>
    <t>DB Gasto impuesto diferido</t>
  </si>
  <si>
    <t>PyG (-)</t>
  </si>
  <si>
    <t>AÑO 1</t>
  </si>
  <si>
    <r>
      <t xml:space="preserve">Cuando la </t>
    </r>
    <r>
      <rPr>
        <sz val="11"/>
        <color rgb="FFFF0000"/>
        <rFont val="Calibri"/>
        <family val="2"/>
        <scheme val="minor"/>
      </rPr>
      <t>base Contable ES MAYOR</t>
    </r>
    <r>
      <rPr>
        <sz val="11"/>
        <color theme="1"/>
        <rFont val="Calibri"/>
        <family val="2"/>
        <scheme val="minor"/>
      </rPr>
      <t xml:space="preserve"> que la base fiscal, se genera </t>
    </r>
    <r>
      <rPr>
        <sz val="11"/>
        <color rgb="FFFF0000"/>
        <rFont val="Calibri"/>
        <family val="2"/>
        <scheme val="minor"/>
      </rPr>
      <t>Impuesto diferido PASIVO</t>
    </r>
  </si>
  <si>
    <t>CR           Impuesto diferido PASIVO</t>
  </si>
  <si>
    <t>ESF Pas +</t>
  </si>
  <si>
    <t>DB ACTIVO impuesto diferido ESF</t>
  </si>
  <si>
    <t>ESF ACT +</t>
  </si>
  <si>
    <r>
      <t xml:space="preserve">Cuando la </t>
    </r>
    <r>
      <rPr>
        <sz val="11"/>
        <color rgb="FFFF0000"/>
        <rFont val="Calibri"/>
        <family val="2"/>
        <scheme val="minor"/>
      </rPr>
      <t>base fiscal o tributaria ES MAYOR</t>
    </r>
    <r>
      <rPr>
        <sz val="11"/>
        <color theme="1"/>
        <rFont val="Calibri"/>
        <family val="2"/>
        <scheme val="minor"/>
      </rPr>
      <t xml:space="preserve"> que la base contable, se genera </t>
    </r>
    <r>
      <rPr>
        <sz val="11"/>
        <color rgb="FFFF0000"/>
        <rFont val="Calibri"/>
        <family val="2"/>
        <scheme val="minor"/>
      </rPr>
      <t>Impuesto diferido ACTIVO</t>
    </r>
  </si>
  <si>
    <t>CR           INGRESO POR IMPUESTO DIFERIDO</t>
  </si>
  <si>
    <t>PyG (+)</t>
  </si>
  <si>
    <t>AÑO 2</t>
  </si>
  <si>
    <t>Impuesto diferido PASIVO</t>
  </si>
  <si>
    <r>
      <t>Cuando la base Contable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ES MAYOR</t>
    </r>
    <r>
      <rPr>
        <sz val="11"/>
        <color theme="1"/>
        <rFont val="Calibri"/>
        <family val="2"/>
        <scheme val="minor"/>
      </rPr>
      <t xml:space="preserve"> que la base fiscal</t>
    </r>
  </si>
  <si>
    <t>AÑO 3</t>
  </si>
  <si>
    <t>AÑO 4</t>
  </si>
  <si>
    <t>AÑO 6</t>
  </si>
  <si>
    <t>AÑO 5</t>
  </si>
  <si>
    <t>AÑO 7</t>
  </si>
  <si>
    <t>AÑO 8</t>
  </si>
  <si>
    <t>AÑO 9</t>
  </si>
  <si>
    <t>DB impuesto diferido PASIVO</t>
  </si>
  <si>
    <t>AÑO 10</t>
  </si>
  <si>
    <t>CR           Ingreso Impuesto diferido</t>
  </si>
  <si>
    <t>PyG +</t>
  </si>
  <si>
    <t>PASIVO y PATRIMONIO</t>
  </si>
  <si>
    <t>estado de resultados</t>
  </si>
  <si>
    <t>Obligación Finanicera</t>
  </si>
  <si>
    <t>Ingresos por ventas</t>
  </si>
  <si>
    <t>Ventas o ingresos ordinarios u operacionales</t>
  </si>
  <si>
    <t>Cuenta por cobrar</t>
  </si>
  <si>
    <t>Sobregiro bancario</t>
  </si>
  <si>
    <t>.- Costo de las ventas o CMV o Costo del servicio</t>
  </si>
  <si>
    <t>Costos  por depreciaicón</t>
  </si>
  <si>
    <t>.-COSTOS POR DEPRECIAICÓN</t>
  </si>
  <si>
    <t>UN</t>
  </si>
  <si>
    <t>UB</t>
  </si>
  <si>
    <t>MB</t>
  </si>
  <si>
    <t>UB/VENTAS</t>
  </si>
  <si>
    <t>.+IMPUESTOS</t>
  </si>
  <si>
    <t>Tomografo</t>
  </si>
  <si>
    <t>.- GASTOS DE ADMINISTRACIÓN</t>
  </si>
  <si>
    <t>.+GASTOS FINANCIEROS</t>
  </si>
  <si>
    <t>Depreciaición acumulada</t>
  </si>
  <si>
    <t>Gastos energia</t>
  </si>
  <si>
    <t>.- GASTOS DE VENTAS</t>
  </si>
  <si>
    <t>EBIT</t>
  </si>
  <si>
    <t>UAII= UTILIDAD FINANICERA=UO (NO OPERACIONAL)</t>
  </si>
  <si>
    <t>.-GASTOS DE DISTRIBUCIÓN</t>
  </si>
  <si>
    <t>.+DEPRECIACION</t>
  </si>
  <si>
    <t>.-GASTOS POR DEPRECIACIÓN</t>
  </si>
  <si>
    <t>.+AMORTIZACION</t>
  </si>
  <si>
    <t>UTILIDAD DEL EJERCICIO</t>
  </si>
  <si>
    <t>UO</t>
  </si>
  <si>
    <t>MO</t>
  </si>
  <si>
    <t>GIFO</t>
  </si>
  <si>
    <t>.+OTRS INGRESOS NO OPERACIONALES</t>
  </si>
  <si>
    <t>1)Crecimiento de los KdeWcp</t>
  </si>
  <si>
    <t>OPEX</t>
  </si>
  <si>
    <t>.-OTROS EGRESOS NO OPERACIONALES</t>
  </si>
  <si>
    <t>2) CRECIMIENTO DE LOS kdeWlp</t>
  </si>
  <si>
    <t>CAPEX</t>
  </si>
  <si>
    <t>UTILIDAD ANTES DE INTERESES E IMPUESTOS</t>
  </si>
  <si>
    <t>UAII</t>
  </si>
  <si>
    <t>MFINANICERO</t>
  </si>
  <si>
    <t>3) SERVICIO DE LA DEUDA:interese, capital, seguros</t>
  </si>
  <si>
    <t>.-GASTOS FINANICEROS</t>
  </si>
  <si>
    <t>4) pago del impuesto de renta</t>
  </si>
  <si>
    <t>UAI</t>
  </si>
  <si>
    <t>MARGEN ANTES DE IMPUESTOS</t>
  </si>
  <si>
    <t>.-GASTO CORRIENTE de IMPUESTO de RENTA</t>
  </si>
  <si>
    <t>CUANTO SE DEBE DISTRIBUIR DE DIVIDENDOS</t>
  </si>
  <si>
    <t>.-GASTOS POR IMPUESTO DIFERIDO o .+INGRESO POR IMPUESTO DIFERIDO</t>
  </si>
  <si>
    <t>MARGEN NETO</t>
  </si>
  <si>
    <t>OTROS RESULTADOS INTEGRALES</t>
  </si>
  <si>
    <t>XXX</t>
  </si>
  <si>
    <t>TOTAL DE RESULTADOS INTEGRALES DEL PERIODO</t>
  </si>
  <si>
    <t>UN+XXX</t>
  </si>
  <si>
    <t>CAJA</t>
  </si>
  <si>
    <t>CXCinicial</t>
  </si>
  <si>
    <t>CxC final</t>
  </si>
  <si>
    <t>Aum (30)</t>
  </si>
  <si>
    <t>aplicación</t>
  </si>
  <si>
    <t>CH</t>
  </si>
  <si>
    <t>.-COSTOS POR DEPRECIACIÓN</t>
  </si>
  <si>
    <t>VENTA</t>
  </si>
  <si>
    <t>UTILIDAD</t>
  </si>
  <si>
    <t>EBITDA=EBIT+DEPRECIACÓN + AMORTIZACIÓN</t>
  </si>
  <si>
    <t>.+OTROS INGRESOS NO OPERACIONALES: UTILIDAD EN VENTA DE PRO PLAN Y EQUIPO</t>
  </si>
  <si>
    <t>.+OTROS INGRESOS NO OPERACIONALES: INGRESO POR METODO DE PARTICIPACIÓN</t>
  </si>
  <si>
    <t>UTILIDAD ANTES DE INTERESES E IMPUESTOS= EBIT=UAII</t>
  </si>
  <si>
    <t>EBITDA=UO+DEP+AMOR</t>
  </si>
  <si>
    <t>(XXXX)</t>
  </si>
  <si>
    <t>(XXXX)ó XXXX</t>
  </si>
  <si>
    <t>flujo de egectivo por el metodo INDIRECTO para hallar el FNEo</t>
  </si>
  <si>
    <t>.+GASTO por IMPUESTO diferido</t>
  </si>
  <si>
    <t>DEPURACIÓN PARTIENDO DE LA UTILIDAD NETA, TRATANDO DE ACERCARLA A LA ORBITA DEL EFECTIVO</t>
  </si>
  <si>
    <t>.+GASTO por IMPUESTO de RENTA CORRIENTE</t>
  </si>
  <si>
    <t>.-UTILIDAD EN VENTA DE PROPIEDAD PLANTA Y EQUIPO</t>
  </si>
  <si>
    <t>.-INGRESO POR METODO DE PARTICIPACIÓN</t>
  </si>
  <si>
    <t>.-INGRESO POR RECUPERACIÓN DE PROVISIONES</t>
  </si>
  <si>
    <t>.+PERDIDA EN VENTA DE PROPIEDAD PLANTA Y EQUIPO</t>
  </si>
  <si>
    <t>.+PERDIDA POR METODO DE PARTICIPACIÓN</t>
  </si>
  <si>
    <t>.+GASTO POR PROVISIONES NO OPERACIONALES</t>
  </si>
  <si>
    <t>.+GASTO POR DEPRECIACION</t>
  </si>
  <si>
    <t>.+GASTO POR AMORTIZACION</t>
  </si>
  <si>
    <t>GENERACION INTERNA DE FONDOS A NIVEL OPERACIONAL=GIFO</t>
  </si>
  <si>
    <t>AUM O DIS</t>
  </si>
  <si>
    <t>CARTERA</t>
  </si>
  <si>
    <t>VARIACIONES EN EL CAPITAL DE TRABAJO DE CORTO PLAZO A NIVEL OPERACIONAL</t>
  </si>
  <si>
    <t>AUM DIS</t>
  </si>
  <si>
    <t>INVENTARIO</t>
  </si>
  <si>
    <t>AUM OD IM</t>
  </si>
  <si>
    <t>GASTOS PAGADOS POR ANTICIPADO</t>
  </si>
  <si>
    <t>CUENTAS POR COBRAR COMERCIALES</t>
  </si>
  <si>
    <t>PROVEEDORES o acreedores comerciales</t>
  </si>
  <si>
    <t>COSTO Y GASTOS POR PAGAR</t>
  </si>
  <si>
    <t>FLUJO NETO DE EFECTIVO A NIVEL OPERACIONAL metodo INDIRECTO</t>
  </si>
  <si>
    <t>IGUAL</t>
  </si>
  <si>
    <t>FNEo DIRECTO</t>
  </si>
  <si>
    <t>EFECTIVO PROVENIENTE DE LAS VENTAS= Cxc INICIALES+VENTAS-cXc Finales-Gasto porvisión</t>
  </si>
  <si>
    <t>.+IMPUESTO DE RENTA</t>
  </si>
  <si>
    <t>.-CMV</t>
  </si>
  <si>
    <t>.+ GASTOS FINANICEROS</t>
  </si>
  <si>
    <t>.-GASTOS DE ADMINISTRACIÓN</t>
  </si>
  <si>
    <t>UAII=EBIT</t>
  </si>
  <si>
    <t xml:space="preserve">UTILIDAD OPERACIONAL </t>
  </si>
  <si>
    <t>.-GASTOS DE VENTAS</t>
  </si>
  <si>
    <t>.+ DEPRECIACIÓN</t>
  </si>
  <si>
    <t>.+AMORTIZACIÓN</t>
  </si>
  <si>
    <t>.- GASTOS POR DEPRECIACIÓN Y AMORTIZACÓN</t>
  </si>
  <si>
    <t>1) Reponer o aumentar los capitales de trabajo de CP</t>
  </si>
  <si>
    <t xml:space="preserve">.+OTROS INGRESOS </t>
  </si>
  <si>
    <t>2) Reponer o aumentar los capitales de trabajo de LP</t>
  </si>
  <si>
    <t>.-OTROS EGRESOS</t>
  </si>
  <si>
    <t>3) SERVICIO DE LA DEUDA: pagar intereses, seguros y amortizar al capital</t>
  </si>
  <si>
    <t>4) decreto y pago de dividendos</t>
  </si>
  <si>
    <t>FCL: FLUJO DE CAJA DE LIBRE</t>
  </si>
  <si>
    <t>.-GASTOS IMPUESTO CORRIENTE RENTA</t>
  </si>
  <si>
    <t>.-GASTOS IMPUESTOD FIFERIDOS</t>
  </si>
  <si>
    <t>Leo salario</t>
  </si>
  <si>
    <t>caja/ Ebitda</t>
  </si>
  <si>
    <t>PAGO Credito hipotecario</t>
  </si>
  <si>
    <t>pago TC 1</t>
  </si>
  <si>
    <t>Pago tc2</t>
  </si>
  <si>
    <t>Colegio</t>
  </si>
  <si>
    <t xml:space="preserve">trasporte </t>
  </si>
  <si>
    <t>lonchera</t>
  </si>
  <si>
    <t>EPM</t>
  </si>
  <si>
    <t>Internet</t>
  </si>
  <si>
    <t>mercado</t>
  </si>
  <si>
    <t>aportes papas</t>
  </si>
  <si>
    <t>Bolsos carteras ylujos</t>
  </si>
  <si>
    <t>gasolina</t>
  </si>
  <si>
    <t>diversion y entretenimiento</t>
  </si>
  <si>
    <t>De positivo y de lo mas alto posible</t>
  </si>
  <si>
    <t>TC</t>
  </si>
  <si>
    <t>AUMENTO</t>
  </si>
  <si>
    <t>DISMINUCIÓN</t>
  </si>
  <si>
    <t>EdR</t>
  </si>
  <si>
    <t>CxC 45</t>
  </si>
  <si>
    <t>INGRESOS</t>
  </si>
  <si>
    <t>Patrimonio UE</t>
  </si>
  <si>
    <t>GASTOS</t>
  </si>
  <si>
    <t>estado de situación finanicera resumida</t>
  </si>
  <si>
    <t>CASO 1</t>
  </si>
  <si>
    <t>CASO 2</t>
  </si>
  <si>
    <t>CASO 3</t>
  </si>
  <si>
    <t>CASO 4</t>
  </si>
  <si>
    <t>Cuentas por cobrar</t>
  </si>
  <si>
    <t>CxC brutas</t>
  </si>
  <si>
    <t>Est de resultados:Ingreso por ventas</t>
  </si>
  <si>
    <t>CxC netas</t>
  </si>
  <si>
    <t>Gasto provisión CxC: Gasto del estado de resultados</t>
  </si>
  <si>
    <t>Provisión CxC: estad de situación finanicera</t>
  </si>
  <si>
    <t>Caso 1</t>
  </si>
  <si>
    <t>Caso 2</t>
  </si>
  <si>
    <t>Estado de resultados</t>
  </si>
  <si>
    <t>Disminuyo Provisión CxC</t>
  </si>
  <si>
    <t>ingresos ventas</t>
  </si>
  <si>
    <t>Ingreso no operacional: Recuperación de provisión</t>
  </si>
  <si>
    <t>Gasto provi Cxc</t>
  </si>
  <si>
    <t xml:space="preserve">Utilidad </t>
  </si>
  <si>
    <t>Caso 1:Que sucede cuando pierdo $3 cartera:</t>
  </si>
  <si>
    <t>Caso 2:Que sucede cuando lo que pierdo cartera es de 7, superior al calculo de la provisión</t>
  </si>
  <si>
    <t>Gasto provisión CxC; afectando la utilidad de la compañía</t>
  </si>
  <si>
    <t>Creación la provisión</t>
  </si>
  <si>
    <t>SUBVALORADA</t>
  </si>
  <si>
    <t>Caso 3: Que sucede si no se pierde nada del activo, no se utiliza nada de la provisión</t>
  </si>
  <si>
    <t>Recuperación cartera</t>
  </si>
  <si>
    <t>Reversión de la provisión</t>
  </si>
  <si>
    <t>SOBREVALORADA</t>
  </si>
  <si>
    <t>PASIVOS + PATRIMONIO</t>
  </si>
  <si>
    <t>CxC bruta</t>
  </si>
  <si>
    <t>Ingreso en el estado de resultados: Ingreso por recuperación de provisiones</t>
  </si>
  <si>
    <t>Provision CxC</t>
  </si>
  <si>
    <t>Creado la provisión</t>
  </si>
  <si>
    <t>CxC neta</t>
  </si>
  <si>
    <t>Utilidad del ejerciciio</t>
  </si>
  <si>
    <t xml:space="preserve">Caso 4: </t>
  </si>
  <si>
    <t>TOTAL ACTIVOS</t>
  </si>
  <si>
    <t>Total pasivo + Patrimonio</t>
  </si>
  <si>
    <t>Que sucede cuando la cartera castigada por 5 el deudor aparece y me paga</t>
  </si>
  <si>
    <t>Castigo de la cartera</t>
  </si>
  <si>
    <t>Aparece el deudor y restituyo la cartera</t>
  </si>
  <si>
    <t>Gasto provisón</t>
  </si>
  <si>
    <t>Recibo el efectivo</t>
  </si>
  <si>
    <t>CxC vieja que habia castigado anteriormente</t>
  </si>
  <si>
    <t>PROVISIÓN CARTERA</t>
  </si>
  <si>
    <t>CR</t>
  </si>
  <si>
    <t xml:space="preserve">Si hoy pago </t>
  </si>
  <si>
    <t>arrendamiento a razon de</t>
  </si>
  <si>
    <t>mes</t>
  </si>
  <si>
    <t>ACT: Arrendamientos pagados por anticipado: Activo diferido arredamiento</t>
  </si>
  <si>
    <t>activo</t>
  </si>
  <si>
    <t>16 de julio de 2020</t>
  </si>
  <si>
    <t>31 de julio de 2020</t>
  </si>
  <si>
    <t>Gasto por arrendamiento</t>
  </si>
  <si>
    <t>ACCIÓN: Es un titulo valor que representa una partecita de la propiedad de una empresa o de un ente economico y que dependiendo del tipo de acción da derecho a voz, voto, o dividendos</t>
  </si>
  <si>
    <t>Valores de las acciones</t>
  </si>
  <si>
    <t>Valor nominal</t>
  </si>
  <si>
    <t>Es el valor inicial al cual se hace la primera emisión o colocación de acciones, es el valor al que siempre vienen expresado el capital social, y es un valor entero, base cero</t>
  </si>
  <si>
    <t>Capital social, suscrito y pagado, emitido</t>
  </si>
  <si>
    <t>Valor de mercado</t>
  </si>
  <si>
    <t>Es el valor que toman las acciones por la oferta y demanda, en el mercado, y que en terminos normales  debe ser mas alto que el valor nominal y es el valor al cual se hacen las emisiones de acciones posteriores de la compañía</t>
  </si>
  <si>
    <t>Es el diferencial entre el valor de mercado y el valor nominal de la acción</t>
  </si>
  <si>
    <t>Valor contable, intrinseco o en libros</t>
  </si>
  <si>
    <t>Surge de dividir el total del patrimonio, entre el numero de acciones en circulación, se vuelve un valor de referencia y comparación cuando no hay valor de mercado</t>
  </si>
  <si>
    <t>Acciones en circulación = Acciones suscritas y pagadas - Acciones en tesoreria o readquiridas</t>
  </si>
  <si>
    <t>Valor fiscal</t>
  </si>
  <si>
    <t>Es el valor que toman las acciones para efectos tributarios, es el valor a como las ponemos en las declaraciones de renta</t>
  </si>
  <si>
    <t>Valor de liquidacion</t>
  </si>
  <si>
    <t>Es el valor que queda a cada accionista en caso de que se fuera a liquidar la empresa, lo cual implicaria que remataran los activos, y se pagaran todos los pasivos, generalmente esta valor de liquidación es negativo, para los accionistas</t>
  </si>
  <si>
    <t>TIPOS DE ACCIONES</t>
  </si>
  <si>
    <t>Acciones comunes y ordinarias</t>
  </si>
  <si>
    <t>Voz, voto, dividendos ordinarios 100%, administración control ente economico</t>
  </si>
  <si>
    <t>el precio de esta acción deberia ser mas bajo que el de las acciones preferenciales</t>
  </si>
  <si>
    <t>Acciones preferenciales</t>
  </si>
  <si>
    <r>
      <t xml:space="preserve">Democratización ente economico, capitalización: </t>
    </r>
    <r>
      <rPr>
        <sz val="11"/>
        <color rgb="FFFF0000"/>
        <rFont val="Calibri"/>
        <family val="2"/>
        <scheme val="minor"/>
      </rPr>
      <t>Voz</t>
    </r>
    <r>
      <rPr>
        <sz val="11"/>
        <color theme="1"/>
        <rFont val="Calibri"/>
        <family val="2"/>
        <scheme val="minor"/>
      </rPr>
      <t>, NO VOTO, Dividendo preferencial: ACCIONISTA QUE BUSCA ESPECULACIÓN  MERCADO O RENTABILIDAD FINANCIERA</t>
    </r>
  </si>
  <si>
    <t>El precio de estas acciones deberia ser mal alto que el de las acciones ordinarias</t>
  </si>
  <si>
    <t>Acciones uso o de goce</t>
  </si>
  <si>
    <t>Aportando, conocimiento, activos, o esencia estrategica ente economico. VOZ, VOTO, DIVIDENDO ORDINARIO</t>
  </si>
  <si>
    <t>Pactado entre las partes, accionistas, en la constitución</t>
  </si>
  <si>
    <t>Acciones privilegiadas</t>
  </si>
  <si>
    <t>Accionistas fundacionales, Dividendos privilegiado, mayor comunes, y les pagan de primero y reembolso en las acciones en caso de liquidación del ente economico</t>
  </si>
  <si>
    <t>Emisión incial</t>
  </si>
  <si>
    <t>vendemos 100 acciones a un valor de $5</t>
  </si>
  <si>
    <t>Capital autorizado</t>
  </si>
  <si>
    <t># de acciones x Valor nominal</t>
  </si>
  <si>
    <t>acciones</t>
  </si>
  <si>
    <t>Capital por suscribir= capital en reserva o acciones en reserva</t>
  </si>
  <si>
    <t>Capital suscrito y pagado=Capital social=Capital emitido</t>
  </si>
  <si>
    <t>Dividendos por distribuir en acciones</t>
  </si>
  <si>
    <t>Superavit de capital o prima en colocación de acciones</t>
  </si>
  <si>
    <t>Superavit de capital o prima en recolocación de acciones</t>
  </si>
  <si>
    <t>acciones $8</t>
  </si>
  <si>
    <t>Prima por dividendos en acciones</t>
  </si>
  <si>
    <t>Total de superavit de capital</t>
  </si>
  <si>
    <t>Reserva Legal</t>
  </si>
  <si>
    <t>Es el 10% de la utilidad del ejercicio y es obligatoria seguir apropiandala por AGA, minimamente hasta que este alcanze el 50% del capital social</t>
  </si>
  <si>
    <t>Reserva para readquisición de acciones</t>
  </si>
  <si>
    <t>Acciones propias readquiridas o acciones en tesoreria</t>
  </si>
  <si>
    <t>Total de reservas</t>
  </si>
  <si>
    <t>Utilidad de ejercicio</t>
  </si>
  <si>
    <t>Esto es lo que se aprobó repartir en dividendos en acciones</t>
  </si>
  <si>
    <t>Utilidades de ejercicio anteriores</t>
  </si>
  <si>
    <t>acciones a valor de mercado del dia de causación de las utilidades 31 de diciembre</t>
  </si>
  <si>
    <t>Otros resultados integrales</t>
  </si>
  <si>
    <t>El # de acciones a repartir</t>
  </si>
  <si>
    <t>Valor de mercado de repartición</t>
  </si>
  <si>
    <t>Acciones</t>
  </si>
  <si>
    <t>aum capital social, capito suscrito y pagado</t>
  </si>
  <si>
    <t>Prima en colocacion de acciones</t>
  </si>
  <si>
    <t>1 acc=25%= 33.33%</t>
  </si>
  <si>
    <t>Pagamos con los activos empresa</t>
  </si>
  <si>
    <t>Acciones en circulación = Acciones suscritas y pagadas - acciones en tesoreria</t>
  </si>
  <si>
    <t>1 acc=25%</t>
  </si>
  <si>
    <t>acciones en circulación</t>
  </si>
  <si>
    <t>Coloca acciones por primera vez a valores nominales:</t>
  </si>
  <si>
    <t>Aum efectivo</t>
  </si>
  <si>
    <t>Aumenta capital suscrito y pagado o social</t>
  </si>
  <si>
    <t>Coloca por primera vez a valores de mercado</t>
  </si>
  <si>
    <t>Aumenta prima en colocacion de acciones</t>
  </si>
  <si>
    <t>Cuando se crea la reserva</t>
  </si>
  <si>
    <t>Dism utilidad del ejercicio o de ejerciico anteriores/ otra reserva</t>
  </si>
  <si>
    <t>Aumenta Reserva para readquisicón de acciones</t>
  </si>
  <si>
    <t>Cuando se readquieren acciones propias</t>
  </si>
  <si>
    <t>Aumenta acciones en tesoreria o propias readquiridas</t>
  </si>
  <si>
    <t>Disminu efectivo</t>
  </si>
  <si>
    <t>Cuando se recolocan acciones</t>
  </si>
  <si>
    <t>Aumenta efectivo</t>
  </si>
  <si>
    <t>Disminuir acciones en tesoreia o propias readquiridas</t>
  </si>
  <si>
    <t>Aumentar Prima en recolocación de acciones</t>
  </si>
  <si>
    <t>Cuando se decretan dividendos en acciones</t>
  </si>
  <si>
    <t>Disminuye Utilidad del ejercicio o de ejercicios anteriores</t>
  </si>
  <si>
    <t>Dividendo por distribuir en acciones: Aumentar el capital social</t>
  </si>
  <si>
    <t>Aumentar la prima por dividendos en acciones</t>
  </si>
  <si>
    <t>Cuando se entregan las acciones a los accionistas</t>
  </si>
  <si>
    <t>Dividendo por distribuir en acciones</t>
  </si>
  <si>
    <t>Aumentar Capital social, que implica la disminución del capital por suscribir</t>
  </si>
  <si>
    <t>Cuando se decretan dividendos en efectivo</t>
  </si>
  <si>
    <t>Aumenta un Pasivo Dividendo por pagar en efectivos</t>
  </si>
  <si>
    <t>Cuando se paga en efectivo el dividendo, entrega el efectivo a los accionistas</t>
  </si>
  <si>
    <t>Disminuye el dividendo por pagar</t>
  </si>
  <si>
    <t>Dismunye la caja o el efectivo</t>
  </si>
  <si>
    <t>capital social</t>
  </si>
  <si>
    <t>Prima en colocacion de accines</t>
  </si>
  <si>
    <t>mas 20%</t>
  </si>
  <si>
    <t>Influencia significativa</t>
  </si>
  <si>
    <t>Matriz Controlante</t>
  </si>
  <si>
    <t>Subsidiaria</t>
  </si>
  <si>
    <t>10%- 49%</t>
  </si>
  <si>
    <t>Asociada</t>
  </si>
  <si>
    <t>A es dueña del 80% de B</t>
  </si>
  <si>
    <t>B</t>
  </si>
  <si>
    <t>C</t>
  </si>
  <si>
    <t>A tiene el 10% de C</t>
  </si>
  <si>
    <t>A Compra las acciones de B</t>
  </si>
  <si>
    <t>Activos financieros instrumentos de patrimonio: B</t>
  </si>
  <si>
    <t>Capital Social</t>
  </si>
  <si>
    <t>A compra las acciones de C</t>
  </si>
  <si>
    <t>Activos financieros instrumentos de patrimonio: C</t>
  </si>
  <si>
    <t>El dia que B obtiene utilidad</t>
  </si>
  <si>
    <t>Utilidad de</t>
  </si>
  <si>
    <t xml:space="preserve">Utilidad de </t>
  </si>
  <si>
    <t>EL 80% de las utilidaddes de B</t>
  </si>
  <si>
    <t>PyG de A: Ingreso por metodo de participación</t>
  </si>
  <si>
    <t xml:space="preserve">en B va a quedar capitalizado </t>
  </si>
  <si>
    <t>Aprobo decreto de dividendos de 18</t>
  </si>
  <si>
    <t>Aprueba AGA decreto de dividendo de 20</t>
  </si>
  <si>
    <t>En C van a quedar retenidos 12</t>
  </si>
  <si>
    <t>Utilidad del ejercicio disminuye</t>
  </si>
  <si>
    <t>El dia en que se decreta el dividendo</t>
  </si>
  <si>
    <t>Dividendo por cobrar de A; B</t>
  </si>
  <si>
    <t>Dividendo por pagar</t>
  </si>
  <si>
    <t>El dia en que recibimos el pago del dividendo</t>
  </si>
  <si>
    <t>Si B compra el 60% de E</t>
  </si>
  <si>
    <t>A tendria el 48% de E de manera indirecta</t>
  </si>
  <si>
    <t>Filial de A</t>
  </si>
  <si>
    <t>Aumen PPyE</t>
  </si>
  <si>
    <t>Superavit por metodo de participación</t>
  </si>
  <si>
    <t>ORI REVALUACION ppYe</t>
  </si>
  <si>
    <t>Que hace A el dia de totalizar la utilidad de C</t>
  </si>
  <si>
    <t>Que pasa en A el dia del decreto de los dividendos de C</t>
  </si>
  <si>
    <t>Cuanto vale el portafolio que tiene A; B</t>
  </si>
  <si>
    <t>Que pasa el dia en que me pagan el dividendo</t>
  </si>
  <si>
    <t>NO hace nada porque no tiene control, solo tiene 10%</t>
  </si>
  <si>
    <t>Dividendo por cobrar en C</t>
  </si>
  <si>
    <t>Py G de A   Ingreso por dividendos</t>
  </si>
  <si>
    <t>PASIVOS CORRIENTES</t>
  </si>
  <si>
    <t>Cuando se decreto el dividendo en acciones</t>
  </si>
  <si>
    <t>Cuanto repartir</t>
  </si>
  <si>
    <t xml:space="preserve">Decreto de dividendos en acciones </t>
  </si>
  <si>
    <t>Valor de mercado del dia de cierre de utilidades</t>
  </si>
  <si>
    <t>COMPAÑÍA EL PASTORCITO MENTIROSO SA</t>
  </si>
  <si>
    <t>ESTADO DE CAMBIOS EN EL PATRIMONIO</t>
  </si>
  <si>
    <t>A DICIEMBRE 31 DE 2019</t>
  </si>
  <si>
    <t>A DICIEMBRE 31 DE 2020</t>
  </si>
  <si>
    <t>A MARZO 31 DE 2021</t>
  </si>
  <si>
    <t># de acciones</t>
  </si>
  <si>
    <t>Vr Nominal</t>
  </si>
  <si>
    <t>Año 2019</t>
  </si>
  <si>
    <t>Año 2020</t>
  </si>
  <si>
    <t>Año 2021 (Marzo)</t>
  </si>
  <si>
    <t>valor nominal</t>
  </si>
  <si>
    <t>.-Capital por suscribir o en reserva o acciones en reserva</t>
  </si>
  <si>
    <t xml:space="preserve">valor de mercado </t>
  </si>
  <si>
    <t>prima en colocacion</t>
  </si>
  <si>
    <t>Capital suscrito y pagado = emitido = social</t>
  </si>
  <si>
    <t>readquisición acciones</t>
  </si>
  <si>
    <t>Mayor valo pagado OPA compañía</t>
  </si>
  <si>
    <t>Prima en readqui?</t>
  </si>
  <si>
    <t>NO EXISTE</t>
  </si>
  <si>
    <t xml:space="preserve">Recoloco accion </t>
  </si>
  <si>
    <t>Prima en recolocacion</t>
  </si>
  <si>
    <t>Prima en recolocacion de acciones</t>
  </si>
  <si>
    <t>spread</t>
  </si>
  <si>
    <t>.</t>
  </si>
  <si>
    <t>Prima de emisión de acciones/ Superavit de capital</t>
  </si>
  <si>
    <t>1=25%</t>
  </si>
  <si>
    <t>Reserva para readquisición de acciones propias</t>
  </si>
  <si>
    <t>1=33%</t>
  </si>
  <si>
    <t>Acciones en tesoreria ó propias readquiridas</t>
  </si>
  <si>
    <t>Reserva para reposición de equipos</t>
  </si>
  <si>
    <t>Reserva para futuros ensanches de la planta: Aplicada compra de maquinaria</t>
  </si>
  <si>
    <t>Reserva para futuros ensanches de la planta: No aplicada sin ejecutar</t>
  </si>
  <si>
    <t>Reserva para futuros ensanches de la planta o ampliaciones</t>
  </si>
  <si>
    <t>Total reservas</t>
  </si>
  <si>
    <t>Utilidades por distribuir ejercicio actual</t>
  </si>
  <si>
    <t>Utilidades por distribuir ejercicios anteriores=Utilidades acumuladas o retenidas</t>
  </si>
  <si>
    <t>Utilidades por distribuir</t>
  </si>
  <si>
    <t>Otros resultados integrales acumulados</t>
  </si>
  <si>
    <t>TOTAL PATRIMONIO</t>
  </si>
  <si>
    <t># de acciones suscritas y pagadas</t>
  </si>
  <si>
    <t># de acciones autorizadas</t>
  </si>
  <si>
    <t># de acciones en tesorería</t>
  </si>
  <si>
    <t># de acciones en circulación</t>
  </si>
  <si>
    <t>Valor en pesos de la reserva legal</t>
  </si>
  <si>
    <t>pesos</t>
  </si>
  <si>
    <t>Valor en pesos de la prima en colocación de acciones</t>
  </si>
  <si>
    <t>Valor en pesos de la prima en readquisición de acciones</t>
  </si>
  <si>
    <t>Valor en pesos de la prima en recolocación de acciones</t>
  </si>
  <si>
    <t>9)</t>
  </si>
  <si>
    <t>Valor total del patrimonio para cada fecha de corte solicitada</t>
  </si>
  <si>
    <t>10)</t>
  </si>
  <si>
    <t>Valor intrinseco o libros de la acción</t>
  </si>
  <si>
    <t>11)</t>
  </si>
  <si>
    <t>Ganancia neta por acción GNA = UPA</t>
  </si>
  <si>
    <t>Cuanto fue el decreto de los dividenos en acciones</t>
  </si>
  <si>
    <t>Utilidad del ejercicio 2019</t>
  </si>
  <si>
    <t>Valor de mercado de la acción</t>
  </si>
  <si>
    <t>Proyecto distribución:</t>
  </si>
  <si>
    <t># de acciones que se comprometieron a entregarle a los accionistas</t>
  </si>
  <si>
    <t>Reserva para ampliaciones</t>
  </si>
  <si>
    <t>Disminución de la Utilidad del ejercicio</t>
  </si>
  <si>
    <t>El dia del decreto del dividendo en acciones, sobre las utilidades del 2018</t>
  </si>
  <si>
    <t>Dividendos en efectivo $3 por 11 meses</t>
  </si>
  <si>
    <t>30000 acciones * 25</t>
  </si>
  <si>
    <t>Repartir</t>
  </si>
  <si>
    <t>30000 acciones * (92-25)</t>
  </si>
  <si>
    <t>Transacción #1: Reparte las 30.000 acciones a los accionistas</t>
  </si>
  <si>
    <t>Dia del pago entrega de las acciones a los accionistas</t>
  </si>
  <si>
    <t>Disminución de el Dividendo por distribuir en acciones</t>
  </si>
  <si>
    <t>Creando</t>
  </si>
  <si>
    <t>Aumento del Capital Social</t>
  </si>
  <si>
    <t>Cuantas acciones hay en circulación?</t>
  </si>
  <si>
    <t>Acciones sucritas y pagadas-Acciones en tesoreria</t>
  </si>
  <si>
    <t>Transacción #2: Compramos un activo en $120.000</t>
  </si>
  <si>
    <t>Propiedad Planta y equipo: MAQUINARIA</t>
  </si>
  <si>
    <t>Efectivo o CxP</t>
  </si>
  <si>
    <t>Transacción #3: Emisión del 20% de las acciones en reserva</t>
  </si>
  <si>
    <t>EN ESTE MOMENTO LAS ACCIONES EN RESERVA</t>
  </si>
  <si>
    <t xml:space="preserve">Acciones en reserva </t>
  </si>
  <si>
    <t>Otra transacción: La empresa decide readquirir 5000 acciones a $95</t>
  </si>
  <si>
    <t>Acciones para vender o emitir en la transaccion 3</t>
  </si>
  <si>
    <t>Dis Utilidad del ejercicio o de ejercicios anteriores</t>
  </si>
  <si>
    <t>Valor mercado</t>
  </si>
  <si>
    <t>Acciones propias readquiridas</t>
  </si>
  <si>
    <t>Transacción #6: Se distribuye la Utilidad del Ejercicio</t>
  </si>
  <si>
    <t>Pat</t>
  </si>
  <si>
    <t>Pasivo</t>
  </si>
  <si>
    <t>Utilidades de ejercicios anteriores=Utilidades acumuladas</t>
  </si>
  <si>
    <t>Transaccion #7: Recolocó 3000 acciones * $95</t>
  </si>
  <si>
    <t>Acciones propias readquiridas o tesoreria</t>
  </si>
  <si>
    <t>Prima en recolocación de acciones</t>
  </si>
  <si>
    <t>Aum EFECTIVO</t>
  </si>
  <si>
    <t>Venta de acciones, capitalización</t>
  </si>
  <si>
    <t>Aum Capital Social</t>
  </si>
  <si>
    <t>Aum Prima en colocacion acciones</t>
  </si>
  <si>
    <t>EMPRESA</t>
  </si>
  <si>
    <t>MERCADO= ACCIONISTAS</t>
  </si>
  <si>
    <t>Dis Utilidades del ejercicio</t>
  </si>
  <si>
    <t>Aum Reserva para readquisición de acciones</t>
  </si>
  <si>
    <t>Readquirir sus propias acciones, descapitalización</t>
  </si>
  <si>
    <t>Aum ACCIONES PROPIAS READQUI TESORERIA</t>
  </si>
  <si>
    <t>Disminuye EFECTIVO</t>
  </si>
  <si>
    <t>Recolocar, revender sus propias acciones</t>
  </si>
  <si>
    <t>Aum EFCTIVO</t>
  </si>
  <si>
    <t>Dis ACCIONES PROPIAS READQUIRIDAS</t>
  </si>
  <si>
    <t>Aum PRIMA EN RECOLOCACION DE ACCIONES</t>
  </si>
  <si>
    <t>Accionista 1</t>
  </si>
  <si>
    <t>Accionista 2</t>
  </si>
  <si>
    <t>Accionista 3</t>
  </si>
  <si>
    <t>Accionista 4</t>
  </si>
  <si>
    <t>Readquisicipon de acciones = # de acciones readquiridas por el valor de la readquisición OPA</t>
  </si>
  <si>
    <t>CRE</t>
  </si>
  <si>
    <t>DBóAUM: ACCIONES PROPIAS READQUIRIDAS</t>
  </si>
  <si>
    <t>CRE ó DIS EFECTIVO</t>
  </si>
  <si>
    <t>COMO SE CREA UNA RESERVA</t>
  </si>
  <si>
    <t>DIS LAS UTILIDADES DEL EJERCICIO O EJERCICIOS ANTERIOR</t>
  </si>
  <si>
    <t>AUM RESERVA LEGAL</t>
  </si>
  <si>
    <t>AUM RESERVA FUTURO ENSAN</t>
  </si>
  <si>
    <t>AUM RESERVA PRO FIESTA</t>
  </si>
  <si>
    <t>DIS RESERVA LEGAL</t>
  </si>
  <si>
    <t>AUM RESERVA PRO FIESTA 31 DICIEMBRE</t>
  </si>
  <si>
    <t>Matriz Controlante: COMPAÑÍA A</t>
  </si>
  <si>
    <t>DEBITOS</t>
  </si>
  <si>
    <t>VALOR PORTAFOLIO DE A en B</t>
  </si>
  <si>
    <t>Activos financieros inversiones en Subsidiarias: B</t>
  </si>
  <si>
    <t>Perdida de B año 2020</t>
  </si>
  <si>
    <t>PyG de A: Gasto no operacional Perdida por metodo de participación</t>
  </si>
  <si>
    <t>ORI periodo</t>
  </si>
  <si>
    <t>Superavbir por metodo de participación PATRIMONIO DE A</t>
  </si>
  <si>
    <t>Dividendo por cobrar de A; B  Cuenta por cobrar</t>
  </si>
  <si>
    <t>INVERSIONES EN SUBSIDIARIAS</t>
  </si>
  <si>
    <t>ORI 6</t>
  </si>
  <si>
    <t xml:space="preserve">VALOR RAZONABLE </t>
  </si>
  <si>
    <t>CONTROLANTE ÉXITO 80%</t>
  </si>
  <si>
    <t>SUPERMERCADOS LA LIBERTAD</t>
  </si>
  <si>
    <t>AUM ACTIVO: INV INS PATR LIBERTAD S.A.</t>
  </si>
  <si>
    <t>AUM EFECT</t>
  </si>
  <si>
    <t>EFECTIVO</t>
  </si>
  <si>
    <t xml:space="preserve">AUM CAP </t>
  </si>
  <si>
    <t>AUM PCA</t>
  </si>
  <si>
    <t>AUM EDIFIC</t>
  </si>
  <si>
    <t>INGRESO POR METOD DE PARTICI</t>
  </si>
  <si>
    <t xml:space="preserve">UTILIDAD DEL </t>
  </si>
  <si>
    <t>ORI PYG</t>
  </si>
  <si>
    <t>OTROS COMPONENTE DEL PATRIMONI</t>
  </si>
  <si>
    <t>CREDITOS</t>
  </si>
  <si>
    <t>Estado de resultados año 1</t>
  </si>
  <si>
    <t>Cy Gastos</t>
  </si>
  <si>
    <t>Propiedad, Planta y Equipo: Edificios</t>
  </si>
  <si>
    <t>AUM ACT</t>
  </si>
  <si>
    <t>COMPRAMOS LA PRPOUEDAD</t>
  </si>
  <si>
    <t>DIS ACT</t>
  </si>
  <si>
    <t>ORI Reva PPyE</t>
  </si>
  <si>
    <t xml:space="preserve">Resultados </t>
  </si>
  <si>
    <t>Avaluo de un perito</t>
  </si>
  <si>
    <t>integrales totales</t>
  </si>
  <si>
    <t>Revaluación de propiedad planta y equipo</t>
  </si>
  <si>
    <t>AUM PPyE</t>
  </si>
  <si>
    <t>Estado de resultados año 2</t>
  </si>
  <si>
    <t>ORI: Superavit por revaluación de PPyE</t>
  </si>
  <si>
    <t>Ira en el segundo pedacito del Estado de resultados</t>
  </si>
  <si>
    <t>estado de situacion finanicera</t>
  </si>
  <si>
    <t>ACTI: Revaluacion PPyE</t>
  </si>
  <si>
    <t>PAT: Superavit por revaluacion</t>
  </si>
  <si>
    <t>Avaluo de un perito año 2</t>
  </si>
  <si>
    <t>ORI: Superavir por revaluación de PPyE</t>
  </si>
  <si>
    <t>Cuanto vale el activo al final del año 2:</t>
  </si>
  <si>
    <t>depreciación acumulada</t>
  </si>
  <si>
    <t xml:space="preserve">Valor en libros de </t>
  </si>
  <si>
    <t xml:space="preserve">Valor de venta </t>
  </si>
  <si>
    <t>Utilidad en venta de propiedad</t>
  </si>
  <si>
    <t>Pasivo estimado</t>
  </si>
  <si>
    <t>costos y gastos</t>
  </si>
  <si>
    <t>TOTAL PASIVO</t>
  </si>
  <si>
    <t>RESULTADOS</t>
  </si>
  <si>
    <t>ORI</t>
  </si>
  <si>
    <t>Revaluación de la ppy e</t>
  </si>
  <si>
    <t>TOTAL PASIVO + PATRIMONIO</t>
  </si>
  <si>
    <t>Revaluacion de Instrumentos finaniceros de patrimonio</t>
  </si>
  <si>
    <t>.+ ORI</t>
  </si>
  <si>
    <t>Credito</t>
  </si>
  <si>
    <t>.-ORI</t>
  </si>
  <si>
    <t>Debito</t>
  </si>
  <si>
    <t>Resultados intergales totales de la empresa</t>
  </si>
  <si>
    <t>Pro planta y equipo</t>
  </si>
  <si>
    <t>valor de mercado</t>
  </si>
  <si>
    <t>Revaluación</t>
  </si>
  <si>
    <t>LAS SABROSITAS</t>
  </si>
  <si>
    <t>Aum Inversiones activos finaniceros</t>
  </si>
  <si>
    <t>Aum: Ingreso por metodo de participacoón</t>
  </si>
  <si>
    <t>BANCOLOMBIA</t>
  </si>
  <si>
    <t xml:space="preserve">Utilidad del ejercicio </t>
  </si>
  <si>
    <t>Rseultados integrales de bancolombia</t>
  </si>
  <si>
    <t>ESTADO DE RESULATADOS INTEGRALES</t>
  </si>
  <si>
    <t>COMPAÑÍA COLOMBINA S.A.</t>
  </si>
  <si>
    <t>FNEo+</t>
  </si>
  <si>
    <t>PAGA IMP</t>
  </si>
  <si>
    <t>Pago de impuesto de impuesto renta</t>
  </si>
  <si>
    <t>PAG INT</t>
  </si>
  <si>
    <t>PAG DIV</t>
  </si>
  <si>
    <t>Pseudo ECO Efectivo consumido otras operación</t>
  </si>
  <si>
    <t>PSEUDO EGO TOTAL: Efectivo generado por la operación</t>
  </si>
  <si>
    <t>TOTAL PSEUDO ECO: Efectivo consumido operación</t>
  </si>
  <si>
    <t>cobertura liquidez</t>
  </si>
  <si>
    <t>Básica</t>
  </si>
  <si>
    <t>ECO+PAG IMP+PAG INT+PAG DIV</t>
  </si>
  <si>
    <t>Prestamos pagados/reembolsos prestamos</t>
  </si>
  <si>
    <t>Pago Dividendos</t>
  </si>
  <si>
    <t>ACIDA</t>
  </si>
  <si>
    <t>ECO+PAG IMP+PAG INT+PAG DIV+AMORTIZACION DEUDA</t>
  </si>
  <si>
    <t>Efecto de la tasa de cambio</t>
  </si>
  <si>
    <t>TdeC</t>
  </si>
  <si>
    <t>tendencia</t>
  </si>
  <si>
    <t>vs industria Sector</t>
  </si>
  <si>
    <t>COMPAÑÍA FABRICATO S.A.</t>
  </si>
  <si>
    <t>competencia</t>
  </si>
  <si>
    <t>a DICIEMBRE 31 DE 2019</t>
  </si>
  <si>
    <t>Efectivo consumido otras operación</t>
  </si>
  <si>
    <t>Cobertura de la liquidez básica 2019</t>
  </si>
  <si>
    <t>.=EGO/ECO+IMPUESTOS+INTERESES+DIVIDENDOS</t>
  </si>
  <si>
    <t>Cobertura de la liquidez acida 2019</t>
  </si>
  <si>
    <t>.=EGO/ECO+IMPUESTOS+INTERESES+DIVIDENDOS+ABONO CUOTAS DEUDA VIEJA</t>
  </si>
  <si>
    <t>FUENTES DE EFECTIVO</t>
  </si>
  <si>
    <t>APLICACIONES DE EFECTIVO</t>
  </si>
  <si>
    <t>Entrada o devolución de impuesto renta</t>
  </si>
  <si>
    <t>PCF Estado de Flujos de Efectivo (Método INdirecto)</t>
  </si>
  <si>
    <t>OPERACIÓN</t>
  </si>
  <si>
    <t>INVERSION</t>
  </si>
  <si>
    <t>FINANICACION</t>
  </si>
  <si>
    <t>PSEUDO Efectivo consumido otras operación</t>
  </si>
  <si>
    <t>Pago de DIVIDENDOS</t>
  </si>
  <si>
    <t>año 2020</t>
  </si>
  <si>
    <t>año 2019</t>
  </si>
  <si>
    <t>.=PSEUDO EGO/ PSEUDO ECO+IMPUESTOS+INTERESES+DIVIDENDOS</t>
  </si>
  <si>
    <t>.=PSEUDO EGO/PSEUDO ECO+IMPUESTOS+INTERESES+DIVIDENDOS+ABONO CUOTAS DEUDA VIEJA</t>
  </si>
  <si>
    <t>COBERTURA DE LA LIQUIDEZ BÀSICA</t>
  </si>
  <si>
    <t>ECO+PAGO DE IMPUESTOS+PAGO DE INTERESES+PAGO DE DIVIDENDOS</t>
  </si>
  <si>
    <t>COBERTURA DE LA LIQUIDEZ ACIDA</t>
  </si>
  <si>
    <t>ECO+PAGO DE IMPUESTOS+PAGO DE INTERESES+PAGO DE DIVIDENDOS+ AMORTIZACION CAPITAL DE DEUDA</t>
  </si>
  <si>
    <t>Utilidad del NETA ejercicio</t>
  </si>
  <si>
    <t xml:space="preserve">Total Resultados Integrales </t>
  </si>
  <si>
    <t>Valor de venta del activo</t>
  </si>
  <si>
    <t>P,p y equipo</t>
  </si>
  <si>
    <t>ORI acumulados</t>
  </si>
  <si>
    <t>Ingreso por metodo de partici</t>
  </si>
  <si>
    <t>Incre ACTI ORI</t>
  </si>
  <si>
    <t>ACTIVOS TOTALES</t>
  </si>
  <si>
    <t>Participación ORI Subsidiarias y asociadas</t>
  </si>
  <si>
    <t>EdeRESULTADOS</t>
  </si>
  <si>
    <t>ORI Rev P, PyE</t>
  </si>
  <si>
    <t>Tpyp</t>
  </si>
  <si>
    <t>Valorizaciones</t>
  </si>
  <si>
    <t>ORI ACUMULADOS</t>
  </si>
  <si>
    <t>EDIFICIO</t>
  </si>
  <si>
    <t>ORI PER POR DESVA ppYe</t>
  </si>
  <si>
    <t>Inversión en acciones NUTRESA80%</t>
  </si>
  <si>
    <t xml:space="preserve">UTILIDAD NUTRESANeta </t>
  </si>
  <si>
    <t>A DICIEMBRE 31 DE 2021</t>
  </si>
  <si>
    <t>DE ENERO 1 A DICIEMBRE 31 DE 2021</t>
  </si>
  <si>
    <t>Colombina SA</t>
  </si>
  <si>
    <t>K Autorizado</t>
  </si>
  <si>
    <t>K por Suscribir</t>
  </si>
  <si>
    <t>K Suscrito y Pagado</t>
  </si>
  <si>
    <t>Vamos a vender 1 Accion a 100$</t>
  </si>
  <si>
    <t>Prima por Emision</t>
  </si>
  <si>
    <t>(Usos)</t>
  </si>
  <si>
    <t>Fuentes</t>
  </si>
  <si>
    <t>a DICIEMBRE 31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</si>
</sst>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&quot;$&quot;\ #,##0;[Red]\-&quot;$&quot;\ #,##0"/>
    <numFmt numFmtId="42" formatCode="_-&quot;$&quot;\ * #,##0_-;\-&quot;$&quot;\ * #,##0_-;_-&quot;$&quot;\ * &quot;-&quot;_-;_-@_-"/>
    <numFmt numFmtId="41" formatCode="_-* #,##0_-;\-* #,##0_-;_-* &quot;-&quot;_-;_-@_-"/>
    <numFmt numFmtId="44" formatCode="_-&quot;$&quot;\ * #,##0.00_-;\-&quot;$&quot;\ * #,##0.00_-;_-&quot;$&quot;\ * &quot;-&quot;??_-;_-@_-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0.0%"/>
    <numFmt numFmtId="167" formatCode="0.0000%"/>
    <numFmt numFmtId="168" formatCode="_-* #,##0.0000000_-;\-* #,##0.0000000_-;_-* &quot;-&quot;???????_-;_-@_-"/>
    <numFmt numFmtId="169" formatCode="_-&quot;$&quot;* #,##0.00_-;\-&quot;$&quot;* #,##0.00_-;_-&quot;$&quot;* &quot;-&quot;_-;_-@_-"/>
    <numFmt numFmtId="170" formatCode="[$$-240A]\ #,##0"/>
    <numFmt numFmtId="171" formatCode="#,##0.0000_ ;\-#,##0.0000\ "/>
    <numFmt numFmtId="172" formatCode="0.0000"/>
    <numFmt numFmtId="173" formatCode="_-&quot;$&quot;* #,##0.0_-;\-&quot;$&quot;* #,##0.0_-;_-&quot;$&quot;* &quot;-&quot;_-;_-@_-"/>
    <numFmt numFmtId="174" formatCode="&quot;$&quot;\ #,##0"/>
    <numFmt numFmtId="175" formatCode="_-&quot;$&quot;\ * #,##0.00_-;\-&quot;$&quot;\ * #,##0.00_-;_-&quot;$&quot;\ * &quot;-&quot;_-;_-@_-"/>
    <numFmt numFmtId="176" formatCode="#,##0_ ;\-#,##0\ "/>
    <numFmt numFmtId="177" formatCode="_-* #,##0.000_-;\-* #,##0.000_-;_-* &quot;-&quot;_-;_-@_-"/>
  </numFmts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i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2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1"/>
      <name val="Century Gothic"/>
      <family val="2"/>
    </font>
    <font>
      <sz val="11"/>
      <color theme="1"/>
      <name val="Century Gothic"/>
      <family val="2"/>
    </font>
    <font>
      <b/>
      <u/>
      <sz val="11"/>
      <name val="Century Gothic"/>
      <family val="2"/>
    </font>
    <font>
      <sz val="11"/>
      <name val="Century Gothic"/>
      <family val="2"/>
    </font>
    <font>
      <sz val="11"/>
      <color rgb="FFFF0000"/>
      <name val="Century Gothic"/>
      <family val="2"/>
    </font>
    <font>
      <b/>
      <sz val="11"/>
      <color theme="4" tint="-0.499984740745262"/>
      <name val="Century Gothic"/>
      <family val="2"/>
    </font>
    <font>
      <b/>
      <sz val="11"/>
      <color rgb="FFFF0000"/>
      <name val="Century Gothic"/>
      <family val="2"/>
    </font>
    <font>
      <b/>
      <sz val="11"/>
      <color theme="1"/>
      <name val="Century Gothic"/>
      <family val="2"/>
    </font>
    <font>
      <sz val="11"/>
      <color rgb="FF92D050"/>
      <name val="Century Gothic"/>
      <family val="2"/>
    </font>
    <font>
      <sz val="11"/>
      <color rgb="FFFFFF00"/>
      <name val="Century Gothic"/>
      <family val="2"/>
    </font>
    <font>
      <u/>
      <sz val="11"/>
      <name val="Century Gothic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8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rgb="FFFF0000"/>
      <name val="Arial Narrow"/>
      <family val="2"/>
    </font>
    <font>
      <b/>
      <sz val="11"/>
      <color rgb="FFFF0000"/>
      <name val="Arial Narrow"/>
      <family val="2"/>
    </font>
    <font>
      <b/>
      <i/>
      <sz val="11"/>
      <name val="Arial Narrow"/>
      <family val="2"/>
    </font>
    <font>
      <i/>
      <sz val="11"/>
      <name val="Arial Narrow"/>
      <family val="2"/>
    </font>
    <font>
      <i/>
      <sz val="11"/>
      <color theme="1"/>
      <name val="Calibri"/>
      <family val="2"/>
    </font>
    <font>
      <b/>
      <sz val="11"/>
      <color theme="1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9" tint="-0.499984740745262"/>
      <name val="Century Gothic"/>
      <family val="2"/>
    </font>
    <font>
      <sz val="11"/>
      <color theme="9" tint="-0.499984740745262"/>
      <name val="Century Gothic"/>
      <family val="2"/>
    </font>
    <font>
      <b/>
      <u/>
      <sz val="11"/>
      <color rgb="FFFF0000"/>
      <name val="Century Gothic"/>
      <family val="2"/>
    </font>
  </fonts>
  <fills count="3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389D6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6" fillId="0" borderId="0"/>
    <xf numFmtId="44" fontId="1" fillId="0" borderId="0" applyFont="0" applyFill="0" applyBorder="0" applyAlignment="0" applyProtection="0"/>
  </cellStyleXfs>
  <cellXfs count="1169">
    <xf numFmtId="0" fontId="0" fillId="0" borderId="0" xfId="0"/>
    <xf numFmtId="0" fontId="4" fillId="0" borderId="0" xfId="0" applyFont="1"/>
    <xf numFmtId="41" fontId="0" fillId="0" borderId="0" xfId="1" applyFont="1"/>
    <xf numFmtId="0" fontId="5" fillId="2" borderId="0" xfId="0" applyFont="1" applyFill="1" applyAlignment="1">
      <alignment horizontal="center"/>
    </xf>
    <xf numFmtId="0" fontId="6" fillId="4" borderId="1" xfId="0" applyFont="1" applyFill="1" applyBorder="1"/>
    <xf numFmtId="0" fontId="6" fillId="2" borderId="1" xfId="0" applyFont="1" applyFill="1" applyBorder="1"/>
    <xf numFmtId="0" fontId="0" fillId="0" borderId="1" xfId="0" applyBorder="1" applyAlignment="1">
      <alignment horizontal="center"/>
    </xf>
    <xf numFmtId="41" fontId="0" fillId="0" borderId="1" xfId="1" applyFont="1" applyBorder="1"/>
    <xf numFmtId="0" fontId="0" fillId="0" borderId="1" xfId="0" applyBorder="1"/>
    <xf numFmtId="41" fontId="0" fillId="0" borderId="1" xfId="0" applyNumberFormat="1" applyBorder="1"/>
    <xf numFmtId="0" fontId="0" fillId="0" borderId="0" xfId="0" applyAlignment="1">
      <alignment horizontal="center"/>
    </xf>
    <xf numFmtId="41" fontId="0" fillId="0" borderId="0" xfId="0" applyNumberFormat="1"/>
    <xf numFmtId="0" fontId="5" fillId="5" borderId="0" xfId="0" applyFont="1" applyFill="1" applyAlignment="1">
      <alignment horizontal="center"/>
    </xf>
    <xf numFmtId="0" fontId="6" fillId="7" borderId="1" xfId="0" applyFont="1" applyFill="1" applyBorder="1"/>
    <xf numFmtId="41" fontId="0" fillId="0" borderId="1" xfId="1" quotePrefix="1" applyFont="1" applyBorder="1"/>
    <xf numFmtId="0" fontId="0" fillId="8" borderId="0" xfId="0" applyFill="1"/>
    <xf numFmtId="41" fontId="7" fillId="8" borderId="0" xfId="0" applyNumberFormat="1" applyFont="1" applyFill="1"/>
    <xf numFmtId="41" fontId="7" fillId="0" borderId="0" xfId="0" applyNumberFormat="1" applyFont="1"/>
    <xf numFmtId="0" fontId="5" fillId="9" borderId="0" xfId="0" applyFont="1" applyFill="1" applyAlignment="1">
      <alignment horizontal="center"/>
    </xf>
    <xf numFmtId="0" fontId="6" fillId="11" borderId="1" xfId="0" applyFont="1" applyFill="1" applyBorder="1"/>
    <xf numFmtId="0" fontId="6" fillId="9" borderId="1" xfId="0" applyFont="1" applyFill="1" applyBorder="1"/>
    <xf numFmtId="0" fontId="0" fillId="0" borderId="2" xfId="0" applyBorder="1"/>
    <xf numFmtId="9" fontId="0" fillId="0" borderId="1" xfId="2" applyFont="1" applyBorder="1"/>
    <xf numFmtId="41" fontId="0" fillId="0" borderId="2" xfId="0" applyNumberFormat="1" applyBorder="1"/>
    <xf numFmtId="9" fontId="0" fillId="0" borderId="0" xfId="2" applyFont="1"/>
    <xf numFmtId="0" fontId="5" fillId="12" borderId="0" xfId="0" applyFont="1" applyFill="1" applyAlignment="1">
      <alignment horizontal="center"/>
    </xf>
    <xf numFmtId="0" fontId="6" fillId="14" borderId="1" xfId="0" applyFont="1" applyFill="1" applyBorder="1"/>
    <xf numFmtId="0" fontId="6" fillId="12" borderId="1" xfId="0" applyFont="1" applyFill="1" applyBorder="1"/>
    <xf numFmtId="166" fontId="0" fillId="0" borderId="1" xfId="2" applyNumberFormat="1" applyFont="1" applyBorder="1"/>
    <xf numFmtId="0" fontId="5" fillId="15" borderId="0" xfId="0" applyFont="1" applyFill="1" applyAlignment="1">
      <alignment horizontal="center"/>
    </xf>
    <xf numFmtId="0" fontId="6" fillId="0" borderId="0" xfId="0" applyFont="1"/>
    <xf numFmtId="167" fontId="2" fillId="0" borderId="0" xfId="2" applyNumberFormat="1" applyFont="1"/>
    <xf numFmtId="0" fontId="6" fillId="8" borderId="1" xfId="0" applyFont="1" applyFill="1" applyBorder="1"/>
    <xf numFmtId="168" fontId="0" fillId="0" borderId="0" xfId="0" applyNumberFormat="1"/>
    <xf numFmtId="9" fontId="0" fillId="0" borderId="0" xfId="1" applyNumberFormat="1" applyFont="1"/>
    <xf numFmtId="0" fontId="0" fillId="17" borderId="0" xfId="0" applyFill="1"/>
    <xf numFmtId="0" fontId="0" fillId="0" borderId="5" xfId="0" applyBorder="1"/>
    <xf numFmtId="41" fontId="0" fillId="0" borderId="5" xfId="1" applyFont="1" applyBorder="1"/>
    <xf numFmtId="41" fontId="0" fillId="18" borderId="1" xfId="1" applyFont="1" applyFill="1" applyBorder="1"/>
    <xf numFmtId="41" fontId="7" fillId="18" borderId="1" xfId="0" applyNumberFormat="1" applyFont="1" applyFill="1" applyBorder="1"/>
    <xf numFmtId="41" fontId="7" fillId="0" borderId="1" xfId="1" applyFont="1" applyBorder="1"/>
    <xf numFmtId="41" fontId="7" fillId="6" borderId="1" xfId="1" applyFont="1" applyFill="1" applyBorder="1"/>
    <xf numFmtId="41" fontId="0" fillId="0" borderId="0" xfId="1" applyFont="1" applyAlignment="1">
      <alignment horizontal="right"/>
    </xf>
    <xf numFmtId="9" fontId="0" fillId="0" borderId="0" xfId="0" applyNumberFormat="1" applyAlignment="1">
      <alignment horizontal="right"/>
    </xf>
    <xf numFmtId="0" fontId="0" fillId="19" borderId="0" xfId="0" applyFill="1"/>
    <xf numFmtId="9" fontId="0" fillId="0" borderId="0" xfId="0" applyNumberFormat="1"/>
    <xf numFmtId="0" fontId="0" fillId="20" borderId="0" xfId="0" applyFill="1"/>
    <xf numFmtId="0" fontId="0" fillId="18" borderId="0" xfId="0" applyFill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right"/>
    </xf>
    <xf numFmtId="0" fontId="0" fillId="4" borderId="0" xfId="0" applyFill="1"/>
    <xf numFmtId="0" fontId="0" fillId="9" borderId="0" xfId="0" applyFill="1"/>
    <xf numFmtId="0" fontId="0" fillId="9" borderId="0" xfId="0" applyFill="1" applyAlignment="1">
      <alignment horizontal="left"/>
    </xf>
    <xf numFmtId="0" fontId="0" fillId="0" borderId="0" xfId="0" applyAlignment="1">
      <alignment horizontal="right"/>
    </xf>
    <xf numFmtId="0" fontId="0" fillId="20" borderId="0" xfId="0" applyFill="1" applyAlignment="1">
      <alignment horizontal="right"/>
    </xf>
    <xf numFmtId="0" fontId="0" fillId="20" borderId="6" xfId="0" applyFill="1" applyBorder="1"/>
    <xf numFmtId="0" fontId="0" fillId="6" borderId="0" xfId="0" applyFill="1"/>
    <xf numFmtId="0" fontId="0" fillId="6" borderId="0" xfId="0" applyFill="1" applyAlignment="1">
      <alignment horizontal="right"/>
    </xf>
    <xf numFmtId="0" fontId="0" fillId="18" borderId="0" xfId="0" applyFill="1" applyAlignment="1">
      <alignment horizontal="right"/>
    </xf>
    <xf numFmtId="0" fontId="10" fillId="20" borderId="0" xfId="0" applyFont="1" applyFill="1"/>
    <xf numFmtId="0" fontId="10" fillId="19" borderId="0" xfId="0" applyFont="1" applyFill="1"/>
    <xf numFmtId="0" fontId="10" fillId="21" borderId="0" xfId="0" applyFont="1" applyFill="1"/>
    <xf numFmtId="6" fontId="0" fillId="0" borderId="0" xfId="0" applyNumberFormat="1"/>
    <xf numFmtId="6" fontId="0" fillId="20" borderId="0" xfId="0" applyNumberFormat="1" applyFill="1"/>
    <xf numFmtId="0" fontId="0" fillId="0" borderId="0" xfId="0" applyAlignment="1">
      <alignment horizontal="center" vertical="center" wrapText="1"/>
    </xf>
    <xf numFmtId="6" fontId="2" fillId="0" borderId="0" xfId="0" applyNumberFormat="1" applyFont="1"/>
    <xf numFmtId="6" fontId="0" fillId="21" borderId="9" xfId="0" applyNumberFormat="1" applyFill="1" applyBorder="1"/>
    <xf numFmtId="0" fontId="0" fillId="21" borderId="9" xfId="0" applyFill="1" applyBorder="1"/>
    <xf numFmtId="0" fontId="2" fillId="0" borderId="0" xfId="0" applyFont="1"/>
    <xf numFmtId="0" fontId="0" fillId="20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6" fontId="0" fillId="3" borderId="0" xfId="0" applyNumberFormat="1" applyFill="1"/>
    <xf numFmtId="0" fontId="0" fillId="20" borderId="0" xfId="0" applyFill="1" applyAlignment="1">
      <alignment horizontal="center"/>
    </xf>
    <xf numFmtId="0" fontId="0" fillId="22" borderId="0" xfId="0" applyFill="1"/>
    <xf numFmtId="0" fontId="0" fillId="21" borderId="0" xfId="0" applyFill="1"/>
    <xf numFmtId="0" fontId="2" fillId="20" borderId="0" xfId="0" applyFont="1" applyFill="1"/>
    <xf numFmtId="0" fontId="2" fillId="0" borderId="1" xfId="0" applyFont="1" applyBorder="1"/>
    <xf numFmtId="0" fontId="10" fillId="0" borderId="0" xfId="0" applyFont="1"/>
    <xf numFmtId="0" fontId="11" fillId="0" borderId="0" xfId="0" applyFont="1"/>
    <xf numFmtId="0" fontId="11" fillId="20" borderId="0" xfId="0" applyFont="1" applyFill="1" applyAlignment="1">
      <alignment horizontal="right"/>
    </xf>
    <xf numFmtId="0" fontId="14" fillId="0" borderId="0" xfId="0" applyFont="1" applyAlignment="1">
      <alignment horizontal="center"/>
    </xf>
    <xf numFmtId="0" fontId="11" fillId="6" borderId="0" xfId="0" applyFont="1" applyFill="1"/>
    <xf numFmtId="0" fontId="10" fillId="6" borderId="0" xfId="0" applyFont="1" applyFill="1"/>
    <xf numFmtId="0" fontId="12" fillId="0" borderId="0" xfId="0" applyFont="1"/>
    <xf numFmtId="0" fontId="13" fillId="0" borderId="0" xfId="0" applyFont="1"/>
    <xf numFmtId="0" fontId="12" fillId="0" borderId="1" xfId="0" applyFont="1" applyBorder="1"/>
    <xf numFmtId="0" fontId="13" fillId="20" borderId="0" xfId="0" applyFont="1" applyFill="1"/>
    <xf numFmtId="0" fontId="12" fillId="20" borderId="0" xfId="0" applyFont="1" applyFill="1"/>
    <xf numFmtId="0" fontId="10" fillId="19" borderId="1" xfId="0" applyFont="1" applyFill="1" applyBorder="1"/>
    <xf numFmtId="0" fontId="11" fillId="19" borderId="1" xfId="0" applyFont="1" applyFill="1" applyBorder="1" applyAlignment="1">
      <alignment horizontal="right"/>
    </xf>
    <xf numFmtId="0" fontId="11" fillId="20" borderId="1" xfId="0" applyFont="1" applyFill="1" applyBorder="1"/>
    <xf numFmtId="0" fontId="10" fillId="20" borderId="1" xfId="0" applyFont="1" applyFill="1" applyBorder="1"/>
    <xf numFmtId="0" fontId="11" fillId="20" borderId="1" xfId="0" applyFont="1" applyFill="1" applyBorder="1" applyAlignment="1">
      <alignment horizontal="right"/>
    </xf>
    <xf numFmtId="0" fontId="11" fillId="21" borderId="1" xfId="0" applyFont="1" applyFill="1" applyBorder="1"/>
    <xf numFmtId="0" fontId="10" fillId="21" borderId="1" xfId="0" applyFont="1" applyFill="1" applyBorder="1"/>
    <xf numFmtId="0" fontId="10" fillId="20" borderId="7" xfId="0" applyFont="1" applyFill="1" applyBorder="1"/>
    <xf numFmtId="0" fontId="11" fillId="6" borderId="1" xfId="0" applyFont="1" applyFill="1" applyBorder="1" applyAlignment="1">
      <alignment horizontal="right"/>
    </xf>
    <xf numFmtId="0" fontId="10" fillId="6" borderId="1" xfId="0" applyFont="1" applyFill="1" applyBorder="1"/>
    <xf numFmtId="0" fontId="10" fillId="6" borderId="7" xfId="0" applyFont="1" applyFill="1" applyBorder="1"/>
    <xf numFmtId="0" fontId="10" fillId="0" borderId="14" xfId="0" applyFont="1" applyBorder="1"/>
    <xf numFmtId="0" fontId="12" fillId="0" borderId="15" xfId="0" applyFont="1" applyBorder="1"/>
    <xf numFmtId="0" fontId="12" fillId="0" borderId="14" xfId="0" applyFont="1" applyBorder="1"/>
    <xf numFmtId="0" fontId="12" fillId="0" borderId="16" xfId="0" applyFont="1" applyBorder="1"/>
    <xf numFmtId="42" fontId="0" fillId="0" borderId="0" xfId="3" applyFont="1"/>
    <xf numFmtId="42" fontId="0" fillId="0" borderId="0" xfId="0" applyNumberFormat="1"/>
    <xf numFmtId="0" fontId="2" fillId="0" borderId="0" xfId="0" applyFont="1" applyAlignment="1">
      <alignment vertical="center"/>
    </xf>
    <xf numFmtId="0" fontId="0" fillId="13" borderId="0" xfId="0" applyFill="1"/>
    <xf numFmtId="0" fontId="0" fillId="10" borderId="0" xfId="0" applyFill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20" borderId="11" xfId="0" applyFill="1" applyBorder="1"/>
    <xf numFmtId="0" fontId="0" fillId="20" borderId="18" xfId="0" applyFill="1" applyBorder="1"/>
    <xf numFmtId="0" fontId="0" fillId="20" borderId="19" xfId="0" applyFill="1" applyBorder="1"/>
    <xf numFmtId="0" fontId="2" fillId="20" borderId="18" xfId="0" applyFont="1" applyFill="1" applyBorder="1"/>
    <xf numFmtId="0" fontId="2" fillId="19" borderId="0" xfId="0" applyFont="1" applyFill="1"/>
    <xf numFmtId="0" fontId="2" fillId="20" borderId="20" xfId="0" applyFont="1" applyFill="1" applyBorder="1"/>
    <xf numFmtId="0" fontId="2" fillId="20" borderId="21" xfId="0" applyFont="1" applyFill="1" applyBorder="1"/>
    <xf numFmtId="0" fontId="0" fillId="20" borderId="22" xfId="0" applyFill="1" applyBorder="1"/>
    <xf numFmtId="0" fontId="0" fillId="21" borderId="20" xfId="0" applyFill="1" applyBorder="1"/>
    <xf numFmtId="0" fontId="0" fillId="21" borderId="21" xfId="0" applyFill="1" applyBorder="1"/>
    <xf numFmtId="0" fontId="0" fillId="21" borderId="22" xfId="0" applyFill="1" applyBorder="1"/>
    <xf numFmtId="0" fontId="0" fillId="23" borderId="0" xfId="0" applyFill="1"/>
    <xf numFmtId="0" fontId="0" fillId="19" borderId="20" xfId="0" applyFill="1" applyBorder="1"/>
    <xf numFmtId="0" fontId="0" fillId="0" borderId="22" xfId="0" applyBorder="1"/>
    <xf numFmtId="0" fontId="0" fillId="17" borderId="0" xfId="0" applyFill="1" applyAlignment="1">
      <alignment horizontal="right"/>
    </xf>
    <xf numFmtId="0" fontId="2" fillId="13" borderId="0" xfId="0" applyFont="1" applyFill="1"/>
    <xf numFmtId="0" fontId="2" fillId="20" borderId="22" xfId="0" applyFont="1" applyFill="1" applyBorder="1"/>
    <xf numFmtId="0" fontId="2" fillId="13" borderId="20" xfId="0" applyFont="1" applyFill="1" applyBorder="1"/>
    <xf numFmtId="0" fontId="2" fillId="13" borderId="21" xfId="0" applyFont="1" applyFill="1" applyBorder="1"/>
    <xf numFmtId="0" fontId="2" fillId="19" borderId="20" xfId="0" applyFont="1" applyFill="1" applyBorder="1"/>
    <xf numFmtId="0" fontId="2" fillId="19" borderId="21" xfId="0" applyFont="1" applyFill="1" applyBorder="1"/>
    <xf numFmtId="0" fontId="2" fillId="19" borderId="22" xfId="0" applyFont="1" applyFill="1" applyBorder="1"/>
    <xf numFmtId="0" fontId="0" fillId="13" borderId="23" xfId="0" applyFill="1" applyBorder="1"/>
    <xf numFmtId="0" fontId="0" fillId="13" borderId="24" xfId="0" applyFill="1" applyBorder="1"/>
    <xf numFmtId="0" fontId="2" fillId="13" borderId="6" xfId="0" applyFon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1" xfId="0" applyBorder="1"/>
    <xf numFmtId="0" fontId="2" fillId="0" borderId="18" xfId="0" applyFont="1" applyBorder="1"/>
    <xf numFmtId="10" fontId="0" fillId="0" borderId="0" xfId="2" applyNumberFormat="1" applyFont="1" applyFill="1"/>
    <xf numFmtId="10" fontId="0" fillId="0" borderId="0" xfId="0" applyNumberFormat="1"/>
    <xf numFmtId="0" fontId="0" fillId="0" borderId="30" xfId="0" applyBorder="1"/>
    <xf numFmtId="0" fontId="13" fillId="20" borderId="0" xfId="0" applyFont="1" applyFill="1" applyAlignment="1">
      <alignment horizontal="center"/>
    </xf>
    <xf numFmtId="0" fontId="11" fillId="20" borderId="0" xfId="0" applyFont="1" applyFill="1"/>
    <xf numFmtId="0" fontId="14" fillId="24" borderId="0" xfId="0" applyFont="1" applyFill="1" applyAlignment="1">
      <alignment horizontal="center"/>
    </xf>
    <xf numFmtId="0" fontId="10" fillId="24" borderId="0" xfId="0" applyFont="1" applyFill="1"/>
    <xf numFmtId="0" fontId="12" fillId="24" borderId="0" xfId="0" applyFont="1" applyFill="1"/>
    <xf numFmtId="0" fontId="12" fillId="24" borderId="0" xfId="0" applyFont="1" applyFill="1" applyAlignment="1">
      <alignment horizontal="center"/>
    </xf>
    <xf numFmtId="0" fontId="13" fillId="13" borderId="0" xfId="0" applyFont="1" applyFill="1"/>
    <xf numFmtId="0" fontId="10" fillId="13" borderId="0" xfId="0" applyFont="1" applyFill="1"/>
    <xf numFmtId="0" fontId="11" fillId="13" borderId="1" xfId="0" applyFont="1" applyFill="1" applyBorder="1"/>
    <xf numFmtId="0" fontId="10" fillId="13" borderId="1" xfId="0" applyFont="1" applyFill="1" applyBorder="1"/>
    <xf numFmtId="0" fontId="11" fillId="13" borderId="1" xfId="0" applyFont="1" applyFill="1" applyBorder="1" applyAlignment="1">
      <alignment horizontal="right"/>
    </xf>
    <xf numFmtId="0" fontId="10" fillId="21" borderId="1" xfId="0" applyFont="1" applyFill="1" applyBorder="1" applyAlignment="1">
      <alignment horizontal="right"/>
    </xf>
    <xf numFmtId="0" fontId="11" fillId="17" borderId="1" xfId="0" applyFont="1" applyFill="1" applyBorder="1"/>
    <xf numFmtId="0" fontId="10" fillId="17" borderId="1" xfId="0" applyFont="1" applyFill="1" applyBorder="1"/>
    <xf numFmtId="0" fontId="10" fillId="17" borderId="0" xfId="0" applyFont="1" applyFill="1"/>
    <xf numFmtId="0" fontId="11" fillId="19" borderId="26" xfId="0" applyFont="1" applyFill="1" applyBorder="1"/>
    <xf numFmtId="0" fontId="10" fillId="19" borderId="26" xfId="0" applyFont="1" applyFill="1" applyBorder="1"/>
    <xf numFmtId="0" fontId="10" fillId="6" borderId="27" xfId="0" applyFont="1" applyFill="1" applyBorder="1"/>
    <xf numFmtId="0" fontId="10" fillId="6" borderId="33" xfId="0" applyFont="1" applyFill="1" applyBorder="1"/>
    <xf numFmtId="0" fontId="10" fillId="6" borderId="17" xfId="0" applyFont="1" applyFill="1" applyBorder="1"/>
    <xf numFmtId="0" fontId="10" fillId="6" borderId="11" xfId="0" applyFont="1" applyFill="1" applyBorder="1"/>
    <xf numFmtId="0" fontId="11" fillId="6" borderId="31" xfId="0" applyFont="1" applyFill="1" applyBorder="1" applyAlignment="1">
      <alignment horizontal="right"/>
    </xf>
    <xf numFmtId="0" fontId="10" fillId="6" borderId="34" xfId="0" applyFont="1" applyFill="1" applyBorder="1"/>
    <xf numFmtId="0" fontId="10" fillId="6" borderId="14" xfId="0" applyFont="1" applyFill="1" applyBorder="1"/>
    <xf numFmtId="0" fontId="10" fillId="6" borderId="13" xfId="0" applyFont="1" applyFill="1" applyBorder="1"/>
    <xf numFmtId="0" fontId="11" fillId="2" borderId="0" xfId="0" applyFont="1" applyFill="1"/>
    <xf numFmtId="0" fontId="10" fillId="2" borderId="0" xfId="0" applyFont="1" applyFill="1"/>
    <xf numFmtId="0" fontId="10" fillId="2" borderId="1" xfId="0" applyFont="1" applyFill="1" applyBorder="1"/>
    <xf numFmtId="0" fontId="10" fillId="2" borderId="7" xfId="0" applyFont="1" applyFill="1" applyBorder="1"/>
    <xf numFmtId="0" fontId="11" fillId="2" borderId="1" xfId="0" applyFont="1" applyFill="1" applyBorder="1" applyAlignment="1">
      <alignment horizontal="right"/>
    </xf>
    <xf numFmtId="0" fontId="10" fillId="2" borderId="1" xfId="0" applyFont="1" applyFill="1" applyBorder="1" applyAlignment="1">
      <alignment horizontal="left"/>
    </xf>
    <xf numFmtId="0" fontId="13" fillId="21" borderId="1" xfId="0" applyFont="1" applyFill="1" applyBorder="1" applyAlignment="1">
      <alignment horizontal="left"/>
    </xf>
    <xf numFmtId="0" fontId="12" fillId="21" borderId="1" xfId="0" applyFont="1" applyFill="1" applyBorder="1"/>
    <xf numFmtId="0" fontId="12" fillId="21" borderId="7" xfId="0" applyFont="1" applyFill="1" applyBorder="1"/>
    <xf numFmtId="0" fontId="13" fillId="21" borderId="1" xfId="0" applyFont="1" applyFill="1" applyBorder="1" applyAlignment="1">
      <alignment horizontal="right"/>
    </xf>
    <xf numFmtId="0" fontId="10" fillId="21" borderId="7" xfId="0" applyFont="1" applyFill="1" applyBorder="1"/>
    <xf numFmtId="0" fontId="2" fillId="21" borderId="1" xfId="0" applyFont="1" applyFill="1" applyBorder="1"/>
    <xf numFmtId="0" fontId="2" fillId="21" borderId="0" xfId="0" applyFont="1" applyFill="1"/>
    <xf numFmtId="0" fontId="0" fillId="20" borderId="9" xfId="0" applyFill="1" applyBorder="1"/>
    <xf numFmtId="0" fontId="0" fillId="0" borderId="4" xfId="0" applyBorder="1"/>
    <xf numFmtId="17" fontId="0" fillId="0" borderId="0" xfId="0" applyNumberFormat="1"/>
    <xf numFmtId="0" fontId="0" fillId="6" borderId="18" xfId="0" applyFill="1" applyBorder="1"/>
    <xf numFmtId="0" fontId="2" fillId="9" borderId="20" xfId="0" applyFont="1" applyFill="1" applyBorder="1"/>
    <xf numFmtId="0" fontId="2" fillId="9" borderId="21" xfId="0" applyFont="1" applyFill="1" applyBorder="1"/>
    <xf numFmtId="0" fontId="0" fillId="25" borderId="0" xfId="0" applyFill="1"/>
    <xf numFmtId="0" fontId="0" fillId="3" borderId="1" xfId="0" applyFill="1" applyBorder="1"/>
    <xf numFmtId="10" fontId="0" fillId="0" borderId="29" xfId="0" applyNumberFormat="1" applyBorder="1"/>
    <xf numFmtId="0" fontId="18" fillId="0" borderId="6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7" fillId="0" borderId="0" xfId="0" applyFont="1"/>
    <xf numFmtId="0" fontId="19" fillId="0" borderId="0" xfId="0" applyFont="1"/>
    <xf numFmtId="0" fontId="0" fillId="26" borderId="0" xfId="0" applyFill="1"/>
    <xf numFmtId="0" fontId="0" fillId="0" borderId="6" xfId="0" applyBorder="1"/>
    <xf numFmtId="164" fontId="0" fillId="0" borderId="0" xfId="0" applyNumberFormat="1"/>
    <xf numFmtId="0" fontId="2" fillId="0" borderId="36" xfId="0" applyFont="1" applyBorder="1"/>
    <xf numFmtId="164" fontId="2" fillId="0" borderId="36" xfId="0" applyNumberFormat="1" applyFont="1" applyBorder="1"/>
    <xf numFmtId="164" fontId="0" fillId="0" borderId="4" xfId="0" applyNumberFormat="1" applyBorder="1"/>
    <xf numFmtId="0" fontId="6" fillId="0" borderId="37" xfId="0" applyFont="1" applyBorder="1"/>
    <xf numFmtId="164" fontId="6" fillId="0" borderId="37" xfId="0" applyNumberFormat="1" applyFont="1" applyBorder="1"/>
    <xf numFmtId="169" fontId="6" fillId="0" borderId="0" xfId="0" applyNumberFormat="1" applyFont="1"/>
    <xf numFmtId="0" fontId="22" fillId="0" borderId="37" xfId="0" applyFont="1" applyBorder="1"/>
    <xf numFmtId="169" fontId="22" fillId="13" borderId="37" xfId="0" applyNumberFormat="1" applyFont="1" applyFill="1" applyBorder="1"/>
    <xf numFmtId="169" fontId="22" fillId="0" borderId="37" xfId="0" applyNumberFormat="1" applyFont="1" applyBorder="1"/>
    <xf numFmtId="0" fontId="6" fillId="0" borderId="9" xfId="0" applyFont="1" applyBorder="1"/>
    <xf numFmtId="169" fontId="6" fillId="0" borderId="9" xfId="0" applyNumberFormat="1" applyFont="1" applyBorder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20" borderId="0" xfId="0" applyFont="1" applyFill="1" applyAlignment="1">
      <alignment horizontal="center"/>
    </xf>
    <xf numFmtId="42" fontId="0" fillId="22" borderId="0" xfId="3" applyFont="1" applyFill="1"/>
    <xf numFmtId="164" fontId="0" fillId="20" borderId="4" xfId="0" applyNumberFormat="1" applyFill="1" applyBorder="1"/>
    <xf numFmtId="164" fontId="6" fillId="0" borderId="0" xfId="0" applyNumberFormat="1" applyFont="1"/>
    <xf numFmtId="164" fontId="6" fillId="20" borderId="0" xfId="0" applyNumberFormat="1" applyFont="1" applyFill="1"/>
    <xf numFmtId="169" fontId="0" fillId="13" borderId="0" xfId="0" applyNumberFormat="1" applyFill="1"/>
    <xf numFmtId="169" fontId="0" fillId="0" borderId="0" xfId="0" applyNumberFormat="1"/>
    <xf numFmtId="169" fontId="0" fillId="20" borderId="0" xfId="0" applyNumberFormat="1" applyFill="1"/>
    <xf numFmtId="164" fontId="6" fillId="0" borderId="9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22" borderId="1" xfId="0" applyFill="1" applyBorder="1"/>
    <xf numFmtId="164" fontId="0" fillId="22" borderId="1" xfId="0" applyNumberFormat="1" applyFill="1" applyBorder="1"/>
    <xf numFmtId="164" fontId="0" fillId="0" borderId="1" xfId="0" applyNumberFormat="1" applyBorder="1"/>
    <xf numFmtId="0" fontId="0" fillId="17" borderId="1" xfId="0" applyFill="1" applyBorder="1"/>
    <xf numFmtId="164" fontId="0" fillId="17" borderId="1" xfId="0" applyNumberFormat="1" applyFill="1" applyBorder="1"/>
    <xf numFmtId="0" fontId="2" fillId="20" borderId="1" xfId="0" applyFont="1" applyFill="1" applyBorder="1"/>
    <xf numFmtId="164" fontId="2" fillId="20" borderId="1" xfId="0" applyNumberFormat="1" applyFont="1" applyFill="1" applyBorder="1"/>
    <xf numFmtId="164" fontId="2" fillId="0" borderId="1" xfId="0" applyNumberFormat="1" applyFont="1" applyBorder="1"/>
    <xf numFmtId="169" fontId="2" fillId="20" borderId="1" xfId="0" applyNumberFormat="1" applyFont="1" applyFill="1" applyBorder="1"/>
    <xf numFmtId="0" fontId="2" fillId="27" borderId="1" xfId="0" applyFont="1" applyFill="1" applyBorder="1"/>
    <xf numFmtId="169" fontId="2" fillId="27" borderId="1" xfId="0" applyNumberFormat="1" applyFont="1" applyFill="1" applyBorder="1"/>
    <xf numFmtId="169" fontId="2" fillId="0" borderId="1" xfId="0" applyNumberFormat="1" applyFont="1" applyBorder="1"/>
    <xf numFmtId="44" fontId="0" fillId="0" borderId="0" xfId="0" applyNumberFormat="1"/>
    <xf numFmtId="169" fontId="0" fillId="0" borderId="9" xfId="0" applyNumberFormat="1" applyBorder="1"/>
    <xf numFmtId="165" fontId="0" fillId="0" borderId="16" xfId="0" applyNumberFormat="1" applyBorder="1"/>
    <xf numFmtId="0" fontId="2" fillId="13" borderId="1" xfId="0" applyFont="1" applyFill="1" applyBorder="1"/>
    <xf numFmtId="169" fontId="2" fillId="13" borderId="1" xfId="0" applyNumberFormat="1" applyFont="1" applyFill="1" applyBorder="1"/>
    <xf numFmtId="0" fontId="2" fillId="5" borderId="9" xfId="0" applyFont="1" applyFill="1" applyBorder="1"/>
    <xf numFmtId="41" fontId="2" fillId="5" borderId="9" xfId="1" applyFont="1" applyFill="1" applyBorder="1"/>
    <xf numFmtId="6" fontId="2" fillId="5" borderId="9" xfId="0" applyNumberFormat="1" applyFont="1" applyFill="1" applyBorder="1"/>
    <xf numFmtId="6" fontId="0" fillId="5" borderId="9" xfId="0" applyNumberFormat="1" applyFill="1" applyBorder="1"/>
    <xf numFmtId="0" fontId="0" fillId="5" borderId="1" xfId="0" applyFill="1" applyBorder="1"/>
    <xf numFmtId="0" fontId="23" fillId="0" borderId="0" xfId="0" applyFont="1" applyAlignment="1">
      <alignment horizontal="center"/>
    </xf>
    <xf numFmtId="2" fontId="0" fillId="0" borderId="0" xfId="0" applyNumberFormat="1"/>
    <xf numFmtId="0" fontId="0" fillId="20" borderId="1" xfId="0" applyFill="1" applyBorder="1"/>
    <xf numFmtId="6" fontId="0" fillId="0" borderId="1" xfId="0" applyNumberFormat="1" applyBorder="1"/>
    <xf numFmtId="0" fontId="0" fillId="10" borderId="1" xfId="0" applyFill="1" applyBorder="1"/>
    <xf numFmtId="0" fontId="0" fillId="0" borderId="0" xfId="0" applyAlignment="1">
      <alignment horizontal="left"/>
    </xf>
    <xf numFmtId="0" fontId="0" fillId="28" borderId="0" xfId="0" applyFill="1"/>
    <xf numFmtId="41" fontId="0" fillId="28" borderId="0" xfId="1" applyFont="1" applyFill="1"/>
    <xf numFmtId="6" fontId="0" fillId="28" borderId="0" xfId="0" applyNumberFormat="1" applyFill="1"/>
    <xf numFmtId="166" fontId="0" fillId="0" borderId="0" xfId="2" applyNumberFormat="1" applyFont="1" applyFill="1"/>
    <xf numFmtId="0" fontId="6" fillId="20" borderId="0" xfId="0" applyFont="1" applyFill="1"/>
    <xf numFmtId="0" fontId="28" fillId="0" borderId="0" xfId="0" applyFont="1"/>
    <xf numFmtId="0" fontId="30" fillId="0" borderId="0" xfId="4" applyFont="1"/>
    <xf numFmtId="0" fontId="30" fillId="0" borderId="19" xfId="4" applyFont="1" applyBorder="1"/>
    <xf numFmtId="170" fontId="30" fillId="0" borderId="16" xfId="4" applyNumberFormat="1" applyFont="1" applyBorder="1" applyAlignment="1">
      <alignment horizontal="right"/>
    </xf>
    <xf numFmtId="170" fontId="27" fillId="0" borderId="16" xfId="4" applyNumberFormat="1" applyFont="1" applyBorder="1" applyAlignment="1">
      <alignment horizontal="center"/>
    </xf>
    <xf numFmtId="0" fontId="27" fillId="0" borderId="0" xfId="4" applyFont="1" applyAlignment="1">
      <alignment horizontal="right"/>
    </xf>
    <xf numFmtId="170" fontId="27" fillId="0" borderId="40" xfId="4" applyNumberFormat="1" applyFont="1" applyBorder="1" applyAlignment="1">
      <alignment horizontal="right"/>
    </xf>
    <xf numFmtId="170" fontId="30" fillId="0" borderId="0" xfId="4" applyNumberFormat="1" applyFont="1" applyAlignment="1">
      <alignment horizontal="center"/>
    </xf>
    <xf numFmtId="170" fontId="27" fillId="0" borderId="0" xfId="4" applyNumberFormat="1" applyFont="1" applyAlignment="1">
      <alignment horizontal="right"/>
    </xf>
    <xf numFmtId="170" fontId="30" fillId="0" borderId="19" xfId="4" applyNumberFormat="1" applyFont="1" applyBorder="1" applyAlignment="1">
      <alignment horizontal="right"/>
    </xf>
    <xf numFmtId="0" fontId="32" fillId="0" borderId="0" xfId="4" applyFont="1" applyAlignment="1">
      <alignment horizontal="right"/>
    </xf>
    <xf numFmtId="0" fontId="28" fillId="0" borderId="18" xfId="0" applyFont="1" applyBorder="1"/>
    <xf numFmtId="0" fontId="28" fillId="0" borderId="0" xfId="0" applyFont="1" applyAlignment="1">
      <alignment horizontal="left"/>
    </xf>
    <xf numFmtId="0" fontId="28" fillId="0" borderId="19" xfId="0" applyFont="1" applyBorder="1"/>
    <xf numFmtId="0" fontId="30" fillId="0" borderId="18" xfId="4" applyFont="1" applyBorder="1"/>
    <xf numFmtId="170" fontId="27" fillId="0" borderId="0" xfId="4" applyNumberFormat="1" applyFont="1" applyAlignment="1">
      <alignment horizontal="center"/>
    </xf>
    <xf numFmtId="0" fontId="32" fillId="0" borderId="0" xfId="4" applyFont="1" applyAlignment="1">
      <alignment horizontal="center"/>
    </xf>
    <xf numFmtId="170" fontId="27" fillId="0" borderId="42" xfId="4" applyNumberFormat="1" applyFont="1" applyBorder="1" applyAlignment="1">
      <alignment horizontal="center"/>
    </xf>
    <xf numFmtId="170" fontId="27" fillId="0" borderId="19" xfId="4" applyNumberFormat="1" applyFont="1" applyBorder="1" applyAlignment="1">
      <alignment horizontal="right"/>
    </xf>
    <xf numFmtId="170" fontId="27" fillId="0" borderId="14" xfId="4" applyNumberFormat="1" applyFont="1" applyBorder="1" applyAlignment="1">
      <alignment horizontal="center"/>
    </xf>
    <xf numFmtId="0" fontId="27" fillId="0" borderId="14" xfId="4" applyFont="1" applyBorder="1" applyAlignment="1">
      <alignment horizontal="right"/>
    </xf>
    <xf numFmtId="170" fontId="27" fillId="0" borderId="13" xfId="4" applyNumberFormat="1" applyFont="1" applyBorder="1" applyAlignment="1">
      <alignment horizontal="right"/>
    </xf>
    <xf numFmtId="170" fontId="30" fillId="0" borderId="0" xfId="4" applyNumberFormat="1" applyFont="1"/>
    <xf numFmtId="0" fontId="34" fillId="0" borderId="0" xfId="0" applyFont="1"/>
    <xf numFmtId="171" fontId="28" fillId="0" borderId="0" xfId="3" applyNumberFormat="1" applyFont="1"/>
    <xf numFmtId="172" fontId="28" fillId="0" borderId="0" xfId="0" applyNumberFormat="1" applyFont="1"/>
    <xf numFmtId="0" fontId="31" fillId="0" borderId="0" xfId="0" applyFont="1"/>
    <xf numFmtId="0" fontId="35" fillId="0" borderId="0" xfId="0" applyFont="1"/>
    <xf numFmtId="0" fontId="36" fillId="0" borderId="0" xfId="0" applyFont="1"/>
    <xf numFmtId="170" fontId="27" fillId="20" borderId="16" xfId="4" applyNumberFormat="1" applyFont="1" applyFill="1" applyBorder="1" applyAlignment="1">
      <alignment horizontal="center"/>
    </xf>
    <xf numFmtId="170" fontId="27" fillId="20" borderId="16" xfId="4" applyNumberFormat="1" applyFont="1" applyFill="1" applyBorder="1" applyAlignment="1">
      <alignment horizontal="right"/>
    </xf>
    <xf numFmtId="170" fontId="27" fillId="20" borderId="40" xfId="4" applyNumberFormat="1" applyFont="1" applyFill="1" applyBorder="1" applyAlignment="1">
      <alignment horizontal="right"/>
    </xf>
    <xf numFmtId="170" fontId="27" fillId="3" borderId="16" xfId="4" applyNumberFormat="1" applyFont="1" applyFill="1" applyBorder="1" applyAlignment="1">
      <alignment horizontal="center"/>
    </xf>
    <xf numFmtId="170" fontId="27" fillId="3" borderId="9" xfId="4" applyNumberFormat="1" applyFont="1" applyFill="1" applyBorder="1" applyAlignment="1">
      <alignment horizontal="center"/>
    </xf>
    <xf numFmtId="170" fontId="27" fillId="3" borderId="41" xfId="4" applyNumberFormat="1" applyFont="1" applyFill="1" applyBorder="1" applyAlignment="1">
      <alignment horizontal="right"/>
    </xf>
    <xf numFmtId="170" fontId="27" fillId="6" borderId="16" xfId="4" applyNumberFormat="1" applyFont="1" applyFill="1" applyBorder="1" applyAlignment="1">
      <alignment horizontal="center"/>
    </xf>
    <xf numFmtId="170" fontId="27" fillId="6" borderId="9" xfId="4" applyNumberFormat="1" applyFont="1" applyFill="1" applyBorder="1" applyAlignment="1">
      <alignment horizontal="center"/>
    </xf>
    <xf numFmtId="170" fontId="27" fillId="6" borderId="40" xfId="4" applyNumberFormat="1" applyFont="1" applyFill="1" applyBorder="1" applyAlignment="1">
      <alignment horizontal="right"/>
    </xf>
    <xf numFmtId="170" fontId="27" fillId="29" borderId="14" xfId="4" applyNumberFormat="1" applyFont="1" applyFill="1" applyBorder="1" applyAlignment="1">
      <alignment horizontal="center"/>
    </xf>
    <xf numFmtId="0" fontId="30" fillId="13" borderId="0" xfId="4" applyFont="1" applyFill="1" applyAlignment="1">
      <alignment horizontal="right"/>
    </xf>
    <xf numFmtId="170" fontId="27" fillId="13" borderId="41" xfId="4" applyNumberFormat="1" applyFont="1" applyFill="1" applyBorder="1" applyAlignment="1">
      <alignment horizontal="right"/>
    </xf>
    <xf numFmtId="0" fontId="30" fillId="0" borderId="0" xfId="0" applyFont="1"/>
    <xf numFmtId="170" fontId="30" fillId="0" borderId="0" xfId="0" applyNumberFormat="1" applyFont="1"/>
    <xf numFmtId="170" fontId="27" fillId="13" borderId="16" xfId="4" applyNumberFormat="1" applyFont="1" applyFill="1" applyBorder="1" applyAlignment="1">
      <alignment horizontal="center"/>
    </xf>
    <xf numFmtId="170" fontId="27" fillId="20" borderId="9" xfId="4" applyNumberFormat="1" applyFont="1" applyFill="1" applyBorder="1" applyAlignment="1">
      <alignment horizontal="center"/>
    </xf>
    <xf numFmtId="0" fontId="38" fillId="0" borderId="0" xfId="0" applyFont="1"/>
    <xf numFmtId="0" fontId="26" fillId="0" borderId="0" xfId="0" applyFont="1"/>
    <xf numFmtId="0" fontId="38" fillId="0" borderId="0" xfId="0" applyFont="1" applyAlignment="1">
      <alignment horizontal="center"/>
    </xf>
    <xf numFmtId="0" fontId="38" fillId="0" borderId="6" xfId="0" applyFont="1" applyBorder="1" applyAlignment="1">
      <alignment horizontal="center"/>
    </xf>
    <xf numFmtId="0" fontId="0" fillId="11" borderId="19" xfId="0" applyFill="1" applyBorder="1"/>
    <xf numFmtId="0" fontId="0" fillId="11" borderId="0" xfId="0" applyFill="1"/>
    <xf numFmtId="0" fontId="0" fillId="14" borderId="0" xfId="0" applyFill="1"/>
    <xf numFmtId="0" fontId="0" fillId="7" borderId="17" xfId="0" applyFill="1" applyBorder="1"/>
    <xf numFmtId="0" fontId="0" fillId="7" borderId="19" xfId="0" applyFill="1" applyBorder="1"/>
    <xf numFmtId="0" fontId="0" fillId="7" borderId="0" xfId="0" applyFill="1"/>
    <xf numFmtId="0" fontId="0" fillId="7" borderId="47" xfId="0" applyFill="1" applyBorder="1"/>
    <xf numFmtId="0" fontId="0" fillId="4" borderId="17" xfId="0" applyFill="1" applyBorder="1"/>
    <xf numFmtId="0" fontId="26" fillId="4" borderId="19" xfId="0" applyFont="1" applyFill="1" applyBorder="1"/>
    <xf numFmtId="0" fontId="0" fillId="4" borderId="47" xfId="0" applyFill="1" applyBorder="1"/>
    <xf numFmtId="0" fontId="38" fillId="0" borderId="20" xfId="0" applyFont="1" applyBorder="1"/>
    <xf numFmtId="0" fontId="38" fillId="0" borderId="22" xfId="0" applyFont="1" applyBorder="1"/>
    <xf numFmtId="0" fontId="38" fillId="0" borderId="21" xfId="0" applyFont="1" applyBorder="1"/>
    <xf numFmtId="0" fontId="38" fillId="0" borderId="6" xfId="0" applyFont="1" applyBorder="1"/>
    <xf numFmtId="0" fontId="38" fillId="0" borderId="10" xfId="0" applyFont="1" applyBorder="1" applyAlignment="1">
      <alignment horizontal="center"/>
    </xf>
    <xf numFmtId="0" fontId="38" fillId="0" borderId="11" xfId="0" applyFont="1" applyBorder="1" applyAlignment="1">
      <alignment horizontal="center"/>
    </xf>
    <xf numFmtId="0" fontId="38" fillId="0" borderId="43" xfId="0" applyFont="1" applyBorder="1" applyAlignment="1">
      <alignment horizontal="center"/>
    </xf>
    <xf numFmtId="0" fontId="38" fillId="0" borderId="17" xfId="0" applyFont="1" applyBorder="1" applyAlignment="1">
      <alignment horizontal="center"/>
    </xf>
    <xf numFmtId="0" fontId="0" fillId="0" borderId="44" xfId="0" applyBorder="1"/>
    <xf numFmtId="0" fontId="0" fillId="0" borderId="43" xfId="0" applyBorder="1"/>
    <xf numFmtId="0" fontId="38" fillId="0" borderId="18" xfId="0" quotePrefix="1" applyFont="1" applyBorder="1"/>
    <xf numFmtId="0" fontId="0" fillId="0" borderId="45" xfId="0" applyBorder="1"/>
    <xf numFmtId="0" fontId="26" fillId="0" borderId="29" xfId="0" applyFont="1" applyBorder="1"/>
    <xf numFmtId="0" fontId="26" fillId="0" borderId="1" xfId="0" applyFont="1" applyBorder="1"/>
    <xf numFmtId="0" fontId="26" fillId="20" borderId="19" xfId="0" applyFont="1" applyFill="1" applyBorder="1"/>
    <xf numFmtId="0" fontId="0" fillId="20" borderId="4" xfId="0" applyFill="1" applyBorder="1"/>
    <xf numFmtId="0" fontId="26" fillId="20" borderId="4" xfId="0" applyFont="1" applyFill="1" applyBorder="1"/>
    <xf numFmtId="0" fontId="0" fillId="20" borderId="47" xfId="0" applyFill="1" applyBorder="1"/>
    <xf numFmtId="0" fontId="26" fillId="20" borderId="18" xfId="0" applyFont="1" applyFill="1" applyBorder="1"/>
    <xf numFmtId="0" fontId="26" fillId="0" borderId="46" xfId="0" applyFont="1" applyBorder="1"/>
    <xf numFmtId="0" fontId="0" fillId="0" borderId="48" xfId="0" applyBorder="1"/>
    <xf numFmtId="0" fontId="0" fillId="0" borderId="47" xfId="0" applyBorder="1"/>
    <xf numFmtId="0" fontId="0" fillId="0" borderId="46" xfId="0" applyBorder="1"/>
    <xf numFmtId="0" fontId="26" fillId="0" borderId="49" xfId="0" applyFont="1" applyBorder="1"/>
    <xf numFmtId="0" fontId="0" fillId="0" borderId="50" xfId="0" applyBorder="1"/>
    <xf numFmtId="0" fontId="26" fillId="0" borderId="50" xfId="0" applyFont="1" applyBorder="1"/>
    <xf numFmtId="0" fontId="38" fillId="0" borderId="12" xfId="0" applyFont="1" applyBorder="1"/>
    <xf numFmtId="0" fontId="38" fillId="0" borderId="51" xfId="0" applyFont="1" applyBorder="1"/>
    <xf numFmtId="0" fontId="38" fillId="0" borderId="14" xfId="0" applyFont="1" applyBorder="1"/>
    <xf numFmtId="0" fontId="38" fillId="0" borderId="13" xfId="0" applyFont="1" applyBorder="1"/>
    <xf numFmtId="0" fontId="38" fillId="21" borderId="6" xfId="0" applyFont="1" applyFill="1" applyBorder="1"/>
    <xf numFmtId="0" fontId="0" fillId="0" borderId="10" xfId="0" applyBorder="1"/>
    <xf numFmtId="0" fontId="26" fillId="0" borderId="18" xfId="0" applyFont="1" applyBorder="1"/>
    <xf numFmtId="0" fontId="38" fillId="0" borderId="46" xfId="0" applyFont="1" applyBorder="1"/>
    <xf numFmtId="0" fontId="38" fillId="0" borderId="48" xfId="0" applyFont="1" applyBorder="1"/>
    <xf numFmtId="0" fontId="38" fillId="0" borderId="4" xfId="0" applyFont="1" applyBorder="1"/>
    <xf numFmtId="0" fontId="38" fillId="0" borderId="47" xfId="0" applyFont="1" applyBorder="1"/>
    <xf numFmtId="0" fontId="26" fillId="0" borderId="19" xfId="0" applyFont="1" applyBorder="1"/>
    <xf numFmtId="0" fontId="26" fillId="0" borderId="11" xfId="0" applyFont="1" applyBorder="1"/>
    <xf numFmtId="0" fontId="0" fillId="13" borderId="18" xfId="0" applyFill="1" applyBorder="1"/>
    <xf numFmtId="0" fontId="0" fillId="13" borderId="19" xfId="0" applyFill="1" applyBorder="1"/>
    <xf numFmtId="0" fontId="38" fillId="0" borderId="18" xfId="0" applyFont="1" applyBorder="1"/>
    <xf numFmtId="0" fontId="26" fillId="0" borderId="17" xfId="0" applyFont="1" applyBorder="1"/>
    <xf numFmtId="0" fontId="0" fillId="0" borderId="51" xfId="0" applyBorder="1"/>
    <xf numFmtId="0" fontId="38" fillId="0" borderId="10" xfId="0" applyFont="1" applyBorder="1"/>
    <xf numFmtId="0" fontId="38" fillId="0" borderId="11" xfId="0" applyFont="1" applyBorder="1"/>
    <xf numFmtId="0" fontId="38" fillId="0" borderId="19" xfId="0" applyFont="1" applyBorder="1"/>
    <xf numFmtId="0" fontId="26" fillId="0" borderId="45" xfId="0" applyFont="1" applyBorder="1"/>
    <xf numFmtId="0" fontId="26" fillId="0" borderId="4" xfId="0" applyFont="1" applyBorder="1"/>
    <xf numFmtId="0" fontId="26" fillId="0" borderId="47" xfId="0" applyFont="1" applyBorder="1"/>
    <xf numFmtId="49" fontId="26" fillId="0" borderId="18" xfId="0" applyNumberFormat="1" applyFont="1" applyBorder="1"/>
    <xf numFmtId="0" fontId="38" fillId="0" borderId="55" xfId="0" applyFont="1" applyBorder="1"/>
    <xf numFmtId="0" fontId="26" fillId="0" borderId="8" xfId="0" applyFont="1" applyBorder="1"/>
    <xf numFmtId="0" fontId="26" fillId="0" borderId="56" xfId="0" applyFont="1" applyBorder="1"/>
    <xf numFmtId="0" fontId="26" fillId="0" borderId="10" xfId="0" applyFont="1" applyBorder="1"/>
    <xf numFmtId="0" fontId="0" fillId="0" borderId="55" xfId="0" applyBorder="1"/>
    <xf numFmtId="0" fontId="46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2" fillId="0" borderId="10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2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2" fillId="13" borderId="0" xfId="0" applyFont="1" applyFill="1"/>
    <xf numFmtId="0" fontId="10" fillId="0" borderId="0" xfId="0" applyFont="1" applyAlignment="1">
      <alignment horizontal="right"/>
    </xf>
    <xf numFmtId="0" fontId="11" fillId="19" borderId="0" xfId="0" applyFont="1" applyFill="1"/>
    <xf numFmtId="173" fontId="6" fillId="20" borderId="9" xfId="0" applyNumberFormat="1" applyFont="1" applyFill="1" applyBorder="1"/>
    <xf numFmtId="173" fontId="0" fillId="0" borderId="0" xfId="0" applyNumberFormat="1"/>
    <xf numFmtId="41" fontId="48" fillId="0" borderId="0" xfId="1" applyFont="1" applyFill="1"/>
    <xf numFmtId="42" fontId="48" fillId="0" borderId="0" xfId="3" applyFont="1" applyFill="1"/>
    <xf numFmtId="42" fontId="47" fillId="0" borderId="0" xfId="3" applyFont="1" applyFill="1"/>
    <xf numFmtId="0" fontId="48" fillId="0" borderId="0" xfId="0" applyFont="1"/>
    <xf numFmtId="42" fontId="48" fillId="0" borderId="0" xfId="0" applyNumberFormat="1" applyFont="1"/>
    <xf numFmtId="0" fontId="50" fillId="0" borderId="0" xfId="0" applyFont="1"/>
    <xf numFmtId="0" fontId="49" fillId="0" borderId="0" xfId="0" applyFont="1"/>
    <xf numFmtId="0" fontId="51" fillId="0" borderId="0" xfId="0" applyFont="1"/>
    <xf numFmtId="41" fontId="51" fillId="0" borderId="0" xfId="1" applyFont="1" applyFill="1"/>
    <xf numFmtId="42" fontId="51" fillId="0" borderId="0" xfId="3" applyFont="1" applyFill="1"/>
    <xf numFmtId="0" fontId="51" fillId="0" borderId="0" xfId="0" applyFont="1" applyAlignment="1">
      <alignment horizontal="center" vertical="center"/>
    </xf>
    <xf numFmtId="42" fontId="52" fillId="0" borderId="0" xfId="3" applyFont="1" applyFill="1"/>
    <xf numFmtId="0" fontId="53" fillId="0" borderId="0" xfId="0" applyFont="1"/>
    <xf numFmtId="41" fontId="52" fillId="0" borderId="9" xfId="1" applyFont="1" applyFill="1" applyBorder="1"/>
    <xf numFmtId="42" fontId="52" fillId="0" borderId="9" xfId="3" applyFont="1" applyFill="1" applyBorder="1"/>
    <xf numFmtId="42" fontId="51" fillId="0" borderId="0" xfId="0" applyNumberFormat="1" applyFont="1"/>
    <xf numFmtId="0" fontId="52" fillId="0" borderId="0" xfId="0" applyFont="1"/>
    <xf numFmtId="41" fontId="52" fillId="0" borderId="0" xfId="1" applyFont="1" applyFill="1" applyBorder="1"/>
    <xf numFmtId="42" fontId="52" fillId="0" borderId="0" xfId="3" applyFont="1" applyFill="1" applyBorder="1"/>
    <xf numFmtId="0" fontId="52" fillId="0" borderId="9" xfId="0" applyFont="1" applyBorder="1"/>
    <xf numFmtId="0" fontId="48" fillId="0" borderId="1" xfId="0" applyFont="1" applyBorder="1"/>
    <xf numFmtId="9" fontId="50" fillId="0" borderId="0" xfId="0" applyNumberFormat="1" applyFont="1"/>
    <xf numFmtId="0" fontId="51" fillId="0" borderId="0" xfId="0" applyFont="1" applyAlignment="1">
      <alignment horizontal="justify" vertical="center"/>
    </xf>
    <xf numFmtId="42" fontId="51" fillId="0" borderId="0" xfId="3" applyFont="1" applyFill="1" applyAlignment="1">
      <alignment horizontal="justify" vertical="center"/>
    </xf>
    <xf numFmtId="6" fontId="51" fillId="0" borderId="0" xfId="0" applyNumberFormat="1" applyFont="1" applyAlignment="1">
      <alignment horizontal="justify" vertical="center"/>
    </xf>
    <xf numFmtId="0" fontId="51" fillId="20" borderId="0" xfId="0" applyFont="1" applyFill="1" applyAlignment="1">
      <alignment horizontal="justify" vertical="center"/>
    </xf>
    <xf numFmtId="6" fontId="51" fillId="20" borderId="0" xfId="0" applyNumberFormat="1" applyFont="1" applyFill="1" applyAlignment="1">
      <alignment horizontal="justify" vertical="center"/>
    </xf>
    <xf numFmtId="42" fontId="51" fillId="20" borderId="0" xfId="3" applyFont="1" applyFill="1"/>
    <xf numFmtId="174" fontId="51" fillId="0" borderId="0" xfId="0" applyNumberFormat="1" applyFont="1"/>
    <xf numFmtId="0" fontId="51" fillId="0" borderId="0" xfId="0" applyFont="1" applyAlignment="1">
      <alignment horizontal="center"/>
    </xf>
    <xf numFmtId="0" fontId="55" fillId="20" borderId="0" xfId="0" applyFont="1" applyFill="1" applyAlignment="1">
      <alignment horizontal="justify" vertical="center"/>
    </xf>
    <xf numFmtId="41" fontId="55" fillId="20" borderId="0" xfId="1" applyFont="1" applyFill="1" applyAlignment="1">
      <alignment horizontal="justify" vertical="center"/>
    </xf>
    <xf numFmtId="42" fontId="55" fillId="20" borderId="0" xfId="3" applyFont="1" applyFill="1"/>
    <xf numFmtId="42" fontId="56" fillId="0" borderId="0" xfId="3" applyFont="1" applyFill="1"/>
    <xf numFmtId="41" fontId="55" fillId="0" borderId="0" xfId="1" applyFont="1" applyFill="1" applyAlignment="1">
      <alignment horizontal="justify" vertical="center"/>
    </xf>
    <xf numFmtId="42" fontId="55" fillId="0" borderId="0" xfId="3" applyFont="1" applyFill="1"/>
    <xf numFmtId="42" fontId="56" fillId="0" borderId="0" xfId="0" applyNumberFormat="1" applyFont="1"/>
    <xf numFmtId="41" fontId="56" fillId="0" borderId="0" xfId="1" applyFont="1" applyFill="1" applyAlignment="1">
      <alignment horizontal="justify" vertical="center"/>
    </xf>
    <xf numFmtId="42" fontId="50" fillId="0" borderId="0" xfId="3" applyFont="1" applyFill="1"/>
    <xf numFmtId="0" fontId="50" fillId="0" borderId="1" xfId="0" applyFont="1" applyBorder="1"/>
    <xf numFmtId="0" fontId="56" fillId="0" borderId="0" xfId="0" applyFont="1"/>
    <xf numFmtId="42" fontId="50" fillId="0" borderId="0" xfId="0" applyNumberFormat="1" applyFont="1"/>
    <xf numFmtId="0" fontId="52" fillId="0" borderId="9" xfId="0" applyFont="1" applyBorder="1" applyAlignment="1">
      <alignment horizontal="justify" vertical="center"/>
    </xf>
    <xf numFmtId="41" fontId="55" fillId="0" borderId="9" xfId="1" applyFont="1" applyFill="1" applyBorder="1" applyAlignment="1">
      <alignment horizontal="justify" vertical="center"/>
    </xf>
    <xf numFmtId="42" fontId="55" fillId="0" borderId="9" xfId="3" applyFont="1" applyFill="1" applyBorder="1"/>
    <xf numFmtId="42" fontId="52" fillId="0" borderId="9" xfId="0" applyNumberFormat="1" applyFont="1" applyBorder="1"/>
    <xf numFmtId="0" fontId="52" fillId="0" borderId="0" xfId="0" applyFont="1" applyAlignment="1">
      <alignment horizontal="justify" vertical="center"/>
    </xf>
    <xf numFmtId="42" fontId="52" fillId="0" borderId="0" xfId="0" applyNumberFormat="1" applyFont="1"/>
    <xf numFmtId="0" fontId="55" fillId="0" borderId="16" xfId="0" applyFont="1" applyBorder="1"/>
    <xf numFmtId="42" fontId="55" fillId="0" borderId="16" xfId="0" applyNumberFormat="1" applyFont="1" applyBorder="1"/>
    <xf numFmtId="41" fontId="50" fillId="0" borderId="0" xfId="1" applyFont="1" applyFill="1"/>
    <xf numFmtId="41" fontId="50" fillId="0" borderId="1" xfId="1" applyFont="1" applyFill="1" applyBorder="1"/>
    <xf numFmtId="42" fontId="50" fillId="0" borderId="1" xfId="3" applyFont="1" applyFill="1" applyBorder="1"/>
    <xf numFmtId="42" fontId="58" fillId="0" borderId="0" xfId="3" applyFont="1" applyFill="1"/>
    <xf numFmtId="170" fontId="50" fillId="0" borderId="1" xfId="1" applyNumberFormat="1" applyFont="1" applyFill="1" applyBorder="1"/>
    <xf numFmtId="175" fontId="50" fillId="0" borderId="1" xfId="3" applyNumberFormat="1" applyFont="1" applyFill="1" applyBorder="1"/>
    <xf numFmtId="41" fontId="50" fillId="20" borderId="1" xfId="1" applyFont="1" applyFill="1" applyBorder="1"/>
    <xf numFmtId="0" fontId="50" fillId="20" borderId="0" xfId="0" applyFont="1" applyFill="1" applyAlignment="1">
      <alignment horizontal="center"/>
    </xf>
    <xf numFmtId="41" fontId="50" fillId="20" borderId="0" xfId="1" applyFont="1" applyFill="1"/>
    <xf numFmtId="42" fontId="50" fillId="20" borderId="0" xfId="3" applyFont="1" applyFill="1"/>
    <xf numFmtId="42" fontId="58" fillId="20" borderId="6" xfId="3" applyFont="1" applyFill="1" applyBorder="1"/>
    <xf numFmtId="42" fontId="58" fillId="20" borderId="0" xfId="3" applyFont="1" applyFill="1"/>
    <xf numFmtId="0" fontId="50" fillId="0" borderId="0" xfId="0" applyFont="1" applyAlignment="1">
      <alignment horizontal="center" vertical="center" wrapText="1"/>
    </xf>
    <xf numFmtId="0" fontId="50" fillId="0" borderId="1" xfId="0" applyFont="1" applyBorder="1" applyAlignment="1">
      <alignment horizontal="right"/>
    </xf>
    <xf numFmtId="42" fontId="58" fillId="0" borderId="0" xfId="0" applyNumberFormat="1" applyFont="1"/>
    <xf numFmtId="0" fontId="50" fillId="0" borderId="0" xfId="0" applyFont="1" applyAlignment="1">
      <alignment horizontal="right"/>
    </xf>
    <xf numFmtId="6" fontId="50" fillId="0" borderId="0" xfId="0" applyNumberFormat="1" applyFont="1"/>
    <xf numFmtId="42" fontId="50" fillId="0" borderId="1" xfId="0" applyNumberFormat="1" applyFont="1" applyBorder="1"/>
    <xf numFmtId="42" fontId="50" fillId="20" borderId="30" xfId="3" applyFont="1" applyFill="1" applyBorder="1"/>
    <xf numFmtId="0" fontId="58" fillId="0" borderId="0" xfId="0" applyFont="1" applyAlignment="1">
      <alignment horizontal="center" vertical="center"/>
    </xf>
    <xf numFmtId="42" fontId="58" fillId="0" borderId="0" xfId="3" applyFont="1" applyFill="1" applyBorder="1" applyAlignment="1">
      <alignment horizontal="center" vertical="center" wrapText="1"/>
    </xf>
    <xf numFmtId="10" fontId="50" fillId="0" borderId="1" xfId="2" applyNumberFormat="1" applyFont="1" applyFill="1" applyBorder="1"/>
    <xf numFmtId="10" fontId="50" fillId="0" borderId="0" xfId="2" applyNumberFormat="1" applyFont="1" applyFill="1"/>
    <xf numFmtId="176" fontId="58" fillId="0" borderId="0" xfId="3" applyNumberFormat="1" applyFont="1" applyFill="1"/>
    <xf numFmtId="9" fontId="50" fillId="0" borderId="0" xfId="3" applyNumberFormat="1" applyFont="1" applyFill="1"/>
    <xf numFmtId="0" fontId="47" fillId="0" borderId="0" xfId="0" applyFont="1"/>
    <xf numFmtId="41" fontId="50" fillId="0" borderId="0" xfId="0" applyNumberFormat="1" applyFont="1"/>
    <xf numFmtId="10" fontId="50" fillId="0" borderId="1" xfId="3" applyNumberFormat="1" applyFont="1" applyFill="1" applyBorder="1"/>
    <xf numFmtId="0" fontId="51" fillId="30" borderId="0" xfId="0" applyFont="1" applyFill="1"/>
    <xf numFmtId="41" fontId="51" fillId="30" borderId="0" xfId="1" applyFont="1" applyFill="1"/>
    <xf numFmtId="42" fontId="51" fillId="30" borderId="0" xfId="3" applyFont="1" applyFill="1"/>
    <xf numFmtId="41" fontId="52" fillId="30" borderId="0" xfId="1" applyFont="1" applyFill="1" applyAlignment="1">
      <alignment horizontal="center"/>
    </xf>
    <xf numFmtId="41" fontId="51" fillId="30" borderId="0" xfId="1" applyFont="1" applyFill="1" applyAlignment="1">
      <alignment horizontal="center"/>
    </xf>
    <xf numFmtId="0" fontId="51" fillId="30" borderId="0" xfId="0" applyFont="1" applyFill="1" applyAlignment="1">
      <alignment horizontal="center" vertical="center"/>
    </xf>
    <xf numFmtId="42" fontId="52" fillId="30" borderId="0" xfId="3" applyFont="1" applyFill="1"/>
    <xf numFmtId="0" fontId="53" fillId="30" borderId="0" xfId="0" applyFont="1" applyFill="1"/>
    <xf numFmtId="41" fontId="53" fillId="30" borderId="4" xfId="1" applyFont="1" applyFill="1" applyBorder="1"/>
    <xf numFmtId="42" fontId="53" fillId="30" borderId="4" xfId="3" applyFont="1" applyFill="1" applyBorder="1"/>
    <xf numFmtId="42" fontId="54" fillId="30" borderId="4" xfId="3" applyFont="1" applyFill="1" applyBorder="1"/>
    <xf numFmtId="0" fontId="55" fillId="30" borderId="9" xfId="0" applyFont="1" applyFill="1" applyBorder="1"/>
    <xf numFmtId="41" fontId="55" fillId="30" borderId="9" xfId="1" applyFont="1" applyFill="1" applyBorder="1"/>
    <xf numFmtId="42" fontId="55" fillId="30" borderId="9" xfId="3" applyFont="1" applyFill="1" applyBorder="1"/>
    <xf numFmtId="41" fontId="52" fillId="30" borderId="9" xfId="1" applyFont="1" applyFill="1" applyBorder="1"/>
    <xf numFmtId="42" fontId="52" fillId="30" borderId="9" xfId="3" applyFont="1" applyFill="1" applyBorder="1"/>
    <xf numFmtId="42" fontId="51" fillId="30" borderId="0" xfId="0" applyNumberFormat="1" applyFont="1" applyFill="1" applyAlignment="1">
      <alignment horizontal="center" vertical="center"/>
    </xf>
    <xf numFmtId="41" fontId="52" fillId="30" borderId="0" xfId="1" applyFont="1" applyFill="1" applyBorder="1"/>
    <xf numFmtId="42" fontId="52" fillId="30" borderId="0" xfId="3" applyFont="1" applyFill="1" applyBorder="1"/>
    <xf numFmtId="41" fontId="51" fillId="30" borderId="0" xfId="0" applyNumberFormat="1" applyFont="1" applyFill="1"/>
    <xf numFmtId="42" fontId="51" fillId="30" borderId="0" xfId="0" applyNumberFormat="1" applyFont="1" applyFill="1"/>
    <xf numFmtId="0" fontId="52" fillId="30" borderId="9" xfId="0" applyFont="1" applyFill="1" applyBorder="1"/>
    <xf numFmtId="42" fontId="52" fillId="30" borderId="9" xfId="0" applyNumberFormat="1" applyFont="1" applyFill="1" applyBorder="1"/>
    <xf numFmtId="41" fontId="58" fillId="20" borderId="0" xfId="1" applyFont="1" applyFill="1"/>
    <xf numFmtId="0" fontId="55" fillId="20" borderId="16" xfId="0" applyFont="1" applyFill="1" applyBorder="1"/>
    <xf numFmtId="41" fontId="55" fillId="20" borderId="16" xfId="1" applyFont="1" applyFill="1" applyBorder="1"/>
    <xf numFmtId="42" fontId="55" fillId="20" borderId="16" xfId="3" applyFont="1" applyFill="1" applyBorder="1"/>
    <xf numFmtId="0" fontId="49" fillId="6" borderId="0" xfId="0" applyFont="1" applyFill="1" applyAlignment="1">
      <alignment horizontal="center" vertical="center"/>
    </xf>
    <xf numFmtId="0" fontId="50" fillId="6" borderId="1" xfId="0" applyFont="1" applyFill="1" applyBorder="1"/>
    <xf numFmtId="41" fontId="50" fillId="6" borderId="1" xfId="1" applyFont="1" applyFill="1" applyBorder="1"/>
    <xf numFmtId="42" fontId="50" fillId="6" borderId="1" xfId="3" applyFont="1" applyFill="1" applyBorder="1"/>
    <xf numFmtId="170" fontId="50" fillId="6" borderId="1" xfId="1" applyNumberFormat="1" applyFont="1" applyFill="1" applyBorder="1"/>
    <xf numFmtId="0" fontId="58" fillId="6" borderId="1" xfId="0" applyFont="1" applyFill="1" applyBorder="1"/>
    <xf numFmtId="0" fontId="49" fillId="6" borderId="45" xfId="3" applyNumberFormat="1" applyFont="1" applyFill="1" applyBorder="1" applyAlignment="1">
      <alignment horizontal="center" vertical="center"/>
    </xf>
    <xf numFmtId="0" fontId="50" fillId="6" borderId="1" xfId="0" applyFont="1" applyFill="1" applyBorder="1" applyAlignment="1">
      <alignment vertical="center"/>
    </xf>
    <xf numFmtId="175" fontId="50" fillId="6" borderId="1" xfId="3" applyNumberFormat="1" applyFont="1" applyFill="1" applyBorder="1"/>
    <xf numFmtId="0" fontId="50" fillId="6" borderId="0" xfId="0" applyFont="1" applyFill="1"/>
    <xf numFmtId="41" fontId="50" fillId="6" borderId="0" xfId="1" applyFont="1" applyFill="1"/>
    <xf numFmtId="42" fontId="50" fillId="6" borderId="0" xfId="3" applyFont="1" applyFill="1"/>
    <xf numFmtId="41" fontId="58" fillId="6" borderId="1" xfId="1" applyFont="1" applyFill="1" applyBorder="1" applyAlignment="1">
      <alignment horizontal="center"/>
    </xf>
    <xf numFmtId="42" fontId="58" fillId="6" borderId="1" xfId="3" applyFont="1" applyFill="1" applyBorder="1" applyAlignment="1">
      <alignment horizontal="center"/>
    </xf>
    <xf numFmtId="0" fontId="50" fillId="6" borderId="1" xfId="0" applyFont="1" applyFill="1" applyBorder="1" applyAlignment="1">
      <alignment horizontal="right"/>
    </xf>
    <xf numFmtId="0" fontId="50" fillId="20" borderId="10" xfId="0" applyFont="1" applyFill="1" applyBorder="1" applyAlignment="1">
      <alignment horizontal="left"/>
    </xf>
    <xf numFmtId="41" fontId="58" fillId="20" borderId="33" xfId="1" applyFont="1" applyFill="1" applyBorder="1" applyAlignment="1">
      <alignment horizontal="center"/>
    </xf>
    <xf numFmtId="42" fontId="58" fillId="20" borderId="28" xfId="3" applyFont="1" applyFill="1" applyBorder="1" applyAlignment="1">
      <alignment horizontal="center"/>
    </xf>
    <xf numFmtId="0" fontId="50" fillId="20" borderId="29" xfId="0" applyFont="1" applyFill="1" applyBorder="1" applyAlignment="1">
      <alignment horizontal="left"/>
    </xf>
    <xf numFmtId="0" fontId="50" fillId="20" borderId="31" xfId="0" applyFont="1" applyFill="1" applyBorder="1" applyAlignment="1">
      <alignment horizontal="right"/>
    </xf>
    <xf numFmtId="41" fontId="50" fillId="20" borderId="34" xfId="1" applyFont="1" applyFill="1" applyBorder="1"/>
    <xf numFmtId="42" fontId="50" fillId="20" borderId="32" xfId="3" applyFont="1" applyFill="1" applyBorder="1"/>
    <xf numFmtId="41" fontId="56" fillId="20" borderId="0" xfId="1" applyFont="1" applyFill="1" applyAlignment="1">
      <alignment horizontal="justify" vertical="center"/>
    </xf>
    <xf numFmtId="42" fontId="56" fillId="20" borderId="0" xfId="3" applyFont="1" applyFill="1"/>
    <xf numFmtId="0" fontId="56" fillId="22" borderId="0" xfId="0" applyFont="1" applyFill="1" applyAlignment="1">
      <alignment horizontal="left" vertical="center"/>
    </xf>
    <xf numFmtId="41" fontId="56" fillId="22" borderId="0" xfId="1" applyFont="1" applyFill="1" applyAlignment="1">
      <alignment horizontal="justify" vertical="center"/>
    </xf>
    <xf numFmtId="42" fontId="57" fillId="22" borderId="0" xfId="3" applyFont="1" applyFill="1"/>
    <xf numFmtId="42" fontId="56" fillId="22" borderId="0" xfId="3" applyFont="1" applyFill="1"/>
    <xf numFmtId="42" fontId="51" fillId="22" borderId="0" xfId="0" applyNumberFormat="1" applyFont="1" applyFill="1"/>
    <xf numFmtId="0" fontId="50" fillId="12" borderId="0" xfId="0" applyFont="1" applyFill="1"/>
    <xf numFmtId="41" fontId="50" fillId="12" borderId="0" xfId="1" applyFont="1" applyFill="1"/>
    <xf numFmtId="42" fontId="50" fillId="12" borderId="0" xfId="3" applyFont="1" applyFill="1"/>
    <xf numFmtId="9" fontId="50" fillId="12" borderId="0" xfId="1" applyNumberFormat="1" applyFont="1" applyFill="1"/>
    <xf numFmtId="0" fontId="50" fillId="12" borderId="27" xfId="0" applyFont="1" applyFill="1" applyBorder="1"/>
    <xf numFmtId="41" fontId="50" fillId="12" borderId="33" xfId="1" applyFont="1" applyFill="1" applyBorder="1" applyAlignment="1">
      <alignment horizontal="center"/>
    </xf>
    <xf numFmtId="42" fontId="50" fillId="12" borderId="28" xfId="3" applyFont="1" applyFill="1" applyBorder="1" applyAlignment="1">
      <alignment horizontal="center"/>
    </xf>
    <xf numFmtId="0" fontId="58" fillId="12" borderId="29" xfId="0" applyFont="1" applyFill="1" applyBorder="1"/>
    <xf numFmtId="41" fontId="58" fillId="12" borderId="1" xfId="1" applyFont="1" applyFill="1" applyBorder="1"/>
    <xf numFmtId="42" fontId="50" fillId="12" borderId="30" xfId="3" applyFont="1" applyFill="1" applyBorder="1"/>
    <xf numFmtId="0" fontId="58" fillId="12" borderId="29" xfId="0" applyFont="1" applyFill="1" applyBorder="1" applyAlignment="1">
      <alignment horizontal="right"/>
    </xf>
    <xf numFmtId="42" fontId="58" fillId="12" borderId="30" xfId="3" applyFont="1" applyFill="1" applyBorder="1"/>
    <xf numFmtId="0" fontId="58" fillId="12" borderId="31" xfId="0" applyFont="1" applyFill="1" applyBorder="1" applyAlignment="1">
      <alignment horizontal="right"/>
    </xf>
    <xf numFmtId="41" fontId="58" fillId="12" borderId="34" xfId="1" applyFont="1" applyFill="1" applyBorder="1"/>
    <xf numFmtId="42" fontId="58" fillId="12" borderId="32" xfId="3" applyFont="1" applyFill="1" applyBorder="1"/>
    <xf numFmtId="0" fontId="50" fillId="3" borderId="0" xfId="0" applyFont="1" applyFill="1"/>
    <xf numFmtId="42" fontId="58" fillId="3" borderId="0" xfId="3" applyFont="1" applyFill="1"/>
    <xf numFmtId="0" fontId="50" fillId="3" borderId="1" xfId="0" applyFont="1" applyFill="1" applyBorder="1"/>
    <xf numFmtId="0" fontId="50" fillId="3" borderId="1" xfId="0" applyFont="1" applyFill="1" applyBorder="1" applyAlignment="1">
      <alignment horizontal="right"/>
    </xf>
    <xf numFmtId="42" fontId="50" fillId="3" borderId="1" xfId="0" applyNumberFormat="1" applyFont="1" applyFill="1" applyBorder="1"/>
    <xf numFmtId="0" fontId="50" fillId="3" borderId="8" xfId="0" applyFont="1" applyFill="1" applyBorder="1"/>
    <xf numFmtId="0" fontId="50" fillId="3" borderId="26" xfId="0" applyFont="1" applyFill="1" applyBorder="1"/>
    <xf numFmtId="42" fontId="50" fillId="3" borderId="26" xfId="3" applyFont="1" applyFill="1" applyBorder="1"/>
    <xf numFmtId="0" fontId="58" fillId="3" borderId="20" xfId="0" applyFont="1" applyFill="1" applyBorder="1" applyAlignment="1">
      <alignment horizontal="center"/>
    </xf>
    <xf numFmtId="42" fontId="58" fillId="3" borderId="6" xfId="3" applyFont="1" applyFill="1" applyBorder="1" applyAlignment="1">
      <alignment horizontal="center"/>
    </xf>
    <xf numFmtId="41" fontId="58" fillId="3" borderId="6" xfId="1" applyFont="1" applyFill="1" applyBorder="1" applyAlignment="1">
      <alignment horizontal="center"/>
    </xf>
    <xf numFmtId="41" fontId="51" fillId="3" borderId="0" xfId="1" applyFont="1" applyFill="1"/>
    <xf numFmtId="42" fontId="51" fillId="3" borderId="0" xfId="3" applyFont="1" applyFill="1"/>
    <xf numFmtId="41" fontId="52" fillId="3" borderId="0" xfId="1" applyFont="1" applyFill="1" applyAlignment="1">
      <alignment horizontal="center"/>
    </xf>
    <xf numFmtId="42" fontId="52" fillId="3" borderId="0" xfId="3" applyFont="1" applyFill="1"/>
    <xf numFmtId="41" fontId="52" fillId="3" borderId="9" xfId="1" applyFont="1" applyFill="1" applyBorder="1"/>
    <xf numFmtId="42" fontId="52" fillId="3" borderId="9" xfId="3" applyFont="1" applyFill="1" applyBorder="1"/>
    <xf numFmtId="0" fontId="51" fillId="3" borderId="0" xfId="0" applyFont="1" applyFill="1"/>
    <xf numFmtId="42" fontId="51" fillId="3" borderId="0" xfId="0" applyNumberFormat="1" applyFont="1" applyFill="1"/>
    <xf numFmtId="0" fontId="52" fillId="3" borderId="9" xfId="0" applyFont="1" applyFill="1" applyBorder="1"/>
    <xf numFmtId="42" fontId="52" fillId="3" borderId="9" xfId="0" applyNumberFormat="1" applyFont="1" applyFill="1" applyBorder="1"/>
    <xf numFmtId="41" fontId="55" fillId="3" borderId="0" xfId="1" applyFont="1" applyFill="1" applyAlignment="1">
      <alignment horizontal="justify" vertical="center"/>
    </xf>
    <xf numFmtId="42" fontId="55" fillId="3" borderId="0" xfId="3" applyFont="1" applyFill="1"/>
    <xf numFmtId="42" fontId="56" fillId="3" borderId="0" xfId="0" applyNumberFormat="1" applyFont="1" applyFill="1"/>
    <xf numFmtId="42" fontId="56" fillId="3" borderId="0" xfId="3" applyFont="1" applyFill="1"/>
    <xf numFmtId="0" fontId="52" fillId="3" borderId="0" xfId="0" applyFont="1" applyFill="1"/>
    <xf numFmtId="0" fontId="55" fillId="3" borderId="16" xfId="0" applyFont="1" applyFill="1" applyBorder="1"/>
    <xf numFmtId="42" fontId="55" fillId="3" borderId="9" xfId="0" applyNumberFormat="1" applyFont="1" applyFill="1" applyBorder="1"/>
    <xf numFmtId="0" fontId="48" fillId="3" borderId="0" xfId="0" applyFont="1" applyFill="1"/>
    <xf numFmtId="42" fontId="48" fillId="3" borderId="0" xfId="3" applyFont="1" applyFill="1"/>
    <xf numFmtId="42" fontId="47" fillId="3" borderId="0" xfId="3" applyFont="1" applyFill="1"/>
    <xf numFmtId="41" fontId="50" fillId="32" borderId="0" xfId="1" applyFont="1" applyFill="1"/>
    <xf numFmtId="42" fontId="50" fillId="32" borderId="0" xfId="3" applyFont="1" applyFill="1"/>
    <xf numFmtId="42" fontId="58" fillId="32" borderId="0" xfId="3" applyFont="1" applyFill="1"/>
    <xf numFmtId="0" fontId="50" fillId="32" borderId="1" xfId="0" applyFont="1" applyFill="1" applyBorder="1"/>
    <xf numFmtId="41" fontId="50" fillId="32" borderId="1" xfId="1" applyFont="1" applyFill="1" applyBorder="1"/>
    <xf numFmtId="42" fontId="50" fillId="32" borderId="1" xfId="3" applyFont="1" applyFill="1" applyBorder="1"/>
    <xf numFmtId="0" fontId="50" fillId="32" borderId="1" xfId="0" applyFont="1" applyFill="1" applyBorder="1" applyAlignment="1">
      <alignment horizontal="right"/>
    </xf>
    <xf numFmtId="0" fontId="58" fillId="32" borderId="0" xfId="0" applyFont="1" applyFill="1"/>
    <xf numFmtId="0" fontId="0" fillId="0" borderId="53" xfId="0" applyBorder="1"/>
    <xf numFmtId="0" fontId="0" fillId="0" borderId="54" xfId="0" applyBorder="1"/>
    <xf numFmtId="0" fontId="2" fillId="0" borderId="10" xfId="0" applyFont="1" applyBorder="1"/>
    <xf numFmtId="0" fontId="2" fillId="0" borderId="17" xfId="0" applyFont="1" applyBorder="1"/>
    <xf numFmtId="0" fontId="0" fillId="16" borderId="0" xfId="0" applyFill="1"/>
    <xf numFmtId="0" fontId="38" fillId="20" borderId="0" xfId="0" applyFont="1" applyFill="1"/>
    <xf numFmtId="0" fontId="38" fillId="6" borderId="0" xfId="0" applyFont="1" applyFill="1"/>
    <xf numFmtId="0" fontId="26" fillId="6" borderId="0" xfId="0" applyFont="1" applyFill="1"/>
    <xf numFmtId="0" fontId="38" fillId="6" borderId="18" xfId="0" applyFont="1" applyFill="1" applyBorder="1"/>
    <xf numFmtId="0" fontId="26" fillId="6" borderId="19" xfId="0" applyFont="1" applyFill="1" applyBorder="1"/>
    <xf numFmtId="0" fontId="0" fillId="6" borderId="19" xfId="0" applyFill="1" applyBorder="1"/>
    <xf numFmtId="0" fontId="26" fillId="6" borderId="18" xfId="0" applyFont="1" applyFill="1" applyBorder="1"/>
    <xf numFmtId="0" fontId="0" fillId="6" borderId="45" xfId="0" applyFill="1" applyBorder="1"/>
    <xf numFmtId="0" fontId="38" fillId="6" borderId="6" xfId="0" applyFont="1" applyFill="1" applyBorder="1"/>
    <xf numFmtId="0" fontId="0" fillId="35" borderId="0" xfId="0" applyFill="1"/>
    <xf numFmtId="0" fontId="27" fillId="20" borderId="0" xfId="4" applyFont="1" applyFill="1" applyAlignment="1">
      <alignment horizontal="right"/>
    </xf>
    <xf numFmtId="170" fontId="27" fillId="20" borderId="41" xfId="4" applyNumberFormat="1" applyFont="1" applyFill="1" applyBorder="1" applyAlignment="1">
      <alignment horizontal="right"/>
    </xf>
    <xf numFmtId="170" fontId="27" fillId="34" borderId="16" xfId="4" applyNumberFormat="1" applyFont="1" applyFill="1" applyBorder="1" applyAlignment="1">
      <alignment horizontal="center"/>
    </xf>
    <xf numFmtId="0" fontId="27" fillId="35" borderId="0" xfId="4" applyFont="1" applyFill="1" applyAlignment="1">
      <alignment horizontal="right"/>
    </xf>
    <xf numFmtId="170" fontId="27" fillId="31" borderId="16" xfId="4" applyNumberFormat="1" applyFont="1" applyFill="1" applyBorder="1" applyAlignment="1">
      <alignment horizontal="center"/>
    </xf>
    <xf numFmtId="42" fontId="33" fillId="0" borderId="0" xfId="3" applyFont="1" applyFill="1" applyBorder="1" applyAlignment="1"/>
    <xf numFmtId="0" fontId="28" fillId="17" borderId="18" xfId="0" applyFont="1" applyFill="1" applyBorder="1"/>
    <xf numFmtId="0" fontId="28" fillId="17" borderId="0" xfId="0" applyFont="1" applyFill="1"/>
    <xf numFmtId="170" fontId="30" fillId="17" borderId="0" xfId="4" applyNumberFormat="1" applyFont="1" applyFill="1" applyAlignment="1">
      <alignment horizontal="center"/>
    </xf>
    <xf numFmtId="0" fontId="28" fillId="17" borderId="0" xfId="0" applyFont="1" applyFill="1" applyAlignment="1">
      <alignment horizontal="left"/>
    </xf>
    <xf numFmtId="0" fontId="28" fillId="17" borderId="19" xfId="0" applyFont="1" applyFill="1" applyBorder="1"/>
    <xf numFmtId="0" fontId="30" fillId="17" borderId="18" xfId="4" applyFont="1" applyFill="1" applyBorder="1"/>
    <xf numFmtId="0" fontId="30" fillId="17" borderId="0" xfId="4" applyFont="1" applyFill="1"/>
    <xf numFmtId="170" fontId="30" fillId="17" borderId="19" xfId="4" applyNumberFormat="1" applyFont="1" applyFill="1" applyBorder="1" applyAlignment="1">
      <alignment horizontal="right"/>
    </xf>
    <xf numFmtId="170" fontId="27" fillId="17" borderId="16" xfId="4" applyNumberFormat="1" applyFont="1" applyFill="1" applyBorder="1" applyAlignment="1">
      <alignment horizontal="center"/>
    </xf>
    <xf numFmtId="170" fontId="27" fillId="17" borderId="9" xfId="4" applyNumberFormat="1" applyFont="1" applyFill="1" applyBorder="1" applyAlignment="1">
      <alignment horizontal="center"/>
    </xf>
    <xf numFmtId="0" fontId="27" fillId="17" borderId="0" xfId="4" applyFont="1" applyFill="1" applyAlignment="1">
      <alignment horizontal="right"/>
    </xf>
    <xf numFmtId="170" fontId="27" fillId="17" borderId="40" xfId="4" applyNumberFormat="1" applyFont="1" applyFill="1" applyBorder="1" applyAlignment="1">
      <alignment horizontal="right"/>
    </xf>
    <xf numFmtId="170" fontId="30" fillId="31" borderId="0" xfId="4" applyNumberFormat="1" applyFont="1" applyFill="1" applyAlignment="1">
      <alignment horizontal="center"/>
    </xf>
    <xf numFmtId="0" fontId="30" fillId="31" borderId="0" xfId="4" applyFont="1" applyFill="1"/>
    <xf numFmtId="170" fontId="27" fillId="31" borderId="9" xfId="4" applyNumberFormat="1" applyFont="1" applyFill="1" applyBorder="1" applyAlignment="1">
      <alignment horizontal="center"/>
    </xf>
    <xf numFmtId="0" fontId="27" fillId="31" borderId="0" xfId="4" applyFont="1" applyFill="1" applyAlignment="1">
      <alignment horizontal="right"/>
    </xf>
    <xf numFmtId="170" fontId="27" fillId="31" borderId="40" xfId="4" applyNumberFormat="1" applyFont="1" applyFill="1" applyBorder="1" applyAlignment="1">
      <alignment horizontal="right"/>
    </xf>
    <xf numFmtId="0" fontId="30" fillId="34" borderId="0" xfId="4" applyFont="1" applyFill="1" applyAlignment="1">
      <alignment horizontal="right"/>
    </xf>
    <xf numFmtId="170" fontId="27" fillId="34" borderId="41" xfId="4" applyNumberFormat="1" applyFont="1" applyFill="1" applyBorder="1" applyAlignment="1">
      <alignment horizontal="right"/>
    </xf>
    <xf numFmtId="42" fontId="33" fillId="20" borderId="0" xfId="3" applyFont="1" applyFill="1" applyBorder="1" applyAlignment="1"/>
    <xf numFmtId="170" fontId="30" fillId="31" borderId="16" xfId="4" applyNumberFormat="1" applyFont="1" applyFill="1" applyBorder="1" applyAlignment="1">
      <alignment horizontal="right"/>
    </xf>
    <xf numFmtId="0" fontId="30" fillId="31" borderId="19" xfId="4" applyFont="1" applyFill="1" applyBorder="1"/>
    <xf numFmtId="170" fontId="27" fillId="31" borderId="16" xfId="4" applyNumberFormat="1" applyFont="1" applyFill="1" applyBorder="1" applyAlignment="1">
      <alignment horizontal="right"/>
    </xf>
    <xf numFmtId="0" fontId="29" fillId="31" borderId="18" xfId="4" applyFont="1" applyFill="1" applyBorder="1" applyAlignment="1">
      <alignment horizontal="center"/>
    </xf>
    <xf numFmtId="0" fontId="29" fillId="31" borderId="0" xfId="4" applyFont="1" applyFill="1" applyAlignment="1">
      <alignment horizontal="center"/>
    </xf>
    <xf numFmtId="42" fontId="30" fillId="31" borderId="0" xfId="3" applyFont="1" applyFill="1" applyBorder="1" applyAlignment="1">
      <alignment horizontal="center"/>
    </xf>
    <xf numFmtId="0" fontId="37" fillId="31" borderId="0" xfId="4" applyFont="1" applyFill="1" applyAlignment="1">
      <alignment horizontal="center"/>
    </xf>
    <xf numFmtId="0" fontId="27" fillId="33" borderId="0" xfId="4" applyFont="1" applyFill="1" applyAlignment="1">
      <alignment horizontal="right"/>
    </xf>
    <xf numFmtId="170" fontId="27" fillId="33" borderId="19" xfId="4" applyNumberFormat="1" applyFont="1" applyFill="1" applyBorder="1" applyAlignment="1">
      <alignment horizontal="right"/>
    </xf>
    <xf numFmtId="0" fontId="27" fillId="33" borderId="14" xfId="4" applyFont="1" applyFill="1" applyBorder="1" applyAlignment="1">
      <alignment horizontal="right"/>
    </xf>
    <xf numFmtId="170" fontId="27" fillId="33" borderId="13" xfId="4" applyNumberFormat="1" applyFont="1" applyFill="1" applyBorder="1" applyAlignment="1">
      <alignment horizontal="right"/>
    </xf>
    <xf numFmtId="170" fontId="27" fillId="35" borderId="19" xfId="4" applyNumberFormat="1" applyFont="1" applyFill="1" applyBorder="1" applyAlignment="1">
      <alignment horizontal="right"/>
    </xf>
    <xf numFmtId="0" fontId="27" fillId="35" borderId="14" xfId="4" applyFont="1" applyFill="1" applyBorder="1" applyAlignment="1">
      <alignment horizontal="right"/>
    </xf>
    <xf numFmtId="170" fontId="27" fillId="35" borderId="13" xfId="4" applyNumberFormat="1" applyFont="1" applyFill="1" applyBorder="1" applyAlignment="1">
      <alignment horizontal="right"/>
    </xf>
    <xf numFmtId="42" fontId="33" fillId="17" borderId="0" xfId="3" applyFont="1" applyFill="1" applyBorder="1" applyAlignment="1"/>
    <xf numFmtId="0" fontId="0" fillId="20" borderId="1" xfId="0" applyFill="1" applyBorder="1" applyAlignment="1">
      <alignment horizontal="right"/>
    </xf>
    <xf numFmtId="42" fontId="0" fillId="0" borderId="0" xfId="3" applyFont="1" applyFill="1" applyAlignment="1">
      <alignment horizontal="center"/>
    </xf>
    <xf numFmtId="170" fontId="30" fillId="20" borderId="16" xfId="4" applyNumberFormat="1" applyFont="1" applyFill="1" applyBorder="1" applyAlignment="1">
      <alignment horizontal="right"/>
    </xf>
    <xf numFmtId="0" fontId="33" fillId="0" borderId="0" xfId="4" applyFont="1" applyAlignment="1">
      <alignment horizontal="center"/>
    </xf>
    <xf numFmtId="0" fontId="62" fillId="0" borderId="0" xfId="0" applyFont="1"/>
    <xf numFmtId="170" fontId="62" fillId="0" borderId="0" xfId="0" applyNumberFormat="1" applyFont="1"/>
    <xf numFmtId="170" fontId="61" fillId="31" borderId="0" xfId="0" applyNumberFormat="1" applyFont="1" applyFill="1"/>
    <xf numFmtId="42" fontId="62" fillId="0" borderId="0" xfId="0" applyNumberFormat="1" applyFont="1"/>
    <xf numFmtId="170" fontId="62" fillId="31" borderId="0" xfId="0" applyNumberFormat="1" applyFont="1" applyFill="1"/>
    <xf numFmtId="170" fontId="62" fillId="20" borderId="0" xfId="0" applyNumberFormat="1" applyFont="1" applyFill="1"/>
    <xf numFmtId="170" fontId="62" fillId="35" borderId="0" xfId="0" applyNumberFormat="1" applyFont="1" applyFill="1"/>
    <xf numFmtId="9" fontId="0" fillId="0" borderId="27" xfId="0" applyNumberFormat="1" applyBorder="1"/>
    <xf numFmtId="9" fontId="0" fillId="0" borderId="29" xfId="0" applyNumberFormat="1" applyBorder="1"/>
    <xf numFmtId="9" fontId="0" fillId="0" borderId="31" xfId="0" applyNumberFormat="1" applyBorder="1"/>
    <xf numFmtId="9" fontId="0" fillId="0" borderId="26" xfId="0" applyNumberFormat="1" applyBorder="1"/>
    <xf numFmtId="0" fontId="0" fillId="0" borderId="28" xfId="0" applyBorder="1"/>
    <xf numFmtId="0" fontId="0" fillId="0" borderId="32" xfId="0" applyBorder="1"/>
    <xf numFmtId="0" fontId="0" fillId="0" borderId="26" xfId="0" applyBorder="1"/>
    <xf numFmtId="0" fontId="0" fillId="10" borderId="35" xfId="0" applyFill="1" applyBorder="1"/>
    <xf numFmtId="0" fontId="2" fillId="10" borderId="0" xfId="0" applyFont="1" applyFill="1"/>
    <xf numFmtId="0" fontId="6" fillId="31" borderId="0" xfId="0" applyFont="1" applyFill="1"/>
    <xf numFmtId="0" fontId="2" fillId="31" borderId="0" xfId="0" applyFont="1" applyFill="1"/>
    <xf numFmtId="0" fontId="56" fillId="0" borderId="0" xfId="0" applyFont="1" applyAlignment="1">
      <alignment horizontal="left" vertical="center"/>
    </xf>
    <xf numFmtId="42" fontId="57" fillId="0" borderId="0" xfId="3" applyFont="1" applyFill="1"/>
    <xf numFmtId="41" fontId="55" fillId="0" borderId="16" xfId="1" applyFont="1" applyFill="1" applyBorder="1"/>
    <xf numFmtId="42" fontId="55" fillId="0" borderId="16" xfId="3" applyFont="1" applyFill="1" applyBorder="1"/>
    <xf numFmtId="42" fontId="55" fillId="0" borderId="9" xfId="0" applyNumberFormat="1" applyFont="1" applyBorder="1"/>
    <xf numFmtId="0" fontId="49" fillId="0" borderId="0" xfId="0" applyFont="1" applyAlignment="1">
      <alignment horizontal="center" vertical="center"/>
    </xf>
    <xf numFmtId="0" fontId="58" fillId="0" borderId="1" xfId="0" applyFont="1" applyBorder="1"/>
    <xf numFmtId="0" fontId="49" fillId="0" borderId="45" xfId="3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vertical="center"/>
    </xf>
    <xf numFmtId="0" fontId="50" fillId="0" borderId="0" xfId="0" applyFont="1" applyAlignment="1">
      <alignment horizontal="center"/>
    </xf>
    <xf numFmtId="42" fontId="58" fillId="0" borderId="6" xfId="3" applyFont="1" applyFill="1" applyBorder="1"/>
    <xf numFmtId="41" fontId="58" fillId="0" borderId="0" xfId="1" applyFont="1" applyFill="1"/>
    <xf numFmtId="41" fontId="58" fillId="0" borderId="1" xfId="1" applyFont="1" applyFill="1" applyBorder="1" applyAlignment="1">
      <alignment horizontal="center"/>
    </xf>
    <xf numFmtId="42" fontId="58" fillId="0" borderId="1" xfId="3" applyFont="1" applyFill="1" applyBorder="1" applyAlignment="1">
      <alignment horizontal="center"/>
    </xf>
    <xf numFmtId="41" fontId="58" fillId="0" borderId="33" xfId="1" applyFont="1" applyFill="1" applyBorder="1" applyAlignment="1">
      <alignment horizontal="center"/>
    </xf>
    <xf numFmtId="42" fontId="58" fillId="0" borderId="28" xfId="3" applyFont="1" applyFill="1" applyBorder="1" applyAlignment="1">
      <alignment horizontal="center"/>
    </xf>
    <xf numFmtId="0" fontId="50" fillId="0" borderId="29" xfId="0" applyFont="1" applyBorder="1" applyAlignment="1">
      <alignment horizontal="left"/>
    </xf>
    <xf numFmtId="42" fontId="50" fillId="0" borderId="30" xfId="3" applyFont="1" applyFill="1" applyBorder="1"/>
    <xf numFmtId="0" fontId="50" fillId="0" borderId="31" xfId="0" applyFont="1" applyBorder="1" applyAlignment="1">
      <alignment horizontal="right"/>
    </xf>
    <xf numFmtId="41" fontId="50" fillId="0" borderId="34" xfId="1" applyFont="1" applyFill="1" applyBorder="1"/>
    <xf numFmtId="42" fontId="50" fillId="0" borderId="32" xfId="3" applyFont="1" applyFill="1" applyBorder="1"/>
    <xf numFmtId="9" fontId="50" fillId="0" borderId="0" xfId="1" applyNumberFormat="1" applyFont="1" applyFill="1"/>
    <xf numFmtId="0" fontId="50" fillId="0" borderId="27" xfId="0" applyFont="1" applyBorder="1"/>
    <xf numFmtId="41" fontId="50" fillId="0" borderId="33" xfId="1" applyFont="1" applyFill="1" applyBorder="1" applyAlignment="1">
      <alignment horizontal="center"/>
    </xf>
    <xf numFmtId="42" fontId="50" fillId="0" borderId="28" xfId="3" applyFont="1" applyFill="1" applyBorder="1" applyAlignment="1">
      <alignment horizontal="center"/>
    </xf>
    <xf numFmtId="0" fontId="58" fillId="0" borderId="29" xfId="0" applyFont="1" applyBorder="1"/>
    <xf numFmtId="41" fontId="58" fillId="0" borderId="1" xfId="1" applyFont="1" applyFill="1" applyBorder="1"/>
    <xf numFmtId="0" fontId="58" fillId="0" borderId="29" xfId="0" applyFont="1" applyBorder="1" applyAlignment="1">
      <alignment horizontal="right"/>
    </xf>
    <xf numFmtId="42" fontId="58" fillId="0" borderId="30" xfId="3" applyFont="1" applyFill="1" applyBorder="1"/>
    <xf numFmtId="0" fontId="58" fillId="0" borderId="31" xfId="0" applyFont="1" applyBorder="1" applyAlignment="1">
      <alignment horizontal="right"/>
    </xf>
    <xf numFmtId="41" fontId="58" fillId="0" borderId="34" xfId="1" applyFont="1" applyFill="1" applyBorder="1"/>
    <xf numFmtId="42" fontId="58" fillId="0" borderId="32" xfId="3" applyFont="1" applyFill="1" applyBorder="1"/>
    <xf numFmtId="0" fontId="58" fillId="0" borderId="20" xfId="0" applyFont="1" applyBorder="1" applyAlignment="1">
      <alignment horizontal="center"/>
    </xf>
    <xf numFmtId="41" fontId="58" fillId="0" borderId="6" xfId="1" applyFont="1" applyFill="1" applyBorder="1" applyAlignment="1">
      <alignment horizontal="center"/>
    </xf>
    <xf numFmtId="42" fontId="58" fillId="0" borderId="6" xfId="3" applyFont="1" applyFill="1" applyBorder="1" applyAlignment="1">
      <alignment horizontal="center"/>
    </xf>
    <xf numFmtId="0" fontId="50" fillId="0" borderId="26" xfId="0" applyFont="1" applyBorder="1"/>
    <xf numFmtId="42" fontId="50" fillId="0" borderId="26" xfId="3" applyFont="1" applyFill="1" applyBorder="1"/>
    <xf numFmtId="0" fontId="50" fillId="0" borderId="8" xfId="0" applyFont="1" applyBorder="1"/>
    <xf numFmtId="0" fontId="58" fillId="0" borderId="0" xfId="0" applyFont="1"/>
    <xf numFmtId="0" fontId="38" fillId="22" borderId="6" xfId="0" applyFont="1" applyFill="1" applyBorder="1"/>
    <xf numFmtId="0" fontId="26" fillId="20" borderId="0" xfId="0" applyFont="1" applyFill="1"/>
    <xf numFmtId="0" fontId="0" fillId="20" borderId="17" xfId="0" applyFill="1" applyBorder="1"/>
    <xf numFmtId="0" fontId="38" fillId="20" borderId="12" xfId="0" applyFont="1" applyFill="1" applyBorder="1"/>
    <xf numFmtId="0" fontId="38" fillId="20" borderId="14" xfId="0" applyFont="1" applyFill="1" applyBorder="1"/>
    <xf numFmtId="0" fontId="0" fillId="20" borderId="45" xfId="0" applyFill="1" applyBorder="1"/>
    <xf numFmtId="0" fontId="38" fillId="20" borderId="6" xfId="0" applyFont="1" applyFill="1" applyBorder="1"/>
    <xf numFmtId="0" fontId="0" fillId="6" borderId="52" xfId="0" applyFill="1" applyBorder="1"/>
    <xf numFmtId="0" fontId="26" fillId="6" borderId="29" xfId="0" applyFont="1" applyFill="1" applyBorder="1"/>
    <xf numFmtId="0" fontId="0" fillId="6" borderId="1" xfId="0" applyFill="1" applyBorder="1"/>
    <xf numFmtId="0" fontId="26" fillId="6" borderId="49" xfId="0" applyFont="1" applyFill="1" applyBorder="1"/>
    <xf numFmtId="0" fontId="0" fillId="6" borderId="50" xfId="0" applyFill="1" applyBorder="1"/>
    <xf numFmtId="0" fontId="38" fillId="6" borderId="55" xfId="0" applyFont="1" applyFill="1" applyBorder="1"/>
    <xf numFmtId="0" fontId="38" fillId="20" borderId="53" xfId="0" applyFont="1" applyFill="1" applyBorder="1"/>
    <xf numFmtId="0" fontId="38" fillId="20" borderId="54" xfId="0" applyFont="1" applyFill="1" applyBorder="1"/>
    <xf numFmtId="0" fontId="0" fillId="20" borderId="10" xfId="0" applyFill="1" applyBorder="1"/>
    <xf numFmtId="170" fontId="27" fillId="3" borderId="16" xfId="4" applyNumberFormat="1" applyFont="1" applyFill="1" applyBorder="1" applyAlignment="1">
      <alignment horizontal="right"/>
    </xf>
    <xf numFmtId="0" fontId="28" fillId="0" borderId="19" xfId="0" applyFont="1" applyBorder="1" applyAlignment="1">
      <alignment horizontal="right"/>
    </xf>
    <xf numFmtId="170" fontId="27" fillId="6" borderId="9" xfId="4" applyNumberFormat="1" applyFont="1" applyFill="1" applyBorder="1" applyAlignment="1">
      <alignment horizontal="right"/>
    </xf>
    <xf numFmtId="0" fontId="12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30" fillId="0" borderId="0" xfId="4" applyFont="1" applyAlignment="1">
      <alignment horizontal="left"/>
    </xf>
    <xf numFmtId="0" fontId="29" fillId="0" borderId="18" xfId="4" applyFont="1" applyBorder="1" applyAlignment="1">
      <alignment horizontal="center"/>
    </xf>
    <xf numFmtId="0" fontId="29" fillId="0" borderId="0" xfId="4" applyFont="1" applyAlignment="1">
      <alignment horizontal="center"/>
    </xf>
    <xf numFmtId="0" fontId="27" fillId="0" borderId="18" xfId="4" applyFont="1" applyBorder="1"/>
    <xf numFmtId="0" fontId="27" fillId="0" borderId="0" xfId="4" applyFont="1"/>
    <xf numFmtId="0" fontId="27" fillId="0" borderId="0" xfId="4" applyFont="1" applyAlignment="1">
      <alignment horizontal="left"/>
    </xf>
    <xf numFmtId="0" fontId="30" fillId="17" borderId="0" xfId="4" applyFont="1" applyFill="1" applyAlignment="1">
      <alignment horizontal="left"/>
    </xf>
    <xf numFmtId="0" fontId="30" fillId="31" borderId="18" xfId="4" applyFont="1" applyFill="1" applyBorder="1"/>
    <xf numFmtId="0" fontId="63" fillId="0" borderId="0" xfId="4" applyFont="1"/>
    <xf numFmtId="42" fontId="33" fillId="0" borderId="0" xfId="3" applyFont="1" applyFill="1" applyBorder="1" applyAlignment="1">
      <alignment horizontal="center"/>
    </xf>
    <xf numFmtId="0" fontId="31" fillId="0" borderId="0" xfId="4" applyFont="1"/>
    <xf numFmtId="0" fontId="33" fillId="0" borderId="0" xfId="4" applyFont="1" applyAlignment="1">
      <alignment horizontal="left"/>
    </xf>
    <xf numFmtId="170" fontId="33" fillId="0" borderId="0" xfId="4" applyNumberFormat="1" applyFont="1"/>
    <xf numFmtId="0" fontId="33" fillId="0" borderId="14" xfId="4" applyFont="1" applyBorder="1" applyAlignment="1">
      <alignment horizontal="center"/>
    </xf>
    <xf numFmtId="0" fontId="33" fillId="0" borderId="14" xfId="4" applyFont="1" applyBorder="1"/>
    <xf numFmtId="42" fontId="63" fillId="0" borderId="0" xfId="3" applyFont="1" applyFill="1" applyBorder="1" applyAlignment="1"/>
    <xf numFmtId="42" fontId="31" fillId="0" borderId="0" xfId="3" applyFont="1" applyFill="1" applyBorder="1" applyAlignment="1"/>
    <xf numFmtId="42" fontId="33" fillId="0" borderId="0" xfId="3" applyFont="1" applyFill="1" applyBorder="1" applyAlignment="1">
      <alignment horizontal="right"/>
    </xf>
    <xf numFmtId="42" fontId="33" fillId="0" borderId="14" xfId="3" applyFont="1" applyFill="1" applyBorder="1" applyAlignment="1">
      <alignment horizontal="center"/>
    </xf>
    <xf numFmtId="42" fontId="33" fillId="0" borderId="14" xfId="3" applyFont="1" applyFill="1" applyBorder="1" applyAlignment="1"/>
    <xf numFmtId="42" fontId="31" fillId="0" borderId="0" xfId="3" applyFont="1"/>
    <xf numFmtId="42" fontId="30" fillId="0" borderId="0" xfId="0" applyNumberFormat="1" applyFont="1"/>
    <xf numFmtId="42" fontId="61" fillId="0" borderId="0" xfId="3" applyFont="1" applyFill="1" applyBorder="1" applyAlignment="1">
      <alignment horizontal="right"/>
    </xf>
    <xf numFmtId="42" fontId="61" fillId="0" borderId="0" xfId="3" applyFont="1" applyFill="1" applyBorder="1" applyAlignment="1"/>
    <xf numFmtId="42" fontId="33" fillId="0" borderId="0" xfId="3" applyFont="1" applyFill="1" applyBorder="1" applyAlignment="1">
      <alignment horizontal="left"/>
    </xf>
    <xf numFmtId="42" fontId="33" fillId="31" borderId="0" xfId="3" applyFont="1" applyFill="1" applyBorder="1" applyAlignment="1"/>
    <xf numFmtId="42" fontId="33" fillId="31" borderId="0" xfId="3" applyFont="1" applyFill="1" applyBorder="1" applyAlignment="1">
      <alignment horizontal="center"/>
    </xf>
    <xf numFmtId="42" fontId="31" fillId="31" borderId="0" xfId="4" applyNumberFormat="1" applyFont="1" applyFill="1"/>
    <xf numFmtId="0" fontId="33" fillId="17" borderId="0" xfId="4" applyFont="1" applyFill="1" applyAlignment="1">
      <alignment horizontal="right"/>
    </xf>
    <xf numFmtId="0" fontId="33" fillId="34" borderId="0" xfId="4" applyFont="1" applyFill="1" applyAlignment="1">
      <alignment horizontal="center" vertical="center"/>
    </xf>
    <xf numFmtId="0" fontId="31" fillId="31" borderId="0" xfId="4" applyFont="1" applyFill="1"/>
    <xf numFmtId="0" fontId="31" fillId="34" borderId="0" xfId="4" applyFont="1" applyFill="1"/>
    <xf numFmtId="42" fontId="33" fillId="17" borderId="0" xfId="3" applyFont="1" applyFill="1" applyBorder="1" applyAlignment="1">
      <alignment horizontal="right"/>
    </xf>
    <xf numFmtId="0" fontId="28" fillId="0" borderId="0" xfId="0" applyFont="1" applyAlignment="1">
      <alignment horizontal="center" vertical="center"/>
    </xf>
    <xf numFmtId="177" fontId="28" fillId="0" borderId="0" xfId="1" applyNumberFormat="1" applyFont="1" applyAlignment="1">
      <alignment horizontal="center" vertical="center"/>
    </xf>
    <xf numFmtId="177" fontId="28" fillId="20" borderId="0" xfId="1" applyNumberFormat="1" applyFont="1" applyFill="1" applyAlignment="1">
      <alignment horizontal="center" vertical="center"/>
    </xf>
    <xf numFmtId="177" fontId="28" fillId="6" borderId="0" xfId="1" applyNumberFormat="1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177" fontId="34" fillId="0" borderId="0" xfId="1" applyNumberFormat="1" applyFont="1" applyFill="1" applyAlignment="1">
      <alignment horizontal="center" vertical="center"/>
    </xf>
    <xf numFmtId="0" fontId="0" fillId="36" borderId="0" xfId="0" applyFill="1"/>
    <xf numFmtId="0" fontId="0" fillId="0" borderId="0" xfId="0" applyAlignment="1">
      <alignment horizontal="center" wrapText="1"/>
    </xf>
    <xf numFmtId="0" fontId="0" fillId="20" borderId="24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8" fillId="0" borderId="20" xfId="0" applyFont="1" applyBorder="1" applyAlignment="1">
      <alignment horizontal="center"/>
    </xf>
    <xf numFmtId="0" fontId="38" fillId="0" borderId="21" xfId="0" applyFont="1" applyBorder="1" applyAlignment="1">
      <alignment horizontal="center"/>
    </xf>
    <xf numFmtId="0" fontId="38" fillId="0" borderId="22" xfId="0" applyFont="1" applyBorder="1" applyAlignment="1">
      <alignment horizontal="center"/>
    </xf>
    <xf numFmtId="0" fontId="38" fillId="20" borderId="20" xfId="0" applyFont="1" applyFill="1" applyBorder="1" applyAlignment="1">
      <alignment horizontal="center"/>
    </xf>
    <xf numFmtId="0" fontId="38" fillId="20" borderId="21" xfId="0" applyFont="1" applyFill="1" applyBorder="1" applyAlignment="1">
      <alignment horizontal="center"/>
    </xf>
    <xf numFmtId="0" fontId="38" fillId="20" borderId="22" xfId="0" applyFont="1" applyFill="1" applyBorder="1" applyAlignment="1">
      <alignment horizontal="center"/>
    </xf>
    <xf numFmtId="0" fontId="0" fillId="13" borderId="0" xfId="0" applyFill="1" applyAlignment="1">
      <alignment horizontal="center" vertical="center" wrapText="1"/>
    </xf>
    <xf numFmtId="0" fontId="38" fillId="6" borderId="20" xfId="0" applyFont="1" applyFill="1" applyBorder="1" applyAlignment="1">
      <alignment horizontal="center"/>
    </xf>
    <xf numFmtId="0" fontId="38" fillId="6" borderId="22" xfId="0" applyFont="1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38" fillId="0" borderId="31" xfId="0" applyFont="1" applyBorder="1" applyAlignment="1">
      <alignment horizontal="center"/>
    </xf>
    <xf numFmtId="0" fontId="38" fillId="0" borderId="32" xfId="0" applyFont="1" applyBorder="1" applyAlignment="1">
      <alignment horizontal="center"/>
    </xf>
    <xf numFmtId="0" fontId="38" fillId="0" borderId="58" xfId="0" applyFont="1" applyBorder="1" applyAlignment="1">
      <alignment horizontal="center"/>
    </xf>
    <xf numFmtId="0" fontId="38" fillId="0" borderId="59" xfId="0" applyFont="1" applyBorder="1" applyAlignment="1">
      <alignment horizontal="center"/>
    </xf>
    <xf numFmtId="0" fontId="38" fillId="0" borderId="60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41" fontId="5" fillId="13" borderId="3" xfId="1" applyFont="1" applyFill="1" applyBorder="1" applyAlignment="1">
      <alignment horizontal="center"/>
    </xf>
    <xf numFmtId="41" fontId="5" fillId="13" borderId="4" xfId="1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0" borderId="10" xfId="0" applyFont="1" applyFill="1" applyBorder="1" applyAlignment="1">
      <alignment horizontal="center"/>
    </xf>
    <xf numFmtId="0" fontId="2" fillId="20" borderId="17" xfId="0" applyFont="1" applyFill="1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2" fillId="21" borderId="10" xfId="0" applyFont="1" applyFill="1" applyBorder="1" applyAlignment="1">
      <alignment horizontal="center" vertical="center"/>
    </xf>
    <xf numFmtId="0" fontId="12" fillId="21" borderId="11" xfId="0" applyFont="1" applyFill="1" applyBorder="1" applyAlignment="1">
      <alignment horizontal="center" vertical="center"/>
    </xf>
    <xf numFmtId="0" fontId="12" fillId="21" borderId="12" xfId="0" applyFont="1" applyFill="1" applyBorder="1" applyAlignment="1">
      <alignment horizontal="center" vertical="center"/>
    </xf>
    <xf numFmtId="0" fontId="12" fillId="21" borderId="13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2" fillId="20" borderId="10" xfId="0" applyFont="1" applyFill="1" applyBorder="1" applyAlignment="1">
      <alignment horizontal="center" vertical="center"/>
    </xf>
    <xf numFmtId="0" fontId="12" fillId="20" borderId="11" xfId="0" applyFont="1" applyFill="1" applyBorder="1" applyAlignment="1">
      <alignment horizontal="center" vertical="center"/>
    </xf>
    <xf numFmtId="0" fontId="12" fillId="20" borderId="12" xfId="0" applyFont="1" applyFill="1" applyBorder="1" applyAlignment="1">
      <alignment horizontal="center" vertical="center"/>
    </xf>
    <xf numFmtId="0" fontId="12" fillId="20" borderId="1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4" xfId="0" applyBorder="1" applyAlignment="1">
      <alignment horizontal="center" wrapText="1"/>
    </xf>
    <xf numFmtId="0" fontId="24" fillId="0" borderId="7" xfId="0" applyFont="1" applyBorder="1" applyAlignment="1">
      <alignment horizontal="center"/>
    </xf>
    <xf numFmtId="0" fontId="24" fillId="0" borderId="3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42" fontId="58" fillId="0" borderId="0" xfId="3" applyFont="1" applyFill="1" applyAlignment="1">
      <alignment horizontal="center" wrapText="1"/>
    </xf>
    <xf numFmtId="0" fontId="50" fillId="0" borderId="7" xfId="0" applyFont="1" applyBorder="1" applyAlignment="1">
      <alignment horizontal="right"/>
    </xf>
    <xf numFmtId="0" fontId="50" fillId="0" borderId="37" xfId="0" applyFont="1" applyBorder="1" applyAlignment="1">
      <alignment horizontal="right"/>
    </xf>
    <xf numFmtId="0" fontId="50" fillId="0" borderId="8" xfId="0" applyFont="1" applyBorder="1" applyAlignment="1">
      <alignment horizontal="right"/>
    </xf>
    <xf numFmtId="0" fontId="58" fillId="0" borderId="23" xfId="0" applyFont="1" applyBorder="1" applyAlignment="1">
      <alignment horizontal="center" vertical="center"/>
    </xf>
    <xf numFmtId="0" fontId="58" fillId="0" borderId="24" xfId="0" applyFont="1" applyBorder="1" applyAlignment="1">
      <alignment horizontal="center" vertical="center"/>
    </xf>
    <xf numFmtId="0" fontId="58" fillId="0" borderId="25" xfId="0" applyFont="1" applyBorder="1" applyAlignment="1">
      <alignment horizontal="center" vertical="center"/>
    </xf>
    <xf numFmtId="42" fontId="58" fillId="0" borderId="10" xfId="3" applyFont="1" applyFill="1" applyBorder="1" applyAlignment="1">
      <alignment horizontal="center" vertical="center" wrapText="1"/>
    </xf>
    <xf numFmtId="42" fontId="58" fillId="0" borderId="11" xfId="3" applyFont="1" applyFill="1" applyBorder="1" applyAlignment="1">
      <alignment horizontal="center" vertical="center" wrapText="1"/>
    </xf>
    <xf numFmtId="42" fontId="58" fillId="0" borderId="18" xfId="3" applyFont="1" applyFill="1" applyBorder="1" applyAlignment="1">
      <alignment horizontal="center" vertical="center" wrapText="1"/>
    </xf>
    <xf numFmtId="42" fontId="58" fillId="0" borderId="19" xfId="3" applyFont="1" applyFill="1" applyBorder="1" applyAlignment="1">
      <alignment horizontal="center" vertical="center" wrapText="1"/>
    </xf>
    <xf numFmtId="42" fontId="58" fillId="0" borderId="12" xfId="3" applyFont="1" applyFill="1" applyBorder="1" applyAlignment="1">
      <alignment horizontal="center" vertical="center" wrapText="1"/>
    </xf>
    <xf numFmtId="42" fontId="58" fillId="0" borderId="13" xfId="3" applyFont="1" applyFill="1" applyBorder="1" applyAlignment="1">
      <alignment horizontal="center" vertical="center" wrapText="1"/>
    </xf>
    <xf numFmtId="0" fontId="49" fillId="0" borderId="0" xfId="0" applyFont="1" applyAlignment="1">
      <alignment horizontal="center"/>
    </xf>
    <xf numFmtId="0" fontId="49" fillId="0" borderId="20" xfId="0" applyFont="1" applyBorder="1" applyAlignment="1">
      <alignment horizontal="center"/>
    </xf>
    <xf numFmtId="0" fontId="49" fillId="0" borderId="21" xfId="0" applyFont="1" applyBorder="1" applyAlignment="1">
      <alignment horizontal="center"/>
    </xf>
    <xf numFmtId="0" fontId="49" fillId="0" borderId="22" xfId="0" applyFont="1" applyBorder="1" applyAlignment="1">
      <alignment horizontal="center"/>
    </xf>
    <xf numFmtId="170" fontId="58" fillId="6" borderId="7" xfId="1" applyNumberFormat="1" applyFont="1" applyFill="1" applyBorder="1" applyAlignment="1">
      <alignment horizontal="center"/>
    </xf>
    <xf numFmtId="170" fontId="58" fillId="6" borderId="8" xfId="1" applyNumberFormat="1" applyFont="1" applyFill="1" applyBorder="1" applyAlignment="1">
      <alignment horizontal="center"/>
    </xf>
    <xf numFmtId="170" fontId="58" fillId="0" borderId="7" xfId="1" applyNumberFormat="1" applyFont="1" applyFill="1" applyBorder="1" applyAlignment="1">
      <alignment horizontal="center"/>
    </xf>
    <xf numFmtId="170" fontId="58" fillId="0" borderId="8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10" borderId="0" xfId="0" applyFont="1" applyFill="1" applyAlignment="1">
      <alignment horizontal="center"/>
    </xf>
    <xf numFmtId="0" fontId="27" fillId="0" borderId="18" xfId="4" applyFont="1" applyBorder="1" applyAlignment="1">
      <alignment horizontal="center"/>
    </xf>
    <xf numFmtId="0" fontId="27" fillId="0" borderId="0" xfId="4" applyFont="1" applyAlignment="1">
      <alignment horizontal="center"/>
    </xf>
    <xf numFmtId="0" fontId="27" fillId="0" borderId="19" xfId="4" applyFont="1" applyBorder="1" applyAlignment="1">
      <alignment horizontal="center"/>
    </xf>
    <xf numFmtId="0" fontId="27" fillId="20" borderId="18" xfId="4" applyFont="1" applyFill="1" applyBorder="1"/>
    <xf numFmtId="0" fontId="27" fillId="20" borderId="0" xfId="4" applyFont="1" applyFill="1"/>
    <xf numFmtId="0" fontId="27" fillId="0" borderId="10" xfId="4" applyFont="1" applyBorder="1" applyAlignment="1">
      <alignment horizontal="center"/>
    </xf>
    <xf numFmtId="0" fontId="27" fillId="0" borderId="17" xfId="4" applyFont="1" applyBorder="1" applyAlignment="1">
      <alignment horizontal="center"/>
    </xf>
    <xf numFmtId="0" fontId="27" fillId="0" borderId="11" xfId="4" applyFont="1" applyBorder="1" applyAlignment="1">
      <alignment horizontal="center"/>
    </xf>
    <xf numFmtId="0" fontId="29" fillId="0" borderId="18" xfId="4" applyFont="1" applyBorder="1" applyAlignment="1">
      <alignment horizontal="center"/>
    </xf>
    <xf numFmtId="0" fontId="29" fillId="0" borderId="0" xfId="4" applyFont="1" applyAlignment="1">
      <alignment horizontal="center"/>
    </xf>
    <xf numFmtId="0" fontId="30" fillId="31" borderId="18" xfId="4" applyFont="1" applyFill="1" applyBorder="1"/>
    <xf numFmtId="0" fontId="30" fillId="31" borderId="0" xfId="4" applyFont="1" applyFill="1"/>
    <xf numFmtId="0" fontId="30" fillId="31" borderId="0" xfId="4" applyFont="1" applyFill="1" applyAlignment="1">
      <alignment horizontal="left"/>
    </xf>
    <xf numFmtId="0" fontId="27" fillId="31" borderId="18" xfId="4" applyFont="1" applyFill="1" applyBorder="1"/>
    <xf numFmtId="0" fontId="27" fillId="31" borderId="0" xfId="4" applyFont="1" applyFill="1"/>
    <xf numFmtId="0" fontId="27" fillId="31" borderId="0" xfId="4" applyFont="1" applyFill="1" applyAlignment="1">
      <alignment horizontal="left"/>
    </xf>
    <xf numFmtId="0" fontId="30" fillId="0" borderId="18" xfId="4" applyFont="1" applyBorder="1"/>
    <xf numFmtId="0" fontId="30" fillId="0" borderId="0" xfId="4" applyFont="1"/>
    <xf numFmtId="0" fontId="30" fillId="34" borderId="18" xfId="4" applyFont="1" applyFill="1" applyBorder="1"/>
    <xf numFmtId="0" fontId="30" fillId="34" borderId="0" xfId="4" applyFont="1" applyFill="1"/>
    <xf numFmtId="0" fontId="27" fillId="34" borderId="0" xfId="4" applyFont="1" applyFill="1" applyAlignment="1">
      <alignment horizontal="left"/>
    </xf>
    <xf numFmtId="0" fontId="27" fillId="0" borderId="12" xfId="4" applyFont="1" applyBorder="1" applyAlignment="1">
      <alignment horizontal="center"/>
    </xf>
    <xf numFmtId="0" fontId="27" fillId="0" borderId="14" xfId="4" applyFont="1" applyBorder="1" applyAlignment="1">
      <alignment horizontal="center"/>
    </xf>
    <xf numFmtId="0" fontId="27" fillId="0" borderId="14" xfId="4" applyFont="1" applyBorder="1" applyAlignment="1">
      <alignment horizontal="left"/>
    </xf>
    <xf numFmtId="0" fontId="31" fillId="0" borderId="0" xfId="4" applyFont="1" applyAlignment="1">
      <alignment horizontal="left"/>
    </xf>
    <xf numFmtId="0" fontId="30" fillId="17" borderId="0" xfId="4" applyFont="1" applyFill="1" applyAlignment="1">
      <alignment horizontal="left"/>
    </xf>
    <xf numFmtId="0" fontId="27" fillId="17" borderId="18" xfId="4" applyFont="1" applyFill="1" applyBorder="1"/>
    <xf numFmtId="0" fontId="27" fillId="17" borderId="0" xfId="4" applyFont="1" applyFill="1"/>
    <xf numFmtId="0" fontId="27" fillId="17" borderId="0" xfId="4" applyFont="1" applyFill="1" applyAlignment="1">
      <alignment horizontal="left"/>
    </xf>
    <xf numFmtId="0" fontId="30" fillId="31" borderId="18" xfId="4" applyFont="1" applyFill="1" applyBorder="1" applyAlignment="1">
      <alignment horizontal="center"/>
    </xf>
    <xf numFmtId="0" fontId="30" fillId="31" borderId="0" xfId="4" applyFont="1" applyFill="1" applyAlignment="1">
      <alignment horizontal="center"/>
    </xf>
    <xf numFmtId="0" fontId="27" fillId="34" borderId="18" xfId="4" applyFont="1" applyFill="1" applyBorder="1"/>
    <xf numFmtId="0" fontId="27" fillId="34" borderId="0" xfId="4" applyFont="1" applyFill="1"/>
    <xf numFmtId="0" fontId="30" fillId="34" borderId="0" xfId="4" applyFont="1" applyFill="1" applyAlignment="1">
      <alignment horizontal="left"/>
    </xf>
    <xf numFmtId="42" fontId="33" fillId="0" borderId="0" xfId="3" applyFont="1" applyFill="1" applyBorder="1" applyAlignment="1">
      <alignment horizontal="left"/>
    </xf>
    <xf numFmtId="0" fontId="30" fillId="0" borderId="0" xfId="4" applyFont="1" applyAlignment="1">
      <alignment horizontal="left"/>
    </xf>
    <xf numFmtId="0" fontId="27" fillId="0" borderId="18" xfId="4" applyFont="1" applyBorder="1"/>
    <xf numFmtId="0" fontId="27" fillId="0" borderId="0" xfId="4" applyFont="1"/>
    <xf numFmtId="0" fontId="27" fillId="0" borderId="0" xfId="4" applyFont="1" applyAlignment="1">
      <alignment horizontal="left"/>
    </xf>
    <xf numFmtId="0" fontId="27" fillId="20" borderId="10" xfId="4" applyFont="1" applyFill="1" applyBorder="1" applyAlignment="1">
      <alignment horizontal="center"/>
    </xf>
    <xf numFmtId="0" fontId="27" fillId="20" borderId="17" xfId="4" applyFont="1" applyFill="1" applyBorder="1" applyAlignment="1">
      <alignment horizontal="center"/>
    </xf>
    <xf numFmtId="0" fontId="27" fillId="20" borderId="11" xfId="4" applyFont="1" applyFill="1" applyBorder="1" applyAlignment="1">
      <alignment horizontal="center"/>
    </xf>
    <xf numFmtId="0" fontId="27" fillId="20" borderId="18" xfId="4" applyFont="1" applyFill="1" applyBorder="1" applyAlignment="1">
      <alignment horizontal="center"/>
    </xf>
    <xf numFmtId="0" fontId="27" fillId="20" borderId="0" xfId="4" applyFont="1" applyFill="1" applyAlignment="1">
      <alignment horizontal="center"/>
    </xf>
    <xf numFmtId="0" fontId="27" fillId="20" borderId="19" xfId="4" applyFont="1" applyFill="1" applyBorder="1" applyAlignment="1">
      <alignment horizontal="center"/>
    </xf>
    <xf numFmtId="0" fontId="30" fillId="0" borderId="18" xfId="4" applyFont="1" applyBorder="1" applyAlignment="1">
      <alignment horizontal="center"/>
    </xf>
    <xf numFmtId="0" fontId="30" fillId="0" borderId="0" xfId="4" applyFont="1" applyAlignment="1">
      <alignment horizontal="center"/>
    </xf>
    <xf numFmtId="0" fontId="27" fillId="3" borderId="10" xfId="4" applyFont="1" applyFill="1" applyBorder="1" applyAlignment="1">
      <alignment horizontal="center"/>
    </xf>
    <xf numFmtId="0" fontId="27" fillId="3" borderId="17" xfId="4" applyFont="1" applyFill="1" applyBorder="1" applyAlignment="1">
      <alignment horizontal="center"/>
    </xf>
    <xf numFmtId="0" fontId="27" fillId="3" borderId="11" xfId="4" applyFont="1" applyFill="1" applyBorder="1" applyAlignment="1">
      <alignment horizontal="center"/>
    </xf>
    <xf numFmtId="0" fontId="27" fillId="3" borderId="18" xfId="4" applyFont="1" applyFill="1" applyBorder="1" applyAlignment="1">
      <alignment horizontal="center"/>
    </xf>
    <xf numFmtId="0" fontId="27" fillId="3" borderId="0" xfId="4" applyFont="1" applyFill="1" applyAlignment="1">
      <alignment horizontal="center"/>
    </xf>
    <xf numFmtId="0" fontId="27" fillId="3" borderId="19" xfId="4" applyFont="1" applyFill="1" applyBorder="1" applyAlignment="1">
      <alignment horizontal="center"/>
    </xf>
    <xf numFmtId="44" fontId="0" fillId="0" borderId="0" xfId="5" applyFont="1"/>
    <xf numFmtId="44" fontId="21" fillId="0" borderId="0" xfId="5" applyFont="1"/>
    <xf numFmtId="4" fontId="0" fillId="0" borderId="0" xfId="0" applyNumberFormat="1"/>
    <xf numFmtId="4" fontId="0" fillId="0" borderId="0" xfId="5" applyNumberFormat="1" applyFont="1"/>
    <xf numFmtId="4" fontId="21" fillId="0" borderId="0" xfId="0" applyNumberFormat="1" applyFont="1"/>
    <xf numFmtId="4" fontId="21" fillId="0" borderId="0" xfId="5" applyNumberFormat="1" applyFont="1"/>
    <xf numFmtId="4" fontId="0" fillId="0" borderId="14" xfId="0" applyNumberFormat="1" applyBorder="1"/>
    <xf numFmtId="4" fontId="0" fillId="0" borderId="14" xfId="5" applyNumberFormat="1" applyFont="1" applyBorder="1"/>
    <xf numFmtId="44" fontId="0" fillId="20" borderId="14" xfId="5" applyFont="1" applyFill="1" applyBorder="1"/>
    <xf numFmtId="0" fontId="51" fillId="20" borderId="0" xfId="0" applyFont="1" applyFill="1"/>
    <xf numFmtId="41" fontId="51" fillId="20" borderId="0" xfId="1" applyFont="1" applyFill="1"/>
    <xf numFmtId="41" fontId="52" fillId="20" borderId="0" xfId="1" applyFont="1" applyFill="1" applyAlignment="1">
      <alignment horizontal="center"/>
    </xf>
    <xf numFmtId="41" fontId="51" fillId="20" borderId="0" xfId="1" applyFont="1" applyFill="1" applyAlignment="1">
      <alignment horizontal="center"/>
    </xf>
    <xf numFmtId="0" fontId="51" fillId="20" borderId="0" xfId="0" applyFont="1" applyFill="1" applyAlignment="1">
      <alignment horizontal="center" vertical="center"/>
    </xf>
    <xf numFmtId="42" fontId="52" fillId="20" borderId="0" xfId="3" applyFont="1" applyFill="1"/>
    <xf numFmtId="0" fontId="53" fillId="20" borderId="0" xfId="0" applyFont="1" applyFill="1"/>
    <xf numFmtId="41" fontId="53" fillId="20" borderId="4" xfId="1" applyFont="1" applyFill="1" applyBorder="1"/>
    <xf numFmtId="42" fontId="53" fillId="20" borderId="4" xfId="3" applyFont="1" applyFill="1" applyBorder="1"/>
    <xf numFmtId="42" fontId="54" fillId="20" borderId="4" xfId="3" applyFont="1" applyFill="1" applyBorder="1"/>
    <xf numFmtId="41" fontId="52" fillId="20" borderId="9" xfId="1" applyFont="1" applyFill="1" applyBorder="1"/>
    <xf numFmtId="42" fontId="52" fillId="20" borderId="9" xfId="3" applyFont="1" applyFill="1" applyBorder="1"/>
    <xf numFmtId="42" fontId="51" fillId="20" borderId="0" xfId="0" applyNumberFormat="1" applyFont="1" applyFill="1" applyAlignment="1">
      <alignment horizontal="center" vertical="center"/>
    </xf>
    <xf numFmtId="41" fontId="52" fillId="20" borderId="0" xfId="1" applyFont="1" applyFill="1" applyBorder="1"/>
    <xf numFmtId="42" fontId="52" fillId="20" borderId="0" xfId="3" applyFont="1" applyFill="1" applyBorder="1"/>
    <xf numFmtId="41" fontId="51" fillId="20" borderId="0" xfId="0" applyNumberFormat="1" applyFont="1" applyFill="1"/>
    <xf numFmtId="42" fontId="51" fillId="20" borderId="0" xfId="0" applyNumberFormat="1" applyFont="1" applyFill="1"/>
    <xf numFmtId="0" fontId="51" fillId="9" borderId="0" xfId="0" applyFont="1" applyFill="1"/>
    <xf numFmtId="41" fontId="51" fillId="9" borderId="0" xfId="1" applyFont="1" applyFill="1"/>
    <xf numFmtId="42" fontId="52" fillId="9" borderId="0" xfId="3" applyFont="1" applyFill="1"/>
    <xf numFmtId="42" fontId="51" fillId="9" borderId="0" xfId="3" applyFont="1" applyFill="1"/>
    <xf numFmtId="42" fontId="51" fillId="9" borderId="0" xfId="0" applyNumberFormat="1" applyFont="1" applyFill="1"/>
    <xf numFmtId="42" fontId="51" fillId="9" borderId="0" xfId="0" applyNumberFormat="1" applyFont="1" applyFill="1" applyAlignment="1">
      <alignment horizontal="center" vertical="center"/>
    </xf>
    <xf numFmtId="0" fontId="52" fillId="9" borderId="9" xfId="0" applyFont="1" applyFill="1" applyBorder="1"/>
    <xf numFmtId="42" fontId="52" fillId="9" borderId="9" xfId="0" applyNumberFormat="1" applyFont="1" applyFill="1" applyBorder="1"/>
    <xf numFmtId="0" fontId="51" fillId="9" borderId="0" xfId="0" applyFont="1" applyFill="1" applyAlignment="1">
      <alignment horizontal="center" vertical="center"/>
    </xf>
    <xf numFmtId="0" fontId="51" fillId="7" borderId="0" xfId="0" applyFont="1" applyFill="1" applyAlignment="1">
      <alignment horizontal="justify" vertical="center"/>
    </xf>
    <xf numFmtId="6" fontId="51" fillId="7" borderId="0" xfId="0" applyNumberFormat="1" applyFont="1" applyFill="1" applyAlignment="1">
      <alignment horizontal="justify" vertical="center"/>
    </xf>
    <xf numFmtId="42" fontId="51" fillId="7" borderId="0" xfId="3" applyFont="1" applyFill="1"/>
    <xf numFmtId="0" fontId="55" fillId="7" borderId="0" xfId="0" applyFont="1" applyFill="1" applyAlignment="1">
      <alignment horizontal="justify" vertical="center"/>
    </xf>
    <xf numFmtId="41" fontId="55" fillId="7" borderId="0" xfId="1" applyFont="1" applyFill="1" applyAlignment="1">
      <alignment horizontal="justify" vertical="center"/>
    </xf>
    <xf numFmtId="42" fontId="55" fillId="7" borderId="0" xfId="3" applyFont="1" applyFill="1"/>
    <xf numFmtId="0" fontId="55" fillId="37" borderId="9" xfId="0" applyFont="1" applyFill="1" applyBorder="1"/>
    <xf numFmtId="41" fontId="55" fillId="37" borderId="9" xfId="1" applyFont="1" applyFill="1" applyBorder="1"/>
    <xf numFmtId="42" fontId="55" fillId="37" borderId="9" xfId="3" applyFont="1" applyFill="1" applyBorder="1"/>
    <xf numFmtId="0" fontId="52" fillId="37" borderId="9" xfId="0" applyFont="1" applyFill="1" applyBorder="1"/>
    <xf numFmtId="41" fontId="52" fillId="37" borderId="9" xfId="1" applyFont="1" applyFill="1" applyBorder="1"/>
    <xf numFmtId="42" fontId="52" fillId="37" borderId="9" xfId="3" applyFont="1" applyFill="1" applyBorder="1"/>
    <xf numFmtId="0" fontId="51" fillId="2" borderId="0" xfId="0" applyFont="1" applyFill="1" applyAlignment="1">
      <alignment horizontal="justify" vertical="center"/>
    </xf>
    <xf numFmtId="41" fontId="51" fillId="2" borderId="0" xfId="1" applyFont="1" applyFill="1"/>
    <xf numFmtId="42" fontId="51" fillId="2" borderId="0" xfId="3" applyFont="1" applyFill="1"/>
    <xf numFmtId="0" fontId="51" fillId="2" borderId="0" xfId="0" applyFont="1" applyFill="1"/>
    <xf numFmtId="42" fontId="52" fillId="2" borderId="0" xfId="3" applyFont="1" applyFill="1"/>
    <xf numFmtId="0" fontId="51" fillId="2" borderId="0" xfId="0" applyFont="1" applyFill="1" applyAlignment="1">
      <alignment horizontal="center"/>
    </xf>
    <xf numFmtId="42" fontId="51" fillId="2" borderId="0" xfId="0" applyNumberFormat="1" applyFont="1" applyFill="1"/>
    <xf numFmtId="0" fontId="52" fillId="2" borderId="9" xfId="0" applyFont="1" applyFill="1" applyBorder="1" applyAlignment="1">
      <alignment horizontal="justify" vertical="center"/>
    </xf>
    <xf numFmtId="41" fontId="52" fillId="2" borderId="9" xfId="1" applyFont="1" applyFill="1" applyBorder="1"/>
    <xf numFmtId="42" fontId="52" fillId="2" borderId="9" xfId="3" applyFont="1" applyFill="1" applyBorder="1"/>
    <xf numFmtId="0" fontId="52" fillId="2" borderId="9" xfId="0" applyFont="1" applyFill="1" applyBorder="1"/>
    <xf numFmtId="42" fontId="52" fillId="2" borderId="9" xfId="0" applyNumberFormat="1" applyFont="1" applyFill="1" applyBorder="1"/>
    <xf numFmtId="0" fontId="52" fillId="10" borderId="9" xfId="0" applyFont="1" applyFill="1" applyBorder="1" applyAlignment="1">
      <alignment horizontal="justify" vertical="center"/>
    </xf>
    <xf numFmtId="41" fontId="52" fillId="10" borderId="9" xfId="1" applyFont="1" applyFill="1" applyBorder="1"/>
    <xf numFmtId="42" fontId="52" fillId="10" borderId="9" xfId="3" applyFont="1" applyFill="1" applyBorder="1"/>
    <xf numFmtId="42" fontId="52" fillId="10" borderId="0" xfId="3" applyFont="1" applyFill="1"/>
    <xf numFmtId="0" fontId="52" fillId="10" borderId="0" xfId="0" applyFont="1" applyFill="1"/>
    <xf numFmtId="42" fontId="52" fillId="10" borderId="9" xfId="0" applyNumberFormat="1" applyFont="1" applyFill="1" applyBorder="1"/>
    <xf numFmtId="0" fontId="51" fillId="10" borderId="0" xfId="0" applyFont="1" applyFill="1" applyAlignment="1">
      <alignment horizontal="center"/>
    </xf>
    <xf numFmtId="42" fontId="58" fillId="0" borderId="0" xfId="3" applyFont="1" applyFill="1" applyAlignment="1">
      <alignment horizontal="center" vertical="center" wrapText="1"/>
    </xf>
    <xf numFmtId="0" fontId="50" fillId="7" borderId="0" xfId="0" applyFont="1" applyFill="1"/>
    <xf numFmtId="0" fontId="50" fillId="7" borderId="10" xfId="0" applyFont="1" applyFill="1" applyBorder="1" applyAlignment="1">
      <alignment horizontal="left"/>
    </xf>
    <xf numFmtId="0" fontId="0" fillId="0" borderId="0" xfId="0" applyFill="1"/>
    <xf numFmtId="0" fontId="38" fillId="0" borderId="0" xfId="0" applyFont="1" applyFill="1"/>
    <xf numFmtId="0" fontId="26" fillId="0" borderId="0" xfId="0" applyFont="1" applyFill="1"/>
    <xf numFmtId="0" fontId="38" fillId="0" borderId="20" xfId="0" applyFont="1" applyFill="1" applyBorder="1" applyAlignment="1">
      <alignment horizontal="center"/>
    </xf>
    <xf numFmtId="0" fontId="38" fillId="0" borderId="21" xfId="0" applyFont="1" applyFill="1" applyBorder="1" applyAlignment="1">
      <alignment horizontal="center"/>
    </xf>
    <xf numFmtId="0" fontId="38" fillId="0" borderId="22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38" fillId="0" borderId="6" xfId="0" applyFont="1" applyFill="1" applyBorder="1" applyAlignment="1">
      <alignment horizontal="center"/>
    </xf>
    <xf numFmtId="0" fontId="38" fillId="0" borderId="10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0" fontId="38" fillId="0" borderId="43" xfId="0" applyFont="1" applyFill="1" applyBorder="1" applyAlignment="1">
      <alignment horizontal="center"/>
    </xf>
    <xf numFmtId="0" fontId="0" fillId="0" borderId="44" xfId="0" applyFill="1" applyBorder="1"/>
    <xf numFmtId="0" fontId="0" fillId="0" borderId="43" xfId="0" applyFill="1" applyBorder="1"/>
    <xf numFmtId="0" fontId="38" fillId="0" borderId="18" xfId="0" quotePrefix="1" applyFont="1" applyFill="1" applyBorder="1"/>
    <xf numFmtId="0" fontId="0" fillId="0" borderId="19" xfId="0" applyFill="1" applyBorder="1"/>
    <xf numFmtId="0" fontId="0" fillId="0" borderId="18" xfId="0" applyFill="1" applyBorder="1"/>
    <xf numFmtId="0" fontId="0" fillId="0" borderId="45" xfId="0" applyFill="1" applyBorder="1"/>
    <xf numFmtId="0" fontId="26" fillId="0" borderId="29" xfId="0" applyFont="1" applyFill="1" applyBorder="1"/>
    <xf numFmtId="0" fontId="0" fillId="0" borderId="1" xfId="0" applyFill="1" applyBorder="1"/>
    <xf numFmtId="0" fontId="26" fillId="0" borderId="1" xfId="0" applyFont="1" applyFill="1" applyBorder="1"/>
    <xf numFmtId="0" fontId="26" fillId="0" borderId="19" xfId="0" applyFont="1" applyFill="1" applyBorder="1"/>
    <xf numFmtId="0" fontId="0" fillId="0" borderId="46" xfId="0" applyFill="1" applyBorder="1"/>
    <xf numFmtId="0" fontId="0" fillId="0" borderId="4" xfId="0" applyFill="1" applyBorder="1"/>
    <xf numFmtId="0" fontId="26" fillId="0" borderId="4" xfId="0" applyFont="1" applyFill="1" applyBorder="1"/>
    <xf numFmtId="0" fontId="0" fillId="0" borderId="47" xfId="0" applyFill="1" applyBorder="1"/>
    <xf numFmtId="0" fontId="26" fillId="0" borderId="18" xfId="0" applyFont="1" applyFill="1" applyBorder="1"/>
    <xf numFmtId="0" fontId="26" fillId="0" borderId="46" xfId="0" applyFont="1" applyFill="1" applyBorder="1"/>
    <xf numFmtId="0" fontId="0" fillId="0" borderId="48" xfId="0" applyFill="1" applyBorder="1"/>
    <xf numFmtId="0" fontId="26" fillId="0" borderId="49" xfId="0" applyFont="1" applyFill="1" applyBorder="1"/>
    <xf numFmtId="0" fontId="0" fillId="0" borderId="50" xfId="0" applyFill="1" applyBorder="1"/>
    <xf numFmtId="0" fontId="26" fillId="0" borderId="50" xfId="0" applyFont="1" applyFill="1" applyBorder="1"/>
    <xf numFmtId="0" fontId="38" fillId="0" borderId="12" xfId="0" applyFont="1" applyFill="1" applyBorder="1"/>
    <xf numFmtId="0" fontId="38" fillId="0" borderId="14" xfId="0" applyFont="1" applyFill="1" applyBorder="1"/>
    <xf numFmtId="0" fontId="38" fillId="0" borderId="13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38" fillId="0" borderId="51" xfId="0" applyFont="1" applyFill="1" applyBorder="1"/>
    <xf numFmtId="0" fontId="38" fillId="0" borderId="6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7" xfId="0" applyFill="1" applyBorder="1"/>
    <xf numFmtId="0" fontId="38" fillId="0" borderId="46" xfId="0" applyFont="1" applyFill="1" applyBorder="1"/>
    <xf numFmtId="0" fontId="38" fillId="0" borderId="48" xfId="0" applyFont="1" applyFill="1" applyBorder="1"/>
    <xf numFmtId="0" fontId="38" fillId="0" borderId="4" xfId="0" applyFont="1" applyFill="1" applyBorder="1"/>
    <xf numFmtId="0" fontId="38" fillId="0" borderId="47" xfId="0" applyFont="1" applyFill="1" applyBorder="1"/>
    <xf numFmtId="0" fontId="26" fillId="0" borderId="11" xfId="0" applyFont="1" applyFill="1" applyBorder="1"/>
    <xf numFmtId="0" fontId="26" fillId="0" borderId="17" xfId="0" applyFont="1" applyFill="1" applyBorder="1"/>
    <xf numFmtId="0" fontId="2" fillId="0" borderId="18" xfId="0" applyFont="1" applyFill="1" applyBorder="1"/>
    <xf numFmtId="0" fontId="2" fillId="0" borderId="52" xfId="0" applyFont="1" applyFill="1" applyBorder="1"/>
    <xf numFmtId="0" fontId="38" fillId="0" borderId="18" xfId="0" applyFont="1" applyFill="1" applyBorder="1"/>
    <xf numFmtId="0" fontId="2" fillId="0" borderId="19" xfId="0" applyFont="1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2" xfId="0" applyFill="1" applyBorder="1"/>
    <xf numFmtId="0" fontId="0" fillId="0" borderId="55" xfId="0" applyFill="1" applyBorder="1"/>
    <xf numFmtId="0" fontId="0" fillId="0" borderId="51" xfId="0" applyFill="1" applyBorder="1"/>
    <xf numFmtId="0" fontId="0" fillId="0" borderId="14" xfId="0" applyFill="1" applyBorder="1"/>
    <xf numFmtId="0" fontId="38" fillId="0" borderId="10" xfId="0" applyFont="1" applyFill="1" applyBorder="1"/>
    <xf numFmtId="0" fontId="38" fillId="0" borderId="11" xfId="0" applyFont="1" applyFill="1" applyBorder="1"/>
    <xf numFmtId="0" fontId="38" fillId="0" borderId="19" xfId="0" applyFont="1" applyFill="1" applyBorder="1"/>
    <xf numFmtId="0" fontId="26" fillId="0" borderId="45" xfId="0" applyFont="1" applyFill="1" applyBorder="1"/>
    <xf numFmtId="0" fontId="26" fillId="0" borderId="47" xfId="0" applyFont="1" applyFill="1" applyBorder="1"/>
    <xf numFmtId="49" fontId="26" fillId="0" borderId="18" xfId="0" applyNumberFormat="1" applyFont="1" applyFill="1" applyBorder="1"/>
    <xf numFmtId="0" fontId="2" fillId="0" borderId="55" xfId="0" applyFont="1" applyFill="1" applyBorder="1"/>
    <xf numFmtId="0" fontId="26" fillId="0" borderId="8" xfId="0" applyFont="1" applyFill="1" applyBorder="1"/>
    <xf numFmtId="0" fontId="26" fillId="0" borderId="56" xfId="0" applyFont="1" applyFill="1" applyBorder="1"/>
    <xf numFmtId="0" fontId="26" fillId="0" borderId="10" xfId="0" applyFont="1" applyFill="1" applyBorder="1"/>
    <xf numFmtId="0" fontId="38" fillId="0" borderId="20" xfId="0" applyFont="1" applyFill="1" applyBorder="1"/>
    <xf numFmtId="0" fontId="38" fillId="0" borderId="22" xfId="0" applyFont="1" applyFill="1" applyBorder="1"/>
    <xf numFmtId="0" fontId="38" fillId="0" borderId="21" xfId="0" applyFont="1" applyFill="1" applyBorder="1"/>
    <xf numFmtId="0" fontId="0" fillId="0" borderId="53" xfId="0" applyFill="1" applyBorder="1" applyAlignment="1">
      <alignment horizontal="center"/>
    </xf>
    <xf numFmtId="0" fontId="0" fillId="0" borderId="57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6" xfId="0" applyFill="1" applyBorder="1"/>
    <xf numFmtId="0" fontId="38" fillId="0" borderId="31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/>
    </xf>
    <xf numFmtId="0" fontId="38" fillId="0" borderId="58" xfId="0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26" fillId="7" borderId="19" xfId="0" applyFont="1" applyFill="1" applyBorder="1"/>
    <xf numFmtId="0" fontId="26" fillId="11" borderId="19" xfId="0" applyFont="1" applyFill="1" applyBorder="1"/>
    <xf numFmtId="0" fontId="0" fillId="11" borderId="11" xfId="0" applyFill="1" applyBorder="1"/>
    <xf numFmtId="0" fontId="26" fillId="11" borderId="11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1" fillId="0" borderId="19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39" fillId="0" borderId="10" xfId="4" applyFont="1" applyFill="1" applyBorder="1" applyAlignment="1">
      <alignment horizontal="center"/>
    </xf>
    <xf numFmtId="0" fontId="39" fillId="0" borderId="17" xfId="4" applyFont="1" applyFill="1" applyBorder="1" applyAlignment="1">
      <alignment horizontal="center"/>
    </xf>
    <xf numFmtId="0" fontId="39" fillId="0" borderId="11" xfId="4" applyFont="1" applyFill="1" applyBorder="1" applyAlignment="1">
      <alignment horizontal="center"/>
    </xf>
    <xf numFmtId="0" fontId="39" fillId="0" borderId="0" xfId="4" applyFont="1" applyFill="1"/>
    <xf numFmtId="0" fontId="40" fillId="0" borderId="0" xfId="0" applyFont="1" applyFill="1"/>
    <xf numFmtId="0" fontId="39" fillId="0" borderId="18" xfId="4" applyFont="1" applyFill="1" applyBorder="1" applyAlignment="1">
      <alignment horizontal="center"/>
    </xf>
    <xf numFmtId="0" fontId="39" fillId="0" borderId="0" xfId="4" applyFont="1" applyFill="1" applyAlignment="1">
      <alignment horizontal="center"/>
    </xf>
    <xf numFmtId="0" fontId="39" fillId="0" borderId="19" xfId="4" applyFont="1" applyFill="1" applyBorder="1" applyAlignment="1">
      <alignment horizontal="center"/>
    </xf>
    <xf numFmtId="0" fontId="41" fillId="0" borderId="0" xfId="0" applyFont="1" applyFill="1"/>
    <xf numFmtId="0" fontId="42" fillId="0" borderId="18" xfId="4" applyFont="1" applyFill="1" applyBorder="1" applyAlignment="1">
      <alignment horizontal="center"/>
    </xf>
    <xf numFmtId="0" fontId="42" fillId="0" borderId="0" xfId="4" applyFont="1" applyFill="1" applyAlignment="1">
      <alignment horizontal="center"/>
    </xf>
    <xf numFmtId="0" fontId="42" fillId="0" borderId="0" xfId="4" applyFont="1" applyFill="1"/>
    <xf numFmtId="0" fontId="40" fillId="0" borderId="0" xfId="4" applyFont="1" applyFill="1"/>
    <xf numFmtId="0" fontId="40" fillId="0" borderId="19" xfId="4" applyFont="1" applyFill="1" applyBorder="1"/>
    <xf numFmtId="0" fontId="40" fillId="0" borderId="18" xfId="4" applyFont="1" applyFill="1" applyBorder="1" applyAlignment="1">
      <alignment horizontal="center"/>
    </xf>
    <xf numFmtId="0" fontId="40" fillId="0" borderId="0" xfId="4" applyFont="1" applyFill="1" applyAlignment="1">
      <alignment horizontal="center"/>
    </xf>
    <xf numFmtId="0" fontId="43" fillId="0" borderId="0" xfId="4" applyFont="1" applyFill="1" applyAlignment="1">
      <alignment horizontal="center"/>
    </xf>
    <xf numFmtId="0" fontId="40" fillId="0" borderId="23" xfId="0" applyFont="1" applyFill="1" applyBorder="1" applyAlignment="1">
      <alignment horizontal="center" wrapText="1"/>
    </xf>
    <xf numFmtId="0" fontId="39" fillId="0" borderId="18" xfId="4" applyFont="1" applyFill="1" applyBorder="1"/>
    <xf numFmtId="0" fontId="39" fillId="0" borderId="0" xfId="4" applyFont="1" applyFill="1"/>
    <xf numFmtId="170" fontId="39" fillId="0" borderId="16" xfId="4" applyNumberFormat="1" applyFont="1" applyFill="1" applyBorder="1" applyAlignment="1">
      <alignment horizontal="center"/>
    </xf>
    <xf numFmtId="0" fontId="39" fillId="0" borderId="0" xfId="4" applyFont="1" applyFill="1" applyAlignment="1">
      <alignment horizontal="left"/>
    </xf>
    <xf numFmtId="0" fontId="39" fillId="0" borderId="0" xfId="4" applyFont="1" applyFill="1" applyAlignment="1">
      <alignment horizontal="right"/>
    </xf>
    <xf numFmtId="170" fontId="39" fillId="0" borderId="40" xfId="4" applyNumberFormat="1" applyFont="1" applyFill="1" applyBorder="1" applyAlignment="1">
      <alignment horizontal="right"/>
    </xf>
    <xf numFmtId="170" fontId="40" fillId="0" borderId="0" xfId="4" applyNumberFormat="1" applyFont="1" applyFill="1"/>
    <xf numFmtId="0" fontId="40" fillId="0" borderId="24" xfId="0" applyFont="1" applyFill="1" applyBorder="1" applyAlignment="1">
      <alignment horizontal="center" wrapText="1"/>
    </xf>
    <xf numFmtId="0" fontId="40" fillId="0" borderId="18" xfId="4" applyFont="1" applyFill="1" applyBorder="1"/>
    <xf numFmtId="0" fontId="40" fillId="0" borderId="0" xfId="4" applyFont="1" applyFill="1"/>
    <xf numFmtId="170" fontId="40" fillId="0" borderId="0" xfId="4" applyNumberFormat="1" applyFont="1" applyFill="1" applyAlignment="1">
      <alignment horizontal="center"/>
    </xf>
    <xf numFmtId="170" fontId="40" fillId="0" borderId="19" xfId="4" applyNumberFormat="1" applyFont="1" applyFill="1" applyBorder="1" applyAlignment="1">
      <alignment horizontal="right"/>
    </xf>
    <xf numFmtId="0" fontId="40" fillId="0" borderId="25" xfId="0" applyFont="1" applyFill="1" applyBorder="1" applyAlignment="1">
      <alignment horizontal="center" wrapText="1"/>
    </xf>
    <xf numFmtId="170" fontId="39" fillId="0" borderId="9" xfId="4" applyNumberFormat="1" applyFont="1" applyFill="1" applyBorder="1" applyAlignment="1">
      <alignment horizontal="center"/>
    </xf>
    <xf numFmtId="170" fontId="39" fillId="0" borderId="41" xfId="4" applyNumberFormat="1" applyFont="1" applyFill="1" applyBorder="1" applyAlignment="1">
      <alignment horizontal="right"/>
    </xf>
    <xf numFmtId="0" fontId="44" fillId="0" borderId="0" xfId="0" applyFont="1" applyFill="1"/>
    <xf numFmtId="0" fontId="44" fillId="0" borderId="18" xfId="0" applyFont="1" applyFill="1" applyBorder="1"/>
    <xf numFmtId="0" fontId="43" fillId="0" borderId="0" xfId="4" applyFont="1" applyFill="1" applyAlignment="1">
      <alignment horizontal="left"/>
    </xf>
    <xf numFmtId="0" fontId="44" fillId="0" borderId="0" xfId="0" applyFont="1" applyFill="1" applyAlignment="1">
      <alignment horizontal="left"/>
    </xf>
    <xf numFmtId="0" fontId="44" fillId="0" borderId="19" xfId="0" applyFont="1" applyFill="1" applyBorder="1"/>
    <xf numFmtId="0" fontId="40" fillId="0" borderId="18" xfId="4" applyFont="1" applyFill="1" applyBorder="1"/>
    <xf numFmtId="0" fontId="40" fillId="0" borderId="0" xfId="4" applyFont="1" applyFill="1" applyAlignment="1">
      <alignment horizontal="left"/>
    </xf>
    <xf numFmtId="0" fontId="40" fillId="0" borderId="0" xfId="4" applyFont="1" applyFill="1" applyAlignment="1">
      <alignment horizontal="left"/>
    </xf>
    <xf numFmtId="170" fontId="39" fillId="0" borderId="0" xfId="4" applyNumberFormat="1" applyFont="1" applyFill="1"/>
    <xf numFmtId="0" fontId="39" fillId="0" borderId="18" xfId="4" applyFont="1" applyFill="1" applyBorder="1"/>
    <xf numFmtId="170" fontId="39" fillId="0" borderId="0" xfId="4" applyNumberFormat="1" applyFont="1" applyFill="1" applyAlignment="1">
      <alignment horizontal="center"/>
    </xf>
    <xf numFmtId="0" fontId="39" fillId="0" borderId="0" xfId="4" applyFont="1" applyFill="1" applyAlignment="1">
      <alignment horizontal="left"/>
    </xf>
    <xf numFmtId="170" fontId="39" fillId="0" borderId="42" xfId="4" applyNumberFormat="1" applyFont="1" applyFill="1" applyBorder="1" applyAlignment="1">
      <alignment horizontal="center"/>
    </xf>
    <xf numFmtId="0" fontId="45" fillId="0" borderId="0" xfId="4" applyFont="1" applyFill="1" applyAlignment="1">
      <alignment horizontal="center"/>
    </xf>
    <xf numFmtId="170" fontId="39" fillId="0" borderId="19" xfId="4" applyNumberFormat="1" applyFont="1" applyFill="1" applyBorder="1" applyAlignment="1">
      <alignment horizontal="right"/>
    </xf>
    <xf numFmtId="0" fontId="40" fillId="0" borderId="0" xfId="4" applyFont="1" applyFill="1" applyAlignment="1">
      <alignment horizontal="center"/>
    </xf>
    <xf numFmtId="0" fontId="39" fillId="0" borderId="12" xfId="4" applyFont="1" applyFill="1" applyBorder="1" applyAlignment="1">
      <alignment horizontal="center"/>
    </xf>
    <xf numFmtId="0" fontId="39" fillId="0" borderId="14" xfId="4" applyFont="1" applyFill="1" applyBorder="1" applyAlignment="1">
      <alignment horizontal="center"/>
    </xf>
    <xf numFmtId="170" fontId="39" fillId="0" borderId="14" xfId="4" applyNumberFormat="1" applyFont="1" applyFill="1" applyBorder="1" applyAlignment="1">
      <alignment horizontal="center"/>
    </xf>
    <xf numFmtId="0" fontId="39" fillId="0" borderId="14" xfId="4" applyFont="1" applyFill="1" applyBorder="1" applyAlignment="1">
      <alignment horizontal="center" vertical="center"/>
    </xf>
    <xf numFmtId="0" fontId="39" fillId="0" borderId="14" xfId="4" applyFont="1" applyFill="1" applyBorder="1" applyAlignment="1">
      <alignment horizontal="left"/>
    </xf>
    <xf numFmtId="0" fontId="39" fillId="0" borderId="14" xfId="4" applyFont="1" applyFill="1" applyBorder="1" applyAlignment="1">
      <alignment horizontal="right"/>
    </xf>
    <xf numFmtId="170" fontId="39" fillId="0" borderId="13" xfId="4" applyNumberFormat="1" applyFont="1" applyFill="1" applyBorder="1" applyAlignment="1">
      <alignment horizontal="right"/>
    </xf>
    <xf numFmtId="0" fontId="40" fillId="0" borderId="18" xfId="4" applyFont="1" applyFill="1" applyBorder="1" applyAlignment="1">
      <alignment horizontal="center"/>
    </xf>
    <xf numFmtId="0" fontId="45" fillId="0" borderId="0" xfId="4" applyFont="1" applyFill="1" applyAlignment="1">
      <alignment horizontal="right"/>
    </xf>
    <xf numFmtId="0" fontId="43" fillId="0" borderId="0" xfId="4" applyFont="1" applyFill="1"/>
    <xf numFmtId="0" fontId="40" fillId="0" borderId="0" xfId="4" applyFont="1" applyFill="1" applyAlignment="1">
      <alignment horizontal="right"/>
    </xf>
    <xf numFmtId="0" fontId="40" fillId="0" borderId="0" xfId="0" applyFont="1" applyFill="1" applyAlignment="1">
      <alignment horizontal="center" wrapText="1"/>
    </xf>
    <xf numFmtId="0" fontId="40" fillId="0" borderId="12" xfId="4" applyFont="1" applyFill="1" applyBorder="1"/>
    <xf numFmtId="0" fontId="40" fillId="0" borderId="14" xfId="4" applyFont="1" applyFill="1" applyBorder="1"/>
    <xf numFmtId="0" fontId="39" fillId="0" borderId="14" xfId="4" applyFont="1" applyFill="1" applyBorder="1"/>
    <xf numFmtId="170" fontId="39" fillId="0" borderId="13" xfId="4" applyNumberFormat="1" applyFont="1" applyFill="1" applyBorder="1"/>
    <xf numFmtId="0" fontId="39" fillId="4" borderId="18" xfId="4" applyFont="1" applyFill="1" applyBorder="1"/>
    <xf numFmtId="0" fontId="39" fillId="4" borderId="0" xfId="4" applyFont="1" applyFill="1"/>
    <xf numFmtId="170" fontId="39" fillId="4" borderId="16" xfId="4" applyNumberFormat="1" applyFont="1" applyFill="1" applyBorder="1" applyAlignment="1">
      <alignment horizontal="center"/>
    </xf>
    <xf numFmtId="0" fontId="40" fillId="4" borderId="0" xfId="4" applyFont="1" applyFill="1"/>
    <xf numFmtId="170" fontId="39" fillId="4" borderId="9" xfId="4" applyNumberFormat="1" applyFont="1" applyFill="1" applyBorder="1" applyAlignment="1">
      <alignment horizontal="center"/>
    </xf>
    <xf numFmtId="0" fontId="39" fillId="4" borderId="0" xfId="4" applyFont="1" applyFill="1" applyAlignment="1">
      <alignment horizontal="right"/>
    </xf>
    <xf numFmtId="170" fontId="39" fillId="4" borderId="41" xfId="4" applyNumberFormat="1" applyFont="1" applyFill="1" applyBorder="1" applyAlignment="1">
      <alignment horizontal="right"/>
    </xf>
    <xf numFmtId="0" fontId="39" fillId="7" borderId="18" xfId="4" applyFont="1" applyFill="1" applyBorder="1"/>
    <xf numFmtId="0" fontId="39" fillId="7" borderId="0" xfId="4" applyFont="1" applyFill="1"/>
    <xf numFmtId="170" fontId="39" fillId="7" borderId="16" xfId="4" applyNumberFormat="1" applyFont="1" applyFill="1" applyBorder="1" applyAlignment="1">
      <alignment horizontal="center"/>
    </xf>
    <xf numFmtId="0" fontId="40" fillId="7" borderId="0" xfId="4" applyFont="1" applyFill="1"/>
    <xf numFmtId="0" fontId="39" fillId="7" borderId="0" xfId="4" applyFont="1" applyFill="1" applyAlignment="1">
      <alignment horizontal="left"/>
    </xf>
    <xf numFmtId="0" fontId="39" fillId="7" borderId="0" xfId="4" applyFont="1" applyFill="1" applyAlignment="1">
      <alignment horizontal="right"/>
    </xf>
    <xf numFmtId="170" fontId="39" fillId="7" borderId="40" xfId="4" applyNumberFormat="1" applyFont="1" applyFill="1" applyBorder="1" applyAlignment="1">
      <alignment horizontal="right"/>
    </xf>
    <xf numFmtId="0" fontId="39" fillId="30" borderId="18" xfId="4" applyFont="1" applyFill="1" applyBorder="1"/>
    <xf numFmtId="0" fontId="39" fillId="30" borderId="0" xfId="4" applyFont="1" applyFill="1"/>
    <xf numFmtId="170" fontId="39" fillId="30" borderId="16" xfId="4" applyNumberFormat="1" applyFont="1" applyFill="1" applyBorder="1" applyAlignment="1">
      <alignment horizontal="center"/>
    </xf>
    <xf numFmtId="0" fontId="40" fillId="30" borderId="0" xfId="4" applyFont="1" applyFill="1"/>
    <xf numFmtId="0" fontId="39" fillId="30" borderId="0" xfId="4" applyFont="1" applyFill="1" applyAlignment="1">
      <alignment horizontal="left"/>
    </xf>
    <xf numFmtId="170" fontId="39" fillId="30" borderId="9" xfId="4" applyNumberFormat="1" applyFont="1" applyFill="1" applyBorder="1" applyAlignment="1">
      <alignment horizontal="center"/>
    </xf>
    <xf numFmtId="0" fontId="39" fillId="30" borderId="0" xfId="4" applyFont="1" applyFill="1" applyAlignment="1">
      <alignment horizontal="right"/>
    </xf>
    <xf numFmtId="170" fontId="39" fillId="30" borderId="40" xfId="4" applyNumberFormat="1" applyFont="1" applyFill="1" applyBorder="1" applyAlignment="1">
      <alignment horizontal="right"/>
    </xf>
  </cellXfs>
  <cellStyles count="6">
    <cellStyle name="Millares [0]" xfId="1" builtinId="6"/>
    <cellStyle name="Moneda" xfId="5" builtinId="4"/>
    <cellStyle name="Moneda [0]" xfId="3" builtinId="7"/>
    <cellStyle name="Normal" xfId="0" builtinId="0"/>
    <cellStyle name="Normal 2" xfId="4" xr:uid="{00000000-0005-0000-0000-000003000000}"/>
    <cellStyle name="Porcentaje" xfId="2" builtinId="5"/>
  </cellStyles>
  <dxfs count="0"/>
  <tableStyles count="0" defaultTableStyle="TableStyleMedium2" defaultPivotStyle="PivotStyleLight16"/>
  <colors>
    <mruColors>
      <color rgb="FFE389D6"/>
      <color rgb="FF00FF00"/>
      <color rgb="FF00CC99"/>
      <color rgb="FFFF00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 Línea Recta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Depreciación!$D$11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Depreciación!$B$13:$B$20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Depreciación!$D$13:$D$20</c:f>
              <c:numCache>
                <c:formatCode>_(* #,##0_);_(* \(#,##0\);_(* "-"_);_(@_)</c:formatCode>
                <c:ptCount val="8"/>
                <c:pt idx="0">
                  <c:v>9000000</c:v>
                </c:pt>
                <c:pt idx="1">
                  <c:v>9000000</c:v>
                </c:pt>
                <c:pt idx="2">
                  <c:v>9000000</c:v>
                </c:pt>
                <c:pt idx="3">
                  <c:v>9000000</c:v>
                </c:pt>
                <c:pt idx="4">
                  <c:v>9000000</c:v>
                </c:pt>
                <c:pt idx="5">
                  <c:v>9000000</c:v>
                </c:pt>
                <c:pt idx="6">
                  <c:v>9000000</c:v>
                </c:pt>
                <c:pt idx="7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1-49C5-B8F8-FF38B4BDA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Unidades de Producción</a:t>
            </a: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Depreciación!$F$25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Depreciación!$F$27:$F$34</c:f>
              <c:numCache>
                <c:formatCode>_(* #,##0_);_(* \(#,##0\);_(* "-"_);_(@_)</c:formatCode>
                <c:ptCount val="8"/>
                <c:pt idx="0">
                  <c:v>7996686.6032526623</c:v>
                </c:pt>
                <c:pt idx="1">
                  <c:v>15356061.641621109</c:v>
                </c:pt>
                <c:pt idx="2">
                  <c:v>25094599.605306346</c:v>
                </c:pt>
                <c:pt idx="3">
                  <c:v>33831908.960168026</c:v>
                </c:pt>
                <c:pt idx="4">
                  <c:v>44866993.477159418</c:v>
                </c:pt>
                <c:pt idx="5">
                  <c:v>52221300.197183125</c:v>
                </c:pt>
                <c:pt idx="6">
                  <c:v>62698869.696252868</c:v>
                </c:pt>
                <c:pt idx="7">
                  <c:v>72000000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B-443C-96AD-23665E1ED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Unidades de Producción</a:t>
            </a: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Depreciación!$G$25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Depreciación!$B$26:$B$34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Depreciación!$G$26:$G$34</c:f>
              <c:numCache>
                <c:formatCode>_(* #,##0_);_(* \(#,##0\);_(* "-"_);_(@_)</c:formatCode>
                <c:ptCount val="9"/>
                <c:pt idx="0">
                  <c:v>80000000</c:v>
                </c:pt>
                <c:pt idx="1">
                  <c:v>72003313.396747336</c:v>
                </c:pt>
                <c:pt idx="2">
                  <c:v>64643938.358378887</c:v>
                </c:pt>
                <c:pt idx="3">
                  <c:v>54905400.394693658</c:v>
                </c:pt>
                <c:pt idx="4">
                  <c:v>46168091.039831974</c:v>
                </c:pt>
                <c:pt idx="5">
                  <c:v>35133006.522840582</c:v>
                </c:pt>
                <c:pt idx="6">
                  <c:v>27778699.802816875</c:v>
                </c:pt>
                <c:pt idx="7">
                  <c:v>17301130.303747132</c:v>
                </c:pt>
                <c:pt idx="8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D-4366-9553-C277CDAAA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Doble Tasa de Declinación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Depreciación!$F$40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Depreciación!$B$42:$B$49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Depreciación!$F$42:$F$49</c:f>
              <c:numCache>
                <c:formatCode>_(* #,##0_);_(* \(#,##0\);_(* "-"_);_(@_)</c:formatCode>
                <c:ptCount val="8"/>
                <c:pt idx="0">
                  <c:v>20000000</c:v>
                </c:pt>
                <c:pt idx="1">
                  <c:v>35000000</c:v>
                </c:pt>
                <c:pt idx="2">
                  <c:v>46250000</c:v>
                </c:pt>
                <c:pt idx="3">
                  <c:v>54687500</c:v>
                </c:pt>
                <c:pt idx="4">
                  <c:v>61015625</c:v>
                </c:pt>
                <c:pt idx="5">
                  <c:v>65761718.75</c:v>
                </c:pt>
                <c:pt idx="6">
                  <c:v>69321289.0625</c:v>
                </c:pt>
                <c:pt idx="7">
                  <c:v>71990966.796875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D-4D17-A0A8-64F851F27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Doble Tasa de Declinación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Depreciación!$G$40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Depreciación!$B$41:$B$49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Depreciación!$G$41:$G$49</c:f>
              <c:numCache>
                <c:formatCode>_(* #,##0_);_(* \(#,##0\);_(* "-"_);_(@_)</c:formatCode>
                <c:ptCount val="9"/>
                <c:pt idx="0">
                  <c:v>80000000</c:v>
                </c:pt>
                <c:pt idx="1">
                  <c:v>60000000</c:v>
                </c:pt>
                <c:pt idx="2">
                  <c:v>45000000</c:v>
                </c:pt>
                <c:pt idx="3">
                  <c:v>33750000</c:v>
                </c:pt>
                <c:pt idx="4">
                  <c:v>25312500</c:v>
                </c:pt>
                <c:pt idx="5">
                  <c:v>18984375</c:v>
                </c:pt>
                <c:pt idx="6">
                  <c:v>14238281.25</c:v>
                </c:pt>
                <c:pt idx="7">
                  <c:v>10678710.9375</c:v>
                </c:pt>
                <c:pt idx="8">
                  <c:v>8009033.203125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A5-495F-A306-867B009F2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Suma de Dígitos Años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Depreciación!$F$54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Depreciación!$B$56:$B$63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Depreciación!$F$56:$F$63</c:f>
              <c:numCache>
                <c:formatCode>_(* #,##0_);_(* \(#,##0\);_(* "-"_);_(@_)</c:formatCode>
                <c:ptCount val="8"/>
                <c:pt idx="0">
                  <c:v>16000000</c:v>
                </c:pt>
                <c:pt idx="1">
                  <c:v>30000000</c:v>
                </c:pt>
                <c:pt idx="2">
                  <c:v>42000000</c:v>
                </c:pt>
                <c:pt idx="3">
                  <c:v>52000000</c:v>
                </c:pt>
                <c:pt idx="4">
                  <c:v>60000000</c:v>
                </c:pt>
                <c:pt idx="5">
                  <c:v>66000000</c:v>
                </c:pt>
                <c:pt idx="6">
                  <c:v>70000000</c:v>
                </c:pt>
                <c:pt idx="7">
                  <c:v>72000000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1-4391-930A-6262E9084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Suma de Dígitos Años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Depreciación!$G$54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Depreciación!$B$55:$B$63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Depreciación!$G$55:$G$63</c:f>
              <c:numCache>
                <c:formatCode>_(* #,##0_);_(* \(#,##0\);_(* "-"_);_(@_)</c:formatCode>
                <c:ptCount val="9"/>
                <c:pt idx="0">
                  <c:v>80000000</c:v>
                </c:pt>
                <c:pt idx="1">
                  <c:v>64000000</c:v>
                </c:pt>
                <c:pt idx="2">
                  <c:v>50000000</c:v>
                </c:pt>
                <c:pt idx="3">
                  <c:v>38000000</c:v>
                </c:pt>
                <c:pt idx="4">
                  <c:v>28000000</c:v>
                </c:pt>
                <c:pt idx="5">
                  <c:v>20000000</c:v>
                </c:pt>
                <c:pt idx="6">
                  <c:v>14000000</c:v>
                </c:pt>
                <c:pt idx="7">
                  <c:v>10000000</c:v>
                </c:pt>
                <c:pt idx="8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98-4925-8E1C-A5B3BEC60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Reducción de Saldos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Depreciación!$E$70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Depreciación!$B$72:$B$79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Depreciación!$E$72:$E$79</c:f>
              <c:numCache>
                <c:formatCode>_(* #,##0_);_(* \(#,##0\);_(* "-"_);_(@_)</c:formatCode>
                <c:ptCount val="8"/>
                <c:pt idx="0">
                  <c:v>20008463.25340353</c:v>
                </c:pt>
                <c:pt idx="1">
                  <c:v>35012693.984772071</c:v>
                </c:pt>
                <c:pt idx="2">
                  <c:v>46264279.725713417</c:v>
                </c:pt>
                <c:pt idx="3">
                  <c:v>54701778.718652964</c:v>
                </c:pt>
                <c:pt idx="4">
                  <c:v>61029010.354706757</c:v>
                </c:pt>
                <c:pt idx="5">
                  <c:v>65773764.719688617</c:v>
                </c:pt>
                <c:pt idx="6">
                  <c:v>69331828.542693406</c:v>
                </c:pt>
                <c:pt idx="7">
                  <c:v>72000000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0-4127-9730-93EAD165A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Reducción de Saldos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Depreciación!$F$70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Depreciación!$B$71:$B$79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Depreciación!$F$71:$F$79</c:f>
              <c:numCache>
                <c:formatCode>_(* #,##0_);_(* \(#,##0\);_(* "-"_);_(@_)</c:formatCode>
                <c:ptCount val="9"/>
                <c:pt idx="0">
                  <c:v>80000000</c:v>
                </c:pt>
                <c:pt idx="1">
                  <c:v>59991536.74659647</c:v>
                </c:pt>
                <c:pt idx="2">
                  <c:v>44987306.015227929</c:v>
                </c:pt>
                <c:pt idx="3">
                  <c:v>33735720.274286583</c:v>
                </c:pt>
                <c:pt idx="4">
                  <c:v>25298221.281347036</c:v>
                </c:pt>
                <c:pt idx="5">
                  <c:v>18970989.645293243</c:v>
                </c:pt>
                <c:pt idx="6">
                  <c:v>14226235.280311383</c:v>
                </c:pt>
                <c:pt idx="7">
                  <c:v>10668171.457306594</c:v>
                </c:pt>
                <c:pt idx="8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5-4F42-A754-7FEA578A7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Línea Recta</a:t>
            </a:r>
            <a:endParaRPr lang="en-US" b="1"/>
          </a:p>
        </c:rich>
      </c:tx>
      <c:layout>
        <c:manualLayout>
          <c:xMode val="edge"/>
          <c:yMode val="edge"/>
          <c:x val="0.31081233595800523"/>
          <c:y val="4.1921457930966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Depreciación!$E$90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Depreciación!$B$92:$B$104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Depreciación!$E$92:$E$104</c:f>
              <c:numCache>
                <c:formatCode>_(* #,##0_);_(* \(#,##0\);_(* "-"_);_(@_)</c:formatCode>
                <c:ptCount val="13"/>
                <c:pt idx="0">
                  <c:v>9000000</c:v>
                </c:pt>
                <c:pt idx="1">
                  <c:v>18000000</c:v>
                </c:pt>
                <c:pt idx="2">
                  <c:v>27000000</c:v>
                </c:pt>
                <c:pt idx="3">
                  <c:v>36000000</c:v>
                </c:pt>
                <c:pt idx="4">
                  <c:v>45000000</c:v>
                </c:pt>
                <c:pt idx="5">
                  <c:v>53437500</c:v>
                </c:pt>
                <c:pt idx="6">
                  <c:v>61875000</c:v>
                </c:pt>
                <c:pt idx="7">
                  <c:v>70312500</c:v>
                </c:pt>
                <c:pt idx="8">
                  <c:v>78750000</c:v>
                </c:pt>
                <c:pt idx="9">
                  <c:v>87187500</c:v>
                </c:pt>
                <c:pt idx="10">
                  <c:v>95625000</c:v>
                </c:pt>
                <c:pt idx="11">
                  <c:v>104062500</c:v>
                </c:pt>
                <c:pt idx="12">
                  <c:v>112500000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F-4D48-9AC6-109B0150B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Línea Recta</a:t>
            </a:r>
            <a:endParaRPr lang="en-US" b="1"/>
          </a:p>
        </c:rich>
      </c:tx>
      <c:layout>
        <c:manualLayout>
          <c:xMode val="edge"/>
          <c:yMode val="edge"/>
          <c:x val="0.31081233595800523"/>
          <c:y val="4.1921457930966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Depreciación!$F$90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Depreciación!$B$91:$B$104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Depreciación!$F$91:$F$104</c:f>
              <c:numCache>
                <c:formatCode>_(* #,##0_);_(* \(#,##0\);_(* "-"_);_(@_)</c:formatCode>
                <c:ptCount val="14"/>
                <c:pt idx="0">
                  <c:v>80000000</c:v>
                </c:pt>
                <c:pt idx="1">
                  <c:v>71000000</c:v>
                </c:pt>
                <c:pt idx="2">
                  <c:v>62000000</c:v>
                </c:pt>
                <c:pt idx="3">
                  <c:v>53000000</c:v>
                </c:pt>
                <c:pt idx="4">
                  <c:v>44000000</c:v>
                </c:pt>
                <c:pt idx="5">
                  <c:v>75000000</c:v>
                </c:pt>
                <c:pt idx="6">
                  <c:v>66562500</c:v>
                </c:pt>
                <c:pt idx="7">
                  <c:v>58125000</c:v>
                </c:pt>
                <c:pt idx="8">
                  <c:v>49687500</c:v>
                </c:pt>
                <c:pt idx="9">
                  <c:v>41250000</c:v>
                </c:pt>
                <c:pt idx="10">
                  <c:v>32812500</c:v>
                </c:pt>
                <c:pt idx="11">
                  <c:v>24375000</c:v>
                </c:pt>
                <c:pt idx="12">
                  <c:v>15937500</c:v>
                </c:pt>
                <c:pt idx="13">
                  <c:v>7500000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5-4AD2-86D4-7D3205FD9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Unidades de Producción</a:t>
            </a: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0.45503419494395531"/>
          <c:y val="0.66608448611073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Depreciación!$E$25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Depreciación!$E$27:$E$34</c:f>
              <c:numCache>
                <c:formatCode>_(* #,##0_);_(* \(#,##0\);_(* "-"_);_(@_)</c:formatCode>
                <c:ptCount val="8"/>
                <c:pt idx="0">
                  <c:v>7996686.6032526623</c:v>
                </c:pt>
                <c:pt idx="1">
                  <c:v>7359375.0383684468</c:v>
                </c:pt>
                <c:pt idx="2">
                  <c:v>9738537.9636852369</c:v>
                </c:pt>
                <c:pt idx="3">
                  <c:v>8737309.3548616823</c:v>
                </c:pt>
                <c:pt idx="4">
                  <c:v>11035084.51699139</c:v>
                </c:pt>
                <c:pt idx="5">
                  <c:v>7354306.7200237047</c:v>
                </c:pt>
                <c:pt idx="6">
                  <c:v>10477569.499069745</c:v>
                </c:pt>
                <c:pt idx="7">
                  <c:v>9301130.3037471343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2-4659-B855-F1648C3C6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Suma de Dígitos Años</a:t>
            </a:r>
            <a:endParaRPr lang="en-US" b="1"/>
          </a:p>
        </c:rich>
      </c:tx>
      <c:layout>
        <c:manualLayout>
          <c:xMode val="edge"/>
          <c:yMode val="edge"/>
          <c:x val="0.31081233595800523"/>
          <c:y val="4.1921457930966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Depreciación!$G$109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Depreciación!$B$111:$B$123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Depreciación!$G$111:$G$123</c:f>
              <c:numCache>
                <c:formatCode>_(* #,##0_);_(* \(#,##0\);_(* "-"_);_(@_)</c:formatCode>
                <c:ptCount val="13"/>
                <c:pt idx="0">
                  <c:v>16000000</c:v>
                </c:pt>
                <c:pt idx="1">
                  <c:v>30000000</c:v>
                </c:pt>
                <c:pt idx="2">
                  <c:v>42000000</c:v>
                </c:pt>
                <c:pt idx="3">
                  <c:v>52000000</c:v>
                </c:pt>
                <c:pt idx="4">
                  <c:v>60000000</c:v>
                </c:pt>
                <c:pt idx="5">
                  <c:v>72000000</c:v>
                </c:pt>
                <c:pt idx="6">
                  <c:v>82500000</c:v>
                </c:pt>
                <c:pt idx="7">
                  <c:v>91500000</c:v>
                </c:pt>
                <c:pt idx="8">
                  <c:v>99000000</c:v>
                </c:pt>
                <c:pt idx="9">
                  <c:v>105000000</c:v>
                </c:pt>
                <c:pt idx="10">
                  <c:v>109500000</c:v>
                </c:pt>
                <c:pt idx="11">
                  <c:v>112500000</c:v>
                </c:pt>
                <c:pt idx="12">
                  <c:v>114000000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6-4A9F-A6E5-D489FE7F1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Suma de Dígitos Años</a:t>
            </a:r>
            <a:endParaRPr lang="en-US" b="1"/>
          </a:p>
        </c:rich>
      </c:tx>
      <c:layout>
        <c:manualLayout>
          <c:xMode val="edge"/>
          <c:yMode val="edge"/>
          <c:x val="0.31081233595800523"/>
          <c:y val="4.1921457930966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Depreciación!$H$109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Depreciación!$B$110:$B$123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Depreciación!$H$110:$H$123</c:f>
              <c:numCache>
                <c:formatCode>_(* #,##0_);_(* \(#,##0\);_(* "-"_);_(@_)</c:formatCode>
                <c:ptCount val="14"/>
                <c:pt idx="0">
                  <c:v>80000000</c:v>
                </c:pt>
                <c:pt idx="1">
                  <c:v>64000000</c:v>
                </c:pt>
                <c:pt idx="2">
                  <c:v>50000000</c:v>
                </c:pt>
                <c:pt idx="3">
                  <c:v>38000000</c:v>
                </c:pt>
                <c:pt idx="4">
                  <c:v>28000000</c:v>
                </c:pt>
                <c:pt idx="5">
                  <c:v>20000000</c:v>
                </c:pt>
                <c:pt idx="6">
                  <c:v>48000000</c:v>
                </c:pt>
                <c:pt idx="7">
                  <c:v>37500000</c:v>
                </c:pt>
                <c:pt idx="8">
                  <c:v>28500000</c:v>
                </c:pt>
                <c:pt idx="9">
                  <c:v>21000000</c:v>
                </c:pt>
                <c:pt idx="10">
                  <c:v>15000000</c:v>
                </c:pt>
                <c:pt idx="11">
                  <c:v>10500000</c:v>
                </c:pt>
                <c:pt idx="12">
                  <c:v>7500000</c:v>
                </c:pt>
                <c:pt idx="13">
                  <c:v>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C2-48AD-9DE2-5967B5780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Distribución</a:t>
            </a:r>
            <a:r>
              <a:rPr lang="es-CO" baseline="0"/>
              <a:t> de pagos en efectivo EMPRESA EN MARCHA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6F3-4285-AAC9-90F06B3DC2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6F3-4285-AAC9-90F06B3DC2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6F3-4285-AAC9-90F06B3DC2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6F3-4285-AAC9-90F06B3DC2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6F3-4285-AAC9-90F06B3DC2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6F3-4285-AAC9-90F06B3DC2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6F3-4285-AAC9-90F06B3DC2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6F3-4285-AAC9-90F06B3DC2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6F3-4285-AAC9-90F06B3DC2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6F3-4285-AAC9-90F06B3DC2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A6F3-4285-AAC9-90F06B3DC2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A6F3-4285-AAC9-90F06B3DC2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A6F3-4285-AAC9-90F06B3DC201}"/>
              </c:ext>
            </c:extLst>
          </c:dPt>
          <c:cat>
            <c:strRef>
              <c:f>'Depuracion EBITDA'!$E$20:$E$32</c:f>
              <c:strCache>
                <c:ptCount val="13"/>
                <c:pt idx="0">
                  <c:v>PAGO Credito hipotecario</c:v>
                </c:pt>
                <c:pt idx="1">
                  <c:v>pago TC 1</c:v>
                </c:pt>
                <c:pt idx="2">
                  <c:v>Pago tc2</c:v>
                </c:pt>
                <c:pt idx="3">
                  <c:v>Colegio</c:v>
                </c:pt>
                <c:pt idx="4">
                  <c:v>trasporte </c:v>
                </c:pt>
                <c:pt idx="5">
                  <c:v>lonchera</c:v>
                </c:pt>
                <c:pt idx="6">
                  <c:v>EPM</c:v>
                </c:pt>
                <c:pt idx="7">
                  <c:v>Internet</c:v>
                </c:pt>
                <c:pt idx="8">
                  <c:v>mercado</c:v>
                </c:pt>
                <c:pt idx="9">
                  <c:v>aportes papas</c:v>
                </c:pt>
                <c:pt idx="10">
                  <c:v>Bolsos carteras ylujos</c:v>
                </c:pt>
                <c:pt idx="11">
                  <c:v>gasolina</c:v>
                </c:pt>
                <c:pt idx="12">
                  <c:v>diversion y entretenimiento</c:v>
                </c:pt>
              </c:strCache>
            </c:strRef>
          </c:cat>
          <c:val>
            <c:numRef>
              <c:f>'Depuracion EBITDA'!$F$20:$F$32</c:f>
              <c:numCache>
                <c:formatCode>General</c:formatCode>
                <c:ptCount val="13"/>
                <c:pt idx="0">
                  <c:v>-15</c:v>
                </c:pt>
                <c:pt idx="1">
                  <c:v>-6</c:v>
                </c:pt>
                <c:pt idx="2">
                  <c:v>-3</c:v>
                </c:pt>
                <c:pt idx="3">
                  <c:v>-12</c:v>
                </c:pt>
                <c:pt idx="4">
                  <c:v>0</c:v>
                </c:pt>
                <c:pt idx="5">
                  <c:v>0</c:v>
                </c:pt>
                <c:pt idx="6">
                  <c:v>-2</c:v>
                </c:pt>
                <c:pt idx="7">
                  <c:v>-2</c:v>
                </c:pt>
                <c:pt idx="8">
                  <c:v>-20</c:v>
                </c:pt>
                <c:pt idx="9">
                  <c:v>-10</c:v>
                </c:pt>
                <c:pt idx="10">
                  <c:v>-3</c:v>
                </c:pt>
                <c:pt idx="11">
                  <c:v>-1</c:v>
                </c:pt>
                <c:pt idx="12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4-4FBA-AE75-836042FED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Doble Tasa de Declinación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Depreciación!$E$40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Depreciación!$B$42:$B$49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Depreciación!$E$42:$E$49</c:f>
              <c:numCache>
                <c:formatCode>_(* #,##0_);_(* \(#,##0\);_(* "-"_);_(@_)</c:formatCode>
                <c:ptCount val="8"/>
                <c:pt idx="0">
                  <c:v>20000000</c:v>
                </c:pt>
                <c:pt idx="1">
                  <c:v>15000000</c:v>
                </c:pt>
                <c:pt idx="2">
                  <c:v>11250000</c:v>
                </c:pt>
                <c:pt idx="3">
                  <c:v>8437500</c:v>
                </c:pt>
                <c:pt idx="4">
                  <c:v>6328125</c:v>
                </c:pt>
                <c:pt idx="5">
                  <c:v>4746093.75</c:v>
                </c:pt>
                <c:pt idx="6">
                  <c:v>3559570.3125</c:v>
                </c:pt>
                <c:pt idx="7">
                  <c:v>2669677.734375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4-4D13-8C9A-5326D04D7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Suma de Dígitos Años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Depreciación!$E$54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Depreciación!$B$56:$B$63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Depreciación!$E$56:$E$63</c:f>
              <c:numCache>
                <c:formatCode>_(* #,##0_);_(* \(#,##0\);_(* "-"_);_(@_)</c:formatCode>
                <c:ptCount val="8"/>
                <c:pt idx="0">
                  <c:v>16000000</c:v>
                </c:pt>
                <c:pt idx="1">
                  <c:v>14000000</c:v>
                </c:pt>
                <c:pt idx="2">
                  <c:v>12000000</c:v>
                </c:pt>
                <c:pt idx="3">
                  <c:v>10000000</c:v>
                </c:pt>
                <c:pt idx="4">
                  <c:v>8000000</c:v>
                </c:pt>
                <c:pt idx="5">
                  <c:v>6000000</c:v>
                </c:pt>
                <c:pt idx="6">
                  <c:v>4000000</c:v>
                </c:pt>
                <c:pt idx="7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C-4A39-8756-699401019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Reducción de Saldos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Depreciación!$D$70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Depreciación!$B$72:$B$79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Depreciación!$D$72:$D$79</c:f>
              <c:numCache>
                <c:formatCode>_(* #,##0_);_(* \(#,##0\);_(* "-"_);_(@_)</c:formatCode>
                <c:ptCount val="8"/>
                <c:pt idx="0">
                  <c:v>20008463.25340353</c:v>
                </c:pt>
                <c:pt idx="1">
                  <c:v>15004230.731368538</c:v>
                </c:pt>
                <c:pt idx="2">
                  <c:v>11251585.740941346</c:v>
                </c:pt>
                <c:pt idx="3">
                  <c:v>8437498.9929395448</c:v>
                </c:pt>
                <c:pt idx="4">
                  <c:v>6327231.6360537922</c:v>
                </c:pt>
                <c:pt idx="5">
                  <c:v>4744754.364981859</c:v>
                </c:pt>
                <c:pt idx="6">
                  <c:v>3558063.8230047897</c:v>
                </c:pt>
                <c:pt idx="7">
                  <c:v>2668171.4573065923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DA-B8BD-53F68641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Línea Recta</a:t>
            </a:r>
            <a:endParaRPr lang="en-US" b="1"/>
          </a:p>
        </c:rich>
      </c:tx>
      <c:layout>
        <c:manualLayout>
          <c:xMode val="edge"/>
          <c:yMode val="edge"/>
          <c:x val="0.31081233595800523"/>
          <c:y val="4.1921457930966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Depreciación!$D$90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Depreciación!$B$92:$B$104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Depreciación!$D$92:$D$104</c:f>
              <c:numCache>
                <c:formatCode>_(* #,##0_);_(* \(#,##0\);_(* "-"_);_(@_)</c:formatCode>
                <c:ptCount val="13"/>
                <c:pt idx="0">
                  <c:v>9000000</c:v>
                </c:pt>
                <c:pt idx="1">
                  <c:v>9000000</c:v>
                </c:pt>
                <c:pt idx="2">
                  <c:v>9000000</c:v>
                </c:pt>
                <c:pt idx="3">
                  <c:v>9000000</c:v>
                </c:pt>
                <c:pt idx="4">
                  <c:v>9000000</c:v>
                </c:pt>
                <c:pt idx="5">
                  <c:v>8437500</c:v>
                </c:pt>
                <c:pt idx="6">
                  <c:v>8437500</c:v>
                </c:pt>
                <c:pt idx="7">
                  <c:v>8437500</c:v>
                </c:pt>
                <c:pt idx="8">
                  <c:v>8437500</c:v>
                </c:pt>
                <c:pt idx="9">
                  <c:v>8437500</c:v>
                </c:pt>
                <c:pt idx="10">
                  <c:v>8437500</c:v>
                </c:pt>
                <c:pt idx="11">
                  <c:v>8437500</c:v>
                </c:pt>
                <c:pt idx="12">
                  <c:v>8437500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3-4597-A365-E7453172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Suma de Dígitos Años</a:t>
            </a:r>
            <a:endParaRPr lang="en-US" b="1"/>
          </a:p>
        </c:rich>
      </c:tx>
      <c:layout>
        <c:manualLayout>
          <c:xMode val="edge"/>
          <c:yMode val="edge"/>
          <c:x val="0.31081233595800523"/>
          <c:y val="4.1921457930966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Depreciación!$F$109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Depreciación!$B$111:$B$123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Depreciación!$F$111:$F$123</c:f>
              <c:numCache>
                <c:formatCode>_(* #,##0_);_(* \(#,##0\);_(* "-"_);_(@_)</c:formatCode>
                <c:ptCount val="13"/>
                <c:pt idx="0">
                  <c:v>16000000</c:v>
                </c:pt>
                <c:pt idx="1">
                  <c:v>14000000</c:v>
                </c:pt>
                <c:pt idx="2">
                  <c:v>12000000</c:v>
                </c:pt>
                <c:pt idx="3">
                  <c:v>10000000</c:v>
                </c:pt>
                <c:pt idx="4">
                  <c:v>8000000</c:v>
                </c:pt>
                <c:pt idx="5">
                  <c:v>12000000</c:v>
                </c:pt>
                <c:pt idx="6">
                  <c:v>10500000</c:v>
                </c:pt>
                <c:pt idx="7">
                  <c:v>9000000</c:v>
                </c:pt>
                <c:pt idx="8">
                  <c:v>7500000</c:v>
                </c:pt>
                <c:pt idx="9">
                  <c:v>6000000</c:v>
                </c:pt>
                <c:pt idx="10">
                  <c:v>4500000</c:v>
                </c:pt>
                <c:pt idx="11">
                  <c:v>3000000</c:v>
                </c:pt>
                <c:pt idx="12">
                  <c:v>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5-4F96-94A0-151DAA18C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 Línea Recta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Depreciación!$E$11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Depreciación!$B$13:$B$20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Depreciación!$E$13:$E$20</c:f>
              <c:numCache>
                <c:formatCode>_(* #,##0_);_(* \(#,##0\);_(* "-"_);_(@_)</c:formatCode>
                <c:ptCount val="8"/>
                <c:pt idx="0">
                  <c:v>9000000</c:v>
                </c:pt>
                <c:pt idx="1">
                  <c:v>18000000</c:v>
                </c:pt>
                <c:pt idx="2">
                  <c:v>27000000</c:v>
                </c:pt>
                <c:pt idx="3">
                  <c:v>36000000</c:v>
                </c:pt>
                <c:pt idx="4">
                  <c:v>45000000</c:v>
                </c:pt>
                <c:pt idx="5">
                  <c:v>54000000</c:v>
                </c:pt>
                <c:pt idx="6">
                  <c:v>63000000</c:v>
                </c:pt>
                <c:pt idx="7">
                  <c:v>72000000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7-43A9-B211-22430C36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 Línea Recta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Depreciación!$F$11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Depreciación!$B$12:$B$20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Depreciación!$F$12:$F$20</c:f>
              <c:numCache>
                <c:formatCode>_(* #,##0_);_(* \(#,##0\);_(* "-"_);_(@_)</c:formatCode>
                <c:ptCount val="9"/>
                <c:pt idx="0">
                  <c:v>80000000</c:v>
                </c:pt>
                <c:pt idx="1">
                  <c:v>71000000</c:v>
                </c:pt>
                <c:pt idx="2">
                  <c:v>62000000</c:v>
                </c:pt>
                <c:pt idx="3">
                  <c:v>53000000</c:v>
                </c:pt>
                <c:pt idx="4">
                  <c:v>44000000</c:v>
                </c:pt>
                <c:pt idx="5">
                  <c:v>35000000</c:v>
                </c:pt>
                <c:pt idx="6">
                  <c:v>26000000</c:v>
                </c:pt>
                <c:pt idx="7">
                  <c:v>17000000</c:v>
                </c:pt>
                <c:pt idx="8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75-4931-B2ED-9D74CE2A1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5</xdr:row>
      <xdr:rowOff>76200</xdr:rowOff>
    </xdr:from>
    <xdr:to>
      <xdr:col>3</xdr:col>
      <xdr:colOff>742950</xdr:colOff>
      <xdr:row>5</xdr:row>
      <xdr:rowOff>85726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3209925" y="1028700"/>
          <a:ext cx="542925" cy="9526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609600</xdr:colOff>
      <xdr:row>7</xdr:row>
      <xdr:rowOff>85725</xdr:rowOff>
    </xdr:from>
    <xdr:to>
      <xdr:col>4</xdr:col>
      <xdr:colOff>0</xdr:colOff>
      <xdr:row>7</xdr:row>
      <xdr:rowOff>95251</xdr:rowOff>
    </xdr:to>
    <xdr:cxnSp macro="">
      <xdr:nvCxnSpPr>
        <xdr:cNvPr id="3" name="3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3238500" y="1390650"/>
          <a:ext cx="514350" cy="9526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720328</xdr:colOff>
      <xdr:row>11</xdr:row>
      <xdr:rowOff>107156</xdr:rowOff>
    </xdr:from>
    <xdr:to>
      <xdr:col>4</xdr:col>
      <xdr:colOff>125016</xdr:colOff>
      <xdr:row>13</xdr:row>
      <xdr:rowOff>147637</xdr:rowOff>
    </xdr:to>
    <xdr:cxnSp macro="">
      <xdr:nvCxnSpPr>
        <xdr:cNvPr id="4" name="4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3349228" y="2088356"/>
          <a:ext cx="528638" cy="392906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66675</xdr:rowOff>
    </xdr:from>
    <xdr:to>
      <xdr:col>5</xdr:col>
      <xdr:colOff>279797</xdr:colOff>
      <xdr:row>13</xdr:row>
      <xdr:rowOff>113109</xdr:rowOff>
    </xdr:to>
    <xdr:cxnSp macro="">
      <xdr:nvCxnSpPr>
        <xdr:cNvPr id="5" name="6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3209925" y="1019175"/>
          <a:ext cx="1584722" cy="1427559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704850</xdr:colOff>
      <xdr:row>7</xdr:row>
      <xdr:rowOff>152400</xdr:rowOff>
    </xdr:from>
    <xdr:to>
      <xdr:col>4</xdr:col>
      <xdr:colOff>123825</xdr:colOff>
      <xdr:row>11</xdr:row>
      <xdr:rowOff>114300</xdr:rowOff>
    </xdr:to>
    <xdr:cxnSp macro="">
      <xdr:nvCxnSpPr>
        <xdr:cNvPr id="6" name="23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3333750" y="1457325"/>
          <a:ext cx="542925" cy="638175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613172</xdr:colOff>
      <xdr:row>23</xdr:row>
      <xdr:rowOff>83344</xdr:rowOff>
    </xdr:from>
    <xdr:to>
      <xdr:col>3</xdr:col>
      <xdr:colOff>361950</xdr:colOff>
      <xdr:row>23</xdr:row>
      <xdr:rowOff>85725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3242072" y="4226719"/>
          <a:ext cx="510778" cy="2381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25</xdr:row>
      <xdr:rowOff>95250</xdr:rowOff>
    </xdr:from>
    <xdr:to>
      <xdr:col>3</xdr:col>
      <xdr:colOff>1847850</xdr:colOff>
      <xdr:row>25</xdr:row>
      <xdr:rowOff>104775</xdr:rowOff>
    </xdr:to>
    <xdr:cxnSp macro="">
      <xdr:nvCxnSpPr>
        <xdr:cNvPr id="8" name="3 Conector recto de flecha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3390900" y="4591050"/>
          <a:ext cx="361950" cy="9525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25</xdr:row>
      <xdr:rowOff>104775</xdr:rowOff>
    </xdr:from>
    <xdr:to>
      <xdr:col>4</xdr:col>
      <xdr:colOff>123825</xdr:colOff>
      <xdr:row>28</xdr:row>
      <xdr:rowOff>85726</xdr:rowOff>
    </xdr:to>
    <xdr:cxnSp macro="">
      <xdr:nvCxnSpPr>
        <xdr:cNvPr id="9" name="14 Conector recto de flecha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3390900" y="4600575"/>
          <a:ext cx="485775" cy="495301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732236</xdr:colOff>
      <xdr:row>28</xdr:row>
      <xdr:rowOff>95250</xdr:rowOff>
    </xdr:from>
    <xdr:to>
      <xdr:col>4</xdr:col>
      <xdr:colOff>273844</xdr:colOff>
      <xdr:row>29</xdr:row>
      <xdr:rowOff>113110</xdr:rowOff>
    </xdr:to>
    <xdr:cxnSp macro="">
      <xdr:nvCxnSpPr>
        <xdr:cNvPr id="10" name="17 Conector recto de flecha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3361136" y="5105400"/>
          <a:ext cx="665558" cy="189310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589360</xdr:colOff>
      <xdr:row>23</xdr:row>
      <xdr:rowOff>101203</xdr:rowOff>
    </xdr:from>
    <xdr:to>
      <xdr:col>5</xdr:col>
      <xdr:colOff>904875</xdr:colOff>
      <xdr:row>29</xdr:row>
      <xdr:rowOff>148828</xdr:rowOff>
    </xdr:to>
    <xdr:cxnSp macro="">
      <xdr:nvCxnSpPr>
        <xdr:cNvPr id="11" name="20 Conector recto de flecha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>
          <a:off x="3218260" y="4244578"/>
          <a:ext cx="2201465" cy="1085850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845346</xdr:colOff>
      <xdr:row>5</xdr:row>
      <xdr:rowOff>178594</xdr:rowOff>
    </xdr:from>
    <xdr:to>
      <xdr:col>14</xdr:col>
      <xdr:colOff>727301</xdr:colOff>
      <xdr:row>20</xdr:row>
      <xdr:rowOff>35718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F8BD98-3A68-4CC0-B9C8-9CE33CD72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833439</xdr:colOff>
      <xdr:row>21</xdr:row>
      <xdr:rowOff>23814</xdr:rowOff>
    </xdr:from>
    <xdr:to>
      <xdr:col>14</xdr:col>
      <xdr:colOff>742889</xdr:colOff>
      <xdr:row>35</xdr:row>
      <xdr:rowOff>71439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06C376-576C-4A9A-86D1-0C51EB784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845344</xdr:colOff>
      <xdr:row>36</xdr:row>
      <xdr:rowOff>95250</xdr:rowOff>
    </xdr:from>
    <xdr:to>
      <xdr:col>14</xdr:col>
      <xdr:colOff>761139</xdr:colOff>
      <xdr:row>49</xdr:row>
      <xdr:rowOff>130969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9FD2F7-DB97-4395-83CC-5DB1C0311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869156</xdr:colOff>
      <xdr:row>50</xdr:row>
      <xdr:rowOff>119063</xdr:rowOff>
    </xdr:from>
    <xdr:to>
      <xdr:col>14</xdr:col>
      <xdr:colOff>746883</xdr:colOff>
      <xdr:row>63</xdr:row>
      <xdr:rowOff>154782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3257B59-503E-451D-B104-C1CDC7C21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881062</xdr:colOff>
      <xdr:row>64</xdr:row>
      <xdr:rowOff>154782</xdr:rowOff>
    </xdr:from>
    <xdr:to>
      <xdr:col>14</xdr:col>
      <xdr:colOff>714375</xdr:colOff>
      <xdr:row>77</xdr:row>
      <xdr:rowOff>178594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AEA8133-E9F2-42DA-BD8C-A64D03531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64294</xdr:colOff>
      <xdr:row>88</xdr:row>
      <xdr:rowOff>0</xdr:rowOff>
    </xdr:from>
    <xdr:to>
      <xdr:col>13</xdr:col>
      <xdr:colOff>1143001</xdr:colOff>
      <xdr:row>103</xdr:row>
      <xdr:rowOff>166687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6384126-854A-4B22-B72A-EA20CE0CF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64293</xdr:colOff>
      <xdr:row>107</xdr:row>
      <xdr:rowOff>11906</xdr:rowOff>
    </xdr:from>
    <xdr:to>
      <xdr:col>13</xdr:col>
      <xdr:colOff>1143000</xdr:colOff>
      <xdr:row>122</xdr:row>
      <xdr:rowOff>178593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6B8F7F7-A48E-421C-A854-D974027D0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1154908</xdr:colOff>
      <xdr:row>5</xdr:row>
      <xdr:rowOff>178593</xdr:rowOff>
    </xdr:from>
    <xdr:to>
      <xdr:col>20</xdr:col>
      <xdr:colOff>727300</xdr:colOff>
      <xdr:row>20</xdr:row>
      <xdr:rowOff>35717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A67B91B-AA6A-497B-A5ED-F31A6652E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476250</xdr:colOff>
      <xdr:row>6</xdr:row>
      <xdr:rowOff>0</xdr:rowOff>
    </xdr:from>
    <xdr:to>
      <xdr:col>27</xdr:col>
      <xdr:colOff>453455</xdr:colOff>
      <xdr:row>20</xdr:row>
      <xdr:rowOff>47624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F0C3452-BD1E-4BCA-A74C-FD5B2A226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1143000</xdr:colOff>
      <xdr:row>21</xdr:row>
      <xdr:rowOff>19050</xdr:rowOff>
    </xdr:from>
    <xdr:to>
      <xdr:col>21</xdr:col>
      <xdr:colOff>4700</xdr:colOff>
      <xdr:row>35</xdr:row>
      <xdr:rowOff>66675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897320F-46FF-4145-B16F-CABAF1C86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457200</xdr:colOff>
      <xdr:row>21</xdr:row>
      <xdr:rowOff>0</xdr:rowOff>
    </xdr:from>
    <xdr:to>
      <xdr:col>27</xdr:col>
      <xdr:colOff>480950</xdr:colOff>
      <xdr:row>35</xdr:row>
      <xdr:rowOff>47625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44706E8-325E-48A3-BABF-3916D6C9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36</xdr:row>
      <xdr:rowOff>95250</xdr:rowOff>
    </xdr:from>
    <xdr:to>
      <xdr:col>21</xdr:col>
      <xdr:colOff>30095</xdr:colOff>
      <xdr:row>49</xdr:row>
      <xdr:rowOff>130969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D74AC9E-2BBD-42B3-AA06-FFBAACF20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457200</xdr:colOff>
      <xdr:row>36</xdr:row>
      <xdr:rowOff>95250</xdr:rowOff>
    </xdr:from>
    <xdr:to>
      <xdr:col>27</xdr:col>
      <xdr:colOff>487295</xdr:colOff>
      <xdr:row>49</xdr:row>
      <xdr:rowOff>130969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5144686-1F4F-4A11-9B5A-561AA6934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50</xdr:row>
      <xdr:rowOff>133350</xdr:rowOff>
    </xdr:from>
    <xdr:to>
      <xdr:col>20</xdr:col>
      <xdr:colOff>754027</xdr:colOff>
      <xdr:row>63</xdr:row>
      <xdr:rowOff>169069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017BDEA-50E8-4808-B068-21A082C4C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457200</xdr:colOff>
      <xdr:row>50</xdr:row>
      <xdr:rowOff>152400</xdr:rowOff>
    </xdr:from>
    <xdr:to>
      <xdr:col>27</xdr:col>
      <xdr:colOff>449227</xdr:colOff>
      <xdr:row>63</xdr:row>
      <xdr:rowOff>188119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EC41A95-D797-4F46-A874-DF1ED6885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64</xdr:row>
      <xdr:rowOff>171450</xdr:rowOff>
    </xdr:from>
    <xdr:to>
      <xdr:col>20</xdr:col>
      <xdr:colOff>709613</xdr:colOff>
      <xdr:row>78</xdr:row>
      <xdr:rowOff>4762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2A68A42-6886-467E-92C5-B1D39E0D8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457200</xdr:colOff>
      <xdr:row>65</xdr:row>
      <xdr:rowOff>0</xdr:rowOff>
    </xdr:from>
    <xdr:to>
      <xdr:col>27</xdr:col>
      <xdr:colOff>404813</xdr:colOff>
      <xdr:row>78</xdr:row>
      <xdr:rowOff>23812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C26133-1C4A-408C-816E-9FF631E9B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533400</xdr:colOff>
      <xdr:row>88</xdr:row>
      <xdr:rowOff>19050</xdr:rowOff>
    </xdr:from>
    <xdr:to>
      <xdr:col>21</xdr:col>
      <xdr:colOff>564357</xdr:colOff>
      <xdr:row>103</xdr:row>
      <xdr:rowOff>185737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0EBFB68-2258-4F52-9253-78F3D69A1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361950</xdr:colOff>
      <xdr:row>88</xdr:row>
      <xdr:rowOff>19050</xdr:rowOff>
    </xdr:from>
    <xdr:to>
      <xdr:col>30</xdr:col>
      <xdr:colOff>30957</xdr:colOff>
      <xdr:row>103</xdr:row>
      <xdr:rowOff>185737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E6B1154C-87B8-4774-9466-D041A8EFD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533400</xdr:colOff>
      <xdr:row>107</xdr:row>
      <xdr:rowOff>0</xdr:rowOff>
    </xdr:from>
    <xdr:to>
      <xdr:col>21</xdr:col>
      <xdr:colOff>564357</xdr:colOff>
      <xdr:row>122</xdr:row>
      <xdr:rowOff>166687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2ABE33FA-86CB-419B-B64B-465E5B3EF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361950</xdr:colOff>
      <xdr:row>107</xdr:row>
      <xdr:rowOff>19050</xdr:rowOff>
    </xdr:from>
    <xdr:to>
      <xdr:col>30</xdr:col>
      <xdr:colOff>30957</xdr:colOff>
      <xdr:row>122</xdr:row>
      <xdr:rowOff>185737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1E94674-78C5-48FE-91B3-8D1E25B66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134937</xdr:colOff>
      <xdr:row>18</xdr:row>
      <xdr:rowOff>15874</xdr:rowOff>
    </xdr:from>
    <xdr:to>
      <xdr:col>13</xdr:col>
      <xdr:colOff>150813</xdr:colOff>
      <xdr:row>37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28</xdr:row>
      <xdr:rowOff>158750</xdr:rowOff>
    </xdr:from>
    <xdr:to>
      <xdr:col>4</xdr:col>
      <xdr:colOff>21167</xdr:colOff>
      <xdr:row>32</xdr:row>
      <xdr:rowOff>147206</xdr:rowOff>
    </xdr:to>
    <xdr:cxnSp macro="">
      <xdr:nvCxnSpPr>
        <xdr:cNvPr id="11" name="4 Conector recto de flecha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CxnSpPr/>
      </xdr:nvCxnSpPr>
      <xdr:spPr>
        <a:xfrm flipV="1">
          <a:off x="3598333" y="6328833"/>
          <a:ext cx="1058334" cy="856290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819150</xdr:colOff>
      <xdr:row>25</xdr:row>
      <xdr:rowOff>95250</xdr:rowOff>
    </xdr:from>
    <xdr:to>
      <xdr:col>4</xdr:col>
      <xdr:colOff>25977</xdr:colOff>
      <xdr:row>26</xdr:row>
      <xdr:rowOff>114300</xdr:rowOff>
    </xdr:to>
    <xdr:cxnSp macro="">
      <xdr:nvCxnSpPr>
        <xdr:cNvPr id="14" name="14 Conector recto de flecha">
          <a:extLst>
            <a:ext uri="{FF2B5EF4-FFF2-40B4-BE49-F238E27FC236}">
              <a16:creationId xmlns:a16="http://schemas.microsoft.com/office/drawing/2014/main" id="{00000000-0008-0000-1C00-00000E000000}"/>
            </a:ext>
          </a:extLst>
        </xdr:cNvPr>
        <xdr:cNvCxnSpPr/>
      </xdr:nvCxnSpPr>
      <xdr:spPr>
        <a:xfrm flipV="1">
          <a:off x="4074968" y="5446568"/>
          <a:ext cx="1163782" cy="244187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21</xdr:row>
      <xdr:rowOff>66675</xdr:rowOff>
    </xdr:from>
    <xdr:to>
      <xdr:col>14</xdr:col>
      <xdr:colOff>742950</xdr:colOff>
      <xdr:row>25</xdr:row>
      <xdr:rowOff>123825</xdr:rowOff>
    </xdr:to>
    <xdr:cxnSp macro="">
      <xdr:nvCxnSpPr>
        <xdr:cNvPr id="19" name="23 Conector recto de flecha">
          <a:extLst>
            <a:ext uri="{FF2B5EF4-FFF2-40B4-BE49-F238E27FC236}">
              <a16:creationId xmlns:a16="http://schemas.microsoft.com/office/drawing/2014/main" id="{00000000-0008-0000-1C00-000013000000}"/>
            </a:ext>
          </a:extLst>
        </xdr:cNvPr>
        <xdr:cNvCxnSpPr/>
      </xdr:nvCxnSpPr>
      <xdr:spPr>
        <a:xfrm>
          <a:off x="11506200" y="4610100"/>
          <a:ext cx="3743325" cy="695325"/>
        </a:xfrm>
        <a:prstGeom prst="straightConnector1">
          <a:avLst/>
        </a:prstGeom>
        <a:ln w="19050" cmpd="sng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23</xdr:row>
      <xdr:rowOff>76200</xdr:rowOff>
    </xdr:from>
    <xdr:to>
      <xdr:col>3</xdr:col>
      <xdr:colOff>1000125</xdr:colOff>
      <xdr:row>26</xdr:row>
      <xdr:rowOff>114300</xdr:rowOff>
    </xdr:to>
    <xdr:cxnSp macro="">
      <xdr:nvCxnSpPr>
        <xdr:cNvPr id="20" name="14 Conector recto de flecha">
          <a:extLst>
            <a:ext uri="{FF2B5EF4-FFF2-40B4-BE49-F238E27FC236}">
              <a16:creationId xmlns:a16="http://schemas.microsoft.com/office/drawing/2014/main" id="{00000000-0008-0000-1C00-000014000000}"/>
            </a:ext>
          </a:extLst>
        </xdr:cNvPr>
        <xdr:cNvCxnSpPr/>
      </xdr:nvCxnSpPr>
      <xdr:spPr>
        <a:xfrm flipV="1">
          <a:off x="4124325" y="5038725"/>
          <a:ext cx="1047750" cy="714375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779318</xdr:colOff>
      <xdr:row>24</xdr:row>
      <xdr:rowOff>103909</xdr:rowOff>
    </xdr:from>
    <xdr:to>
      <xdr:col>3</xdr:col>
      <xdr:colOff>1021773</xdr:colOff>
      <xdr:row>26</xdr:row>
      <xdr:rowOff>199159</xdr:rowOff>
    </xdr:to>
    <xdr:cxnSp macro="">
      <xdr:nvCxnSpPr>
        <xdr:cNvPr id="21" name="14 Conector recto de flecha">
          <a:extLst>
            <a:ext uri="{FF2B5EF4-FFF2-40B4-BE49-F238E27FC236}">
              <a16:creationId xmlns:a16="http://schemas.microsoft.com/office/drawing/2014/main" id="{00000000-0008-0000-1C00-000015000000}"/>
            </a:ext>
          </a:extLst>
        </xdr:cNvPr>
        <xdr:cNvCxnSpPr/>
      </xdr:nvCxnSpPr>
      <xdr:spPr>
        <a:xfrm flipV="1">
          <a:off x="4035136" y="5230091"/>
          <a:ext cx="1160319" cy="545523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839932</xdr:colOff>
      <xdr:row>26</xdr:row>
      <xdr:rowOff>121228</xdr:rowOff>
    </xdr:from>
    <xdr:to>
      <xdr:col>6</xdr:col>
      <xdr:colOff>275167</xdr:colOff>
      <xdr:row>31</xdr:row>
      <xdr:rowOff>148167</xdr:rowOff>
    </xdr:to>
    <xdr:cxnSp macro="">
      <xdr:nvCxnSpPr>
        <xdr:cNvPr id="22" name="14 Conector recto de flecha">
          <a:extLst>
            <a:ext uri="{FF2B5EF4-FFF2-40B4-BE49-F238E27FC236}">
              <a16:creationId xmlns:a16="http://schemas.microsoft.com/office/drawing/2014/main" id="{00000000-0008-0000-1C00-000016000000}"/>
            </a:ext>
          </a:extLst>
        </xdr:cNvPr>
        <xdr:cNvCxnSpPr/>
      </xdr:nvCxnSpPr>
      <xdr:spPr>
        <a:xfrm>
          <a:off x="3528099" y="5836228"/>
          <a:ext cx="3996651" cy="1138189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839932</xdr:colOff>
      <xdr:row>26</xdr:row>
      <xdr:rowOff>155863</xdr:rowOff>
    </xdr:from>
    <xdr:to>
      <xdr:col>6</xdr:col>
      <xdr:colOff>878417</xdr:colOff>
      <xdr:row>30</xdr:row>
      <xdr:rowOff>148167</xdr:rowOff>
    </xdr:to>
    <xdr:cxnSp macro="">
      <xdr:nvCxnSpPr>
        <xdr:cNvPr id="23" name="14 Conector recto de flecha">
          <a:extLst>
            <a:ext uri="{FF2B5EF4-FFF2-40B4-BE49-F238E27FC236}">
              <a16:creationId xmlns:a16="http://schemas.microsoft.com/office/drawing/2014/main" id="{00000000-0008-0000-1C00-000017000000}"/>
            </a:ext>
          </a:extLst>
        </xdr:cNvPr>
        <xdr:cNvCxnSpPr/>
      </xdr:nvCxnSpPr>
      <xdr:spPr>
        <a:xfrm>
          <a:off x="3528099" y="5870863"/>
          <a:ext cx="4599901" cy="891887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900546</xdr:colOff>
      <xdr:row>30</xdr:row>
      <xdr:rowOff>63500</xdr:rowOff>
    </xdr:from>
    <xdr:to>
      <xdr:col>4</xdr:col>
      <xdr:colOff>412750</xdr:colOff>
      <xdr:row>32</xdr:row>
      <xdr:rowOff>199161</xdr:rowOff>
    </xdr:to>
    <xdr:cxnSp macro="">
      <xdr:nvCxnSpPr>
        <xdr:cNvPr id="41" name="4 Conector recto de flecha">
          <a:extLst>
            <a:ext uri="{FF2B5EF4-FFF2-40B4-BE49-F238E27FC236}">
              <a16:creationId xmlns:a16="http://schemas.microsoft.com/office/drawing/2014/main" id="{00000000-0008-0000-1C00-000029000000}"/>
            </a:ext>
          </a:extLst>
        </xdr:cNvPr>
        <xdr:cNvCxnSpPr/>
      </xdr:nvCxnSpPr>
      <xdr:spPr>
        <a:xfrm flipV="1">
          <a:off x="3588713" y="6678083"/>
          <a:ext cx="1459537" cy="558995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883227</xdr:colOff>
      <xdr:row>28</xdr:row>
      <xdr:rowOff>95250</xdr:rowOff>
    </xdr:from>
    <xdr:to>
      <xdr:col>4</xdr:col>
      <xdr:colOff>34636</xdr:colOff>
      <xdr:row>28</xdr:row>
      <xdr:rowOff>103909</xdr:rowOff>
    </xdr:to>
    <xdr:cxnSp macro="">
      <xdr:nvCxnSpPr>
        <xdr:cNvPr id="42" name="4 Conector recto de flecha">
          <a:extLst>
            <a:ext uri="{FF2B5EF4-FFF2-40B4-BE49-F238E27FC236}">
              <a16:creationId xmlns:a16="http://schemas.microsoft.com/office/drawing/2014/main" id="{00000000-0008-0000-1C00-00002A000000}"/>
            </a:ext>
          </a:extLst>
        </xdr:cNvPr>
        <xdr:cNvCxnSpPr/>
      </xdr:nvCxnSpPr>
      <xdr:spPr>
        <a:xfrm>
          <a:off x="3567545" y="6113318"/>
          <a:ext cx="1108364" cy="8659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909205</xdr:colOff>
      <xdr:row>32</xdr:row>
      <xdr:rowOff>155864</xdr:rowOff>
    </xdr:from>
    <xdr:to>
      <xdr:col>4</xdr:col>
      <xdr:colOff>43295</xdr:colOff>
      <xdr:row>35</xdr:row>
      <xdr:rowOff>60614</xdr:rowOff>
    </xdr:to>
    <xdr:cxnSp macro="">
      <xdr:nvCxnSpPr>
        <xdr:cNvPr id="49" name="4 Conector recto de flecha">
          <a:extLst>
            <a:ext uri="{FF2B5EF4-FFF2-40B4-BE49-F238E27FC236}">
              <a16:creationId xmlns:a16="http://schemas.microsoft.com/office/drawing/2014/main" id="{00000000-0008-0000-1C00-000031000000}"/>
            </a:ext>
          </a:extLst>
        </xdr:cNvPr>
        <xdr:cNvCxnSpPr/>
      </xdr:nvCxnSpPr>
      <xdr:spPr>
        <a:xfrm>
          <a:off x="3593523" y="7022523"/>
          <a:ext cx="1091045" cy="562841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86591</xdr:colOff>
      <xdr:row>30</xdr:row>
      <xdr:rowOff>164522</xdr:rowOff>
    </xdr:from>
    <xdr:to>
      <xdr:col>4</xdr:col>
      <xdr:colOff>753341</xdr:colOff>
      <xdr:row>33</xdr:row>
      <xdr:rowOff>0</xdr:rowOff>
    </xdr:to>
    <xdr:cxnSp macro="">
      <xdr:nvCxnSpPr>
        <xdr:cNvPr id="54" name="4 Conector recto de flecha">
          <a:extLst>
            <a:ext uri="{FF2B5EF4-FFF2-40B4-BE49-F238E27FC236}">
              <a16:creationId xmlns:a16="http://schemas.microsoft.com/office/drawing/2014/main" id="{00000000-0008-0000-1C00-000036000000}"/>
            </a:ext>
          </a:extLst>
        </xdr:cNvPr>
        <xdr:cNvCxnSpPr/>
      </xdr:nvCxnSpPr>
      <xdr:spPr>
        <a:xfrm flipV="1">
          <a:off x="3688773" y="6615545"/>
          <a:ext cx="1705841" cy="467591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814916</xdr:colOff>
      <xdr:row>5</xdr:row>
      <xdr:rowOff>127000</xdr:rowOff>
    </xdr:from>
    <xdr:to>
      <xdr:col>3</xdr:col>
      <xdr:colOff>984250</xdr:colOff>
      <xdr:row>6</xdr:row>
      <xdr:rowOff>116417</xdr:rowOff>
    </xdr:to>
    <xdr:cxnSp macro="">
      <xdr:nvCxnSpPr>
        <xdr:cNvPr id="28" name="14 Conector recto de flecha">
          <a:extLst>
            <a:ext uri="{FF2B5EF4-FFF2-40B4-BE49-F238E27FC236}">
              <a16:creationId xmlns:a16="http://schemas.microsoft.com/office/drawing/2014/main" id="{00000000-0008-0000-1C00-00001C000000}"/>
            </a:ext>
          </a:extLst>
        </xdr:cNvPr>
        <xdr:cNvCxnSpPr/>
      </xdr:nvCxnSpPr>
      <xdr:spPr>
        <a:xfrm flipV="1">
          <a:off x="3503083" y="1185333"/>
          <a:ext cx="1079500" cy="211667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698500</xdr:colOff>
      <xdr:row>4</xdr:row>
      <xdr:rowOff>116416</xdr:rowOff>
    </xdr:from>
    <xdr:to>
      <xdr:col>4</xdr:col>
      <xdr:colOff>52917</xdr:colOff>
      <xdr:row>5</xdr:row>
      <xdr:rowOff>31751</xdr:rowOff>
    </xdr:to>
    <xdr:cxnSp macro="">
      <xdr:nvCxnSpPr>
        <xdr:cNvPr id="29" name="14 Conector recto de flecha">
          <a:extLst>
            <a:ext uri="{FF2B5EF4-FFF2-40B4-BE49-F238E27FC236}">
              <a16:creationId xmlns:a16="http://schemas.microsoft.com/office/drawing/2014/main" id="{00000000-0008-0000-1C00-00001D000000}"/>
            </a:ext>
          </a:extLst>
        </xdr:cNvPr>
        <xdr:cNvCxnSpPr/>
      </xdr:nvCxnSpPr>
      <xdr:spPr>
        <a:xfrm flipV="1">
          <a:off x="3386667" y="963083"/>
          <a:ext cx="1301750" cy="127001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748769</xdr:colOff>
      <xdr:row>5</xdr:row>
      <xdr:rowOff>111127</xdr:rowOff>
    </xdr:from>
    <xdr:to>
      <xdr:col>4</xdr:col>
      <xdr:colOff>74083</xdr:colOff>
      <xdr:row>6</xdr:row>
      <xdr:rowOff>116417</xdr:rowOff>
    </xdr:to>
    <xdr:cxnSp macro="">
      <xdr:nvCxnSpPr>
        <xdr:cNvPr id="30" name="14 Conector recto de flecha">
          <a:extLst>
            <a:ext uri="{FF2B5EF4-FFF2-40B4-BE49-F238E27FC236}">
              <a16:creationId xmlns:a16="http://schemas.microsoft.com/office/drawing/2014/main" id="{00000000-0008-0000-1C00-00001E000000}"/>
            </a:ext>
          </a:extLst>
        </xdr:cNvPr>
        <xdr:cNvCxnSpPr/>
      </xdr:nvCxnSpPr>
      <xdr:spPr>
        <a:xfrm>
          <a:off x="3436936" y="1169460"/>
          <a:ext cx="1272647" cy="227540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772583</xdr:colOff>
      <xdr:row>5</xdr:row>
      <xdr:rowOff>52918</xdr:rowOff>
    </xdr:from>
    <xdr:to>
      <xdr:col>3</xdr:col>
      <xdr:colOff>994834</xdr:colOff>
      <xdr:row>5</xdr:row>
      <xdr:rowOff>74084</xdr:rowOff>
    </xdr:to>
    <xdr:cxnSp macro="">
      <xdr:nvCxnSpPr>
        <xdr:cNvPr id="31" name="14 Conector recto de flecha">
          <a:extLst>
            <a:ext uri="{FF2B5EF4-FFF2-40B4-BE49-F238E27FC236}">
              <a16:creationId xmlns:a16="http://schemas.microsoft.com/office/drawing/2014/main" id="{00000000-0008-0000-1C00-00001F000000}"/>
            </a:ext>
          </a:extLst>
        </xdr:cNvPr>
        <xdr:cNvCxnSpPr/>
      </xdr:nvCxnSpPr>
      <xdr:spPr>
        <a:xfrm>
          <a:off x="3460750" y="1111251"/>
          <a:ext cx="1132417" cy="21166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783166</xdr:colOff>
      <xdr:row>5</xdr:row>
      <xdr:rowOff>84667</xdr:rowOff>
    </xdr:from>
    <xdr:to>
      <xdr:col>4</xdr:col>
      <xdr:colOff>105833</xdr:colOff>
      <xdr:row>13</xdr:row>
      <xdr:rowOff>95250</xdr:rowOff>
    </xdr:to>
    <xdr:cxnSp macro="">
      <xdr:nvCxnSpPr>
        <xdr:cNvPr id="40" name="4 Conector recto de flecha">
          <a:extLst>
            <a:ext uri="{FF2B5EF4-FFF2-40B4-BE49-F238E27FC236}">
              <a16:creationId xmlns:a16="http://schemas.microsoft.com/office/drawing/2014/main" id="{00000000-0008-0000-1C00-000028000000}"/>
            </a:ext>
          </a:extLst>
        </xdr:cNvPr>
        <xdr:cNvCxnSpPr/>
      </xdr:nvCxnSpPr>
      <xdr:spPr>
        <a:xfrm flipV="1">
          <a:off x="3471333" y="1143000"/>
          <a:ext cx="1270000" cy="1788583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867833</xdr:colOff>
      <xdr:row>9</xdr:row>
      <xdr:rowOff>129647</xdr:rowOff>
    </xdr:from>
    <xdr:to>
      <xdr:col>4</xdr:col>
      <xdr:colOff>95250</xdr:colOff>
      <xdr:row>9</xdr:row>
      <xdr:rowOff>137583</xdr:rowOff>
    </xdr:to>
    <xdr:cxnSp macro="">
      <xdr:nvCxnSpPr>
        <xdr:cNvPr id="56" name="23 Conector recto de flecha">
          <a:extLst>
            <a:ext uri="{FF2B5EF4-FFF2-40B4-BE49-F238E27FC236}">
              <a16:creationId xmlns:a16="http://schemas.microsoft.com/office/drawing/2014/main" id="{00000000-0008-0000-1C00-000038000000}"/>
            </a:ext>
          </a:extLst>
        </xdr:cNvPr>
        <xdr:cNvCxnSpPr/>
      </xdr:nvCxnSpPr>
      <xdr:spPr>
        <a:xfrm>
          <a:off x="3556000" y="2098147"/>
          <a:ext cx="1174750" cy="7936"/>
        </a:xfrm>
        <a:prstGeom prst="straightConnector1">
          <a:avLst/>
        </a:prstGeom>
        <a:ln w="19050" cmpd="sng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825500</xdr:colOff>
      <xdr:row>9</xdr:row>
      <xdr:rowOff>169333</xdr:rowOff>
    </xdr:from>
    <xdr:to>
      <xdr:col>3</xdr:col>
      <xdr:colOff>994834</xdr:colOff>
      <xdr:row>13</xdr:row>
      <xdr:rowOff>105834</xdr:rowOff>
    </xdr:to>
    <xdr:cxnSp macro="">
      <xdr:nvCxnSpPr>
        <xdr:cNvPr id="57" name="4 Conector recto de flecha">
          <a:extLst>
            <a:ext uri="{FF2B5EF4-FFF2-40B4-BE49-F238E27FC236}">
              <a16:creationId xmlns:a16="http://schemas.microsoft.com/office/drawing/2014/main" id="{E1CB067B-C3C8-4179-B3CC-F3DB88967B25}"/>
            </a:ext>
          </a:extLst>
        </xdr:cNvPr>
        <xdr:cNvCxnSpPr/>
      </xdr:nvCxnSpPr>
      <xdr:spPr>
        <a:xfrm flipV="1">
          <a:off x="3513667" y="2137833"/>
          <a:ext cx="1079500" cy="804334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857250</xdr:colOff>
      <xdr:row>12</xdr:row>
      <xdr:rowOff>105833</xdr:rowOff>
    </xdr:from>
    <xdr:to>
      <xdr:col>4</xdr:col>
      <xdr:colOff>0</xdr:colOff>
      <xdr:row>13</xdr:row>
      <xdr:rowOff>52917</xdr:rowOff>
    </xdr:to>
    <xdr:cxnSp macro="">
      <xdr:nvCxnSpPr>
        <xdr:cNvPr id="58" name="4 Conector recto de flecha">
          <a:extLst>
            <a:ext uri="{FF2B5EF4-FFF2-40B4-BE49-F238E27FC236}">
              <a16:creationId xmlns:a16="http://schemas.microsoft.com/office/drawing/2014/main" id="{6AB63AD0-F424-4227-9277-C458B5551C09}"/>
            </a:ext>
          </a:extLst>
        </xdr:cNvPr>
        <xdr:cNvCxnSpPr/>
      </xdr:nvCxnSpPr>
      <xdr:spPr>
        <a:xfrm flipV="1">
          <a:off x="3545417" y="2730500"/>
          <a:ext cx="1090083" cy="158750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878416</xdr:colOff>
      <xdr:row>11</xdr:row>
      <xdr:rowOff>116417</xdr:rowOff>
    </xdr:from>
    <xdr:to>
      <xdr:col>3</xdr:col>
      <xdr:colOff>994834</xdr:colOff>
      <xdr:row>13</xdr:row>
      <xdr:rowOff>63500</xdr:rowOff>
    </xdr:to>
    <xdr:cxnSp macro="">
      <xdr:nvCxnSpPr>
        <xdr:cNvPr id="59" name="4 Conector recto de flecha">
          <a:extLst>
            <a:ext uri="{FF2B5EF4-FFF2-40B4-BE49-F238E27FC236}">
              <a16:creationId xmlns:a16="http://schemas.microsoft.com/office/drawing/2014/main" id="{8CA7525D-128E-42B7-B5D1-7B49B74912DF}"/>
            </a:ext>
          </a:extLst>
        </xdr:cNvPr>
        <xdr:cNvCxnSpPr/>
      </xdr:nvCxnSpPr>
      <xdr:spPr>
        <a:xfrm flipV="1">
          <a:off x="3566583" y="2529417"/>
          <a:ext cx="1026584" cy="370416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825500</xdr:colOff>
      <xdr:row>13</xdr:row>
      <xdr:rowOff>84667</xdr:rowOff>
    </xdr:from>
    <xdr:to>
      <xdr:col>6</xdr:col>
      <xdr:colOff>179917</xdr:colOff>
      <xdr:row>16</xdr:row>
      <xdr:rowOff>74083</xdr:rowOff>
    </xdr:to>
    <xdr:cxnSp macro="">
      <xdr:nvCxnSpPr>
        <xdr:cNvPr id="60" name="4 Conector recto de flecha">
          <a:extLst>
            <a:ext uri="{FF2B5EF4-FFF2-40B4-BE49-F238E27FC236}">
              <a16:creationId xmlns:a16="http://schemas.microsoft.com/office/drawing/2014/main" id="{B704E65A-94F2-46E1-88CB-CF2C24771FF8}"/>
            </a:ext>
          </a:extLst>
        </xdr:cNvPr>
        <xdr:cNvCxnSpPr/>
      </xdr:nvCxnSpPr>
      <xdr:spPr>
        <a:xfrm>
          <a:off x="3513667" y="2921000"/>
          <a:ext cx="3915833" cy="666750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</xdr:row>
      <xdr:rowOff>76200</xdr:rowOff>
    </xdr:from>
    <xdr:to>
      <xdr:col>6</xdr:col>
      <xdr:colOff>209550</xdr:colOff>
      <xdr:row>6</xdr:row>
      <xdr:rowOff>95251</xdr:rowOff>
    </xdr:to>
    <xdr:cxnSp macro="">
      <xdr:nvCxnSpPr>
        <xdr:cNvPr id="11" name="4 Conector recto de flecha">
          <a:extLst>
            <a:ext uri="{FF2B5EF4-FFF2-40B4-BE49-F238E27FC236}">
              <a16:creationId xmlns:a16="http://schemas.microsoft.com/office/drawing/2014/main" id="{00000000-0008-0000-1D00-00000B000000}"/>
            </a:ext>
          </a:extLst>
        </xdr:cNvPr>
        <xdr:cNvCxnSpPr/>
      </xdr:nvCxnSpPr>
      <xdr:spPr>
        <a:xfrm flipV="1">
          <a:off x="3629025" y="914400"/>
          <a:ext cx="3905250" cy="466726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5</xdr:row>
      <xdr:rowOff>114300</xdr:rowOff>
    </xdr:from>
    <xdr:to>
      <xdr:col>6</xdr:col>
      <xdr:colOff>247650</xdr:colOff>
      <xdr:row>6</xdr:row>
      <xdr:rowOff>85725</xdr:rowOff>
    </xdr:to>
    <xdr:cxnSp macro="">
      <xdr:nvCxnSpPr>
        <xdr:cNvPr id="16" name="4 Conector recto de flecha">
          <a:extLst>
            <a:ext uri="{FF2B5EF4-FFF2-40B4-BE49-F238E27FC236}">
              <a16:creationId xmlns:a16="http://schemas.microsoft.com/office/drawing/2014/main" id="{00000000-0008-0000-1D00-000010000000}"/>
            </a:ext>
          </a:extLst>
        </xdr:cNvPr>
        <xdr:cNvCxnSpPr/>
      </xdr:nvCxnSpPr>
      <xdr:spPr>
        <a:xfrm flipV="1">
          <a:off x="3657600" y="1171575"/>
          <a:ext cx="3914775" cy="200025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</xdr:row>
      <xdr:rowOff>123825</xdr:rowOff>
    </xdr:from>
    <xdr:to>
      <xdr:col>6</xdr:col>
      <xdr:colOff>28575</xdr:colOff>
      <xdr:row>11</xdr:row>
      <xdr:rowOff>123825</xdr:rowOff>
    </xdr:to>
    <xdr:cxnSp macro="">
      <xdr:nvCxnSpPr>
        <xdr:cNvPr id="22" name="4 Conector recto de flecha">
          <a:extLst>
            <a:ext uri="{FF2B5EF4-FFF2-40B4-BE49-F238E27FC236}">
              <a16:creationId xmlns:a16="http://schemas.microsoft.com/office/drawing/2014/main" id="{00000000-0008-0000-1D00-000016000000}"/>
            </a:ext>
          </a:extLst>
        </xdr:cNvPr>
        <xdr:cNvCxnSpPr/>
      </xdr:nvCxnSpPr>
      <xdr:spPr>
        <a:xfrm>
          <a:off x="3686175" y="1409700"/>
          <a:ext cx="3667125" cy="1095375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8</xdr:row>
      <xdr:rowOff>85725</xdr:rowOff>
    </xdr:from>
    <xdr:to>
      <xdr:col>6</xdr:col>
      <xdr:colOff>28575</xdr:colOff>
      <xdr:row>8</xdr:row>
      <xdr:rowOff>104775</xdr:rowOff>
    </xdr:to>
    <xdr:cxnSp macro="">
      <xdr:nvCxnSpPr>
        <xdr:cNvPr id="25" name="14 Conector recto de flecha">
          <a:extLst>
            <a:ext uri="{FF2B5EF4-FFF2-40B4-BE49-F238E27FC236}">
              <a16:creationId xmlns:a16="http://schemas.microsoft.com/office/drawing/2014/main" id="{00000000-0008-0000-1D00-000019000000}"/>
            </a:ext>
          </a:extLst>
        </xdr:cNvPr>
        <xdr:cNvCxnSpPr/>
      </xdr:nvCxnSpPr>
      <xdr:spPr>
        <a:xfrm>
          <a:off x="3552825" y="1819275"/>
          <a:ext cx="3800475" cy="19050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876300</xdr:colOff>
      <xdr:row>8</xdr:row>
      <xdr:rowOff>95250</xdr:rowOff>
    </xdr:from>
    <xdr:to>
      <xdr:col>5</xdr:col>
      <xdr:colOff>1485900</xdr:colOff>
      <xdr:row>11</xdr:row>
      <xdr:rowOff>133350</xdr:rowOff>
    </xdr:to>
    <xdr:cxnSp macro="">
      <xdr:nvCxnSpPr>
        <xdr:cNvPr id="28" name="14 Conector recto de flecha">
          <a:extLst>
            <a:ext uri="{FF2B5EF4-FFF2-40B4-BE49-F238E27FC236}">
              <a16:creationId xmlns:a16="http://schemas.microsoft.com/office/drawing/2014/main" id="{00000000-0008-0000-1D00-00001C000000}"/>
            </a:ext>
          </a:extLst>
        </xdr:cNvPr>
        <xdr:cNvCxnSpPr/>
      </xdr:nvCxnSpPr>
      <xdr:spPr>
        <a:xfrm>
          <a:off x="3562350" y="1828800"/>
          <a:ext cx="3733800" cy="685800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8</xdr:row>
      <xdr:rowOff>76200</xdr:rowOff>
    </xdr:from>
    <xdr:to>
      <xdr:col>6</xdr:col>
      <xdr:colOff>142875</xdr:colOff>
      <xdr:row>13</xdr:row>
      <xdr:rowOff>114301</xdr:rowOff>
    </xdr:to>
    <xdr:cxnSp macro="">
      <xdr:nvCxnSpPr>
        <xdr:cNvPr id="32" name="14 Conector recto de flecha">
          <a:extLst>
            <a:ext uri="{FF2B5EF4-FFF2-40B4-BE49-F238E27FC236}">
              <a16:creationId xmlns:a16="http://schemas.microsoft.com/office/drawing/2014/main" id="{00000000-0008-0000-1D00-000020000000}"/>
            </a:ext>
          </a:extLst>
        </xdr:cNvPr>
        <xdr:cNvCxnSpPr/>
      </xdr:nvCxnSpPr>
      <xdr:spPr>
        <a:xfrm>
          <a:off x="3876675" y="1809750"/>
          <a:ext cx="3590925" cy="1114426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8</xdr:row>
      <xdr:rowOff>47625</xdr:rowOff>
    </xdr:from>
    <xdr:to>
      <xdr:col>6</xdr:col>
      <xdr:colOff>19050</xdr:colOff>
      <xdr:row>10</xdr:row>
      <xdr:rowOff>142876</xdr:rowOff>
    </xdr:to>
    <xdr:cxnSp macro="">
      <xdr:nvCxnSpPr>
        <xdr:cNvPr id="35" name="14 Conector recto de flecha">
          <a:extLst>
            <a:ext uri="{FF2B5EF4-FFF2-40B4-BE49-F238E27FC236}">
              <a16:creationId xmlns:a16="http://schemas.microsoft.com/office/drawing/2014/main" id="{00000000-0008-0000-1D00-000023000000}"/>
            </a:ext>
          </a:extLst>
        </xdr:cNvPr>
        <xdr:cNvCxnSpPr/>
      </xdr:nvCxnSpPr>
      <xdr:spPr>
        <a:xfrm>
          <a:off x="3552825" y="1781175"/>
          <a:ext cx="3790950" cy="533401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876300</xdr:colOff>
      <xdr:row>10</xdr:row>
      <xdr:rowOff>95250</xdr:rowOff>
    </xdr:from>
    <xdr:to>
      <xdr:col>6</xdr:col>
      <xdr:colOff>295275</xdr:colOff>
      <xdr:row>12</xdr:row>
      <xdr:rowOff>114301</xdr:rowOff>
    </xdr:to>
    <xdr:cxnSp macro="">
      <xdr:nvCxnSpPr>
        <xdr:cNvPr id="38" name="23 Conector recto de flecha">
          <a:extLst>
            <a:ext uri="{FF2B5EF4-FFF2-40B4-BE49-F238E27FC236}">
              <a16:creationId xmlns:a16="http://schemas.microsoft.com/office/drawing/2014/main" id="{00000000-0008-0000-1D00-000026000000}"/>
            </a:ext>
          </a:extLst>
        </xdr:cNvPr>
        <xdr:cNvCxnSpPr/>
      </xdr:nvCxnSpPr>
      <xdr:spPr>
        <a:xfrm flipV="1">
          <a:off x="3562350" y="2266950"/>
          <a:ext cx="4057650" cy="438151"/>
        </a:xfrm>
        <a:prstGeom prst="straightConnector1">
          <a:avLst/>
        </a:prstGeom>
        <a:ln w="19050" cmpd="sng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838200</xdr:colOff>
      <xdr:row>10</xdr:row>
      <xdr:rowOff>200025</xdr:rowOff>
    </xdr:from>
    <xdr:to>
      <xdr:col>6</xdr:col>
      <xdr:colOff>228600</xdr:colOff>
      <xdr:row>15</xdr:row>
      <xdr:rowOff>76201</xdr:rowOff>
    </xdr:to>
    <xdr:cxnSp macro="">
      <xdr:nvCxnSpPr>
        <xdr:cNvPr id="42" name="23 Conector recto de flecha">
          <a:extLst>
            <a:ext uri="{FF2B5EF4-FFF2-40B4-BE49-F238E27FC236}">
              <a16:creationId xmlns:a16="http://schemas.microsoft.com/office/drawing/2014/main" id="{00000000-0008-0000-1D00-00002A000000}"/>
            </a:ext>
          </a:extLst>
        </xdr:cNvPr>
        <xdr:cNvCxnSpPr/>
      </xdr:nvCxnSpPr>
      <xdr:spPr>
        <a:xfrm flipV="1">
          <a:off x="3524250" y="2371725"/>
          <a:ext cx="4029075" cy="962026"/>
        </a:xfrm>
        <a:prstGeom prst="straightConnector1">
          <a:avLst/>
        </a:prstGeom>
        <a:ln w="19050" cmpd="sng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899583</xdr:colOff>
      <xdr:row>22</xdr:row>
      <xdr:rowOff>42333</xdr:rowOff>
    </xdr:from>
    <xdr:to>
      <xdr:col>5</xdr:col>
      <xdr:colOff>1386417</xdr:colOff>
      <xdr:row>24</xdr:row>
      <xdr:rowOff>52918</xdr:rowOff>
    </xdr:to>
    <xdr:cxnSp macro="">
      <xdr:nvCxnSpPr>
        <xdr:cNvPr id="20" name="4 Conector recto de flecha">
          <a:extLst>
            <a:ext uri="{FF2B5EF4-FFF2-40B4-BE49-F238E27FC236}">
              <a16:creationId xmlns:a16="http://schemas.microsoft.com/office/drawing/2014/main" id="{7710DD0F-08C4-4992-8A77-54C9AE4E157B}"/>
            </a:ext>
          </a:extLst>
        </xdr:cNvPr>
        <xdr:cNvCxnSpPr/>
      </xdr:nvCxnSpPr>
      <xdr:spPr>
        <a:xfrm flipV="1">
          <a:off x="3587750" y="4857750"/>
          <a:ext cx="3608917" cy="465668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740833</xdr:colOff>
      <xdr:row>23</xdr:row>
      <xdr:rowOff>127000</xdr:rowOff>
    </xdr:from>
    <xdr:to>
      <xdr:col>5</xdr:col>
      <xdr:colOff>1407583</xdr:colOff>
      <xdr:row>24</xdr:row>
      <xdr:rowOff>169333</xdr:rowOff>
    </xdr:to>
    <xdr:cxnSp macro="">
      <xdr:nvCxnSpPr>
        <xdr:cNvPr id="21" name="4 Conector recto de flecha">
          <a:extLst>
            <a:ext uri="{FF2B5EF4-FFF2-40B4-BE49-F238E27FC236}">
              <a16:creationId xmlns:a16="http://schemas.microsoft.com/office/drawing/2014/main" id="{42199CB0-773F-4E91-B381-81C587E00211}"/>
            </a:ext>
          </a:extLst>
        </xdr:cNvPr>
        <xdr:cNvCxnSpPr/>
      </xdr:nvCxnSpPr>
      <xdr:spPr>
        <a:xfrm flipV="1">
          <a:off x="3429000" y="5164667"/>
          <a:ext cx="3788833" cy="275166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793750</xdr:colOff>
      <xdr:row>24</xdr:row>
      <xdr:rowOff>169333</xdr:rowOff>
    </xdr:from>
    <xdr:to>
      <xdr:col>5</xdr:col>
      <xdr:colOff>783167</xdr:colOff>
      <xdr:row>29</xdr:row>
      <xdr:rowOff>116417</xdr:rowOff>
    </xdr:to>
    <xdr:cxnSp macro="">
      <xdr:nvCxnSpPr>
        <xdr:cNvPr id="24" name="4 Conector recto de flecha">
          <a:extLst>
            <a:ext uri="{FF2B5EF4-FFF2-40B4-BE49-F238E27FC236}">
              <a16:creationId xmlns:a16="http://schemas.microsoft.com/office/drawing/2014/main" id="{39C3F9AD-C85E-4965-80AF-33C111E888AE}"/>
            </a:ext>
          </a:extLst>
        </xdr:cNvPr>
        <xdr:cNvCxnSpPr/>
      </xdr:nvCxnSpPr>
      <xdr:spPr>
        <a:xfrm>
          <a:off x="3481917" y="5439833"/>
          <a:ext cx="3111500" cy="1058334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804332</xdr:colOff>
      <xdr:row>26</xdr:row>
      <xdr:rowOff>52917</xdr:rowOff>
    </xdr:from>
    <xdr:to>
      <xdr:col>5</xdr:col>
      <xdr:colOff>857250</xdr:colOff>
      <xdr:row>26</xdr:row>
      <xdr:rowOff>84667</xdr:rowOff>
    </xdr:to>
    <xdr:cxnSp macro="">
      <xdr:nvCxnSpPr>
        <xdr:cNvPr id="33" name="14 Conector recto de flecha">
          <a:extLst>
            <a:ext uri="{FF2B5EF4-FFF2-40B4-BE49-F238E27FC236}">
              <a16:creationId xmlns:a16="http://schemas.microsoft.com/office/drawing/2014/main" id="{12D3C9DC-F7C0-4A0F-8D50-FF4156E14131}"/>
            </a:ext>
          </a:extLst>
        </xdr:cNvPr>
        <xdr:cNvCxnSpPr/>
      </xdr:nvCxnSpPr>
      <xdr:spPr>
        <a:xfrm>
          <a:off x="3492499" y="5778500"/>
          <a:ext cx="3175001" cy="31750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740833</xdr:colOff>
      <xdr:row>26</xdr:row>
      <xdr:rowOff>116417</xdr:rowOff>
    </xdr:from>
    <xdr:to>
      <xdr:col>6</xdr:col>
      <xdr:colOff>21166</xdr:colOff>
      <xdr:row>30</xdr:row>
      <xdr:rowOff>158751</xdr:rowOff>
    </xdr:to>
    <xdr:cxnSp macro="">
      <xdr:nvCxnSpPr>
        <xdr:cNvPr id="34" name="14 Conector recto de flecha">
          <a:extLst>
            <a:ext uri="{FF2B5EF4-FFF2-40B4-BE49-F238E27FC236}">
              <a16:creationId xmlns:a16="http://schemas.microsoft.com/office/drawing/2014/main" id="{536F26C6-D5C9-4C3C-A404-5C6C536E271F}"/>
            </a:ext>
          </a:extLst>
        </xdr:cNvPr>
        <xdr:cNvCxnSpPr/>
      </xdr:nvCxnSpPr>
      <xdr:spPr>
        <a:xfrm flipV="1">
          <a:off x="3429000" y="5842000"/>
          <a:ext cx="3915833" cy="910168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698500</xdr:colOff>
      <xdr:row>28</xdr:row>
      <xdr:rowOff>95250</xdr:rowOff>
    </xdr:from>
    <xdr:to>
      <xdr:col>4</xdr:col>
      <xdr:colOff>338667</xdr:colOff>
      <xdr:row>30</xdr:row>
      <xdr:rowOff>95251</xdr:rowOff>
    </xdr:to>
    <xdr:cxnSp macro="">
      <xdr:nvCxnSpPr>
        <xdr:cNvPr id="40" name="23 Conector recto de flecha">
          <a:extLst>
            <a:ext uri="{FF2B5EF4-FFF2-40B4-BE49-F238E27FC236}">
              <a16:creationId xmlns:a16="http://schemas.microsoft.com/office/drawing/2014/main" id="{EC514093-95AE-4399-9339-7079067E54B7}"/>
            </a:ext>
          </a:extLst>
        </xdr:cNvPr>
        <xdr:cNvCxnSpPr/>
      </xdr:nvCxnSpPr>
      <xdr:spPr>
        <a:xfrm flipV="1">
          <a:off x="3386667" y="6265333"/>
          <a:ext cx="1587500" cy="423335"/>
        </a:xfrm>
        <a:prstGeom prst="straightConnector1">
          <a:avLst/>
        </a:prstGeom>
        <a:ln w="19050" cmpd="sng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29</xdr:row>
      <xdr:rowOff>148167</xdr:rowOff>
    </xdr:from>
    <xdr:to>
      <xdr:col>4</xdr:col>
      <xdr:colOff>317500</xdr:colOff>
      <xdr:row>30</xdr:row>
      <xdr:rowOff>116416</xdr:rowOff>
    </xdr:to>
    <xdr:cxnSp macro="">
      <xdr:nvCxnSpPr>
        <xdr:cNvPr id="41" name="23 Conector recto de flecha">
          <a:extLst>
            <a:ext uri="{FF2B5EF4-FFF2-40B4-BE49-F238E27FC236}">
              <a16:creationId xmlns:a16="http://schemas.microsoft.com/office/drawing/2014/main" id="{DA0C363B-9832-485E-BEC9-357C6AABE0EB}"/>
            </a:ext>
          </a:extLst>
        </xdr:cNvPr>
        <xdr:cNvCxnSpPr/>
      </xdr:nvCxnSpPr>
      <xdr:spPr>
        <a:xfrm flipV="1">
          <a:off x="3259667" y="6529917"/>
          <a:ext cx="1693333" cy="179916"/>
        </a:xfrm>
        <a:prstGeom prst="straightConnector1">
          <a:avLst/>
        </a:prstGeom>
        <a:ln w="19050" cmpd="sng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783166</xdr:colOff>
      <xdr:row>30</xdr:row>
      <xdr:rowOff>137583</xdr:rowOff>
    </xdr:from>
    <xdr:to>
      <xdr:col>6</xdr:col>
      <xdr:colOff>127000</xdr:colOff>
      <xdr:row>33</xdr:row>
      <xdr:rowOff>116417</xdr:rowOff>
    </xdr:to>
    <xdr:cxnSp macro="">
      <xdr:nvCxnSpPr>
        <xdr:cNvPr id="43" name="23 Conector recto de flecha">
          <a:extLst>
            <a:ext uri="{FF2B5EF4-FFF2-40B4-BE49-F238E27FC236}">
              <a16:creationId xmlns:a16="http://schemas.microsoft.com/office/drawing/2014/main" id="{B5F3821A-6785-4C99-A144-096240CECDEB}"/>
            </a:ext>
          </a:extLst>
        </xdr:cNvPr>
        <xdr:cNvCxnSpPr/>
      </xdr:nvCxnSpPr>
      <xdr:spPr>
        <a:xfrm>
          <a:off x="3471333" y="6731000"/>
          <a:ext cx="3979334" cy="656167"/>
        </a:xfrm>
        <a:prstGeom prst="straightConnector1">
          <a:avLst/>
        </a:prstGeom>
        <a:ln w="19050" cmpd="sng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30</xdr:row>
      <xdr:rowOff>10583</xdr:rowOff>
    </xdr:from>
    <xdr:to>
      <xdr:col>6</xdr:col>
      <xdr:colOff>306916</xdr:colOff>
      <xdr:row>31</xdr:row>
      <xdr:rowOff>127000</xdr:rowOff>
    </xdr:to>
    <xdr:cxnSp macro="">
      <xdr:nvCxnSpPr>
        <xdr:cNvPr id="44" name="23 Conector recto de flecha">
          <a:extLst>
            <a:ext uri="{FF2B5EF4-FFF2-40B4-BE49-F238E27FC236}">
              <a16:creationId xmlns:a16="http://schemas.microsoft.com/office/drawing/2014/main" id="{BAD4F31D-EBD0-4B7D-956D-4D0C77AE5F0F}"/>
            </a:ext>
          </a:extLst>
        </xdr:cNvPr>
        <xdr:cNvCxnSpPr/>
      </xdr:nvCxnSpPr>
      <xdr:spPr>
        <a:xfrm>
          <a:off x="3354917" y="6604000"/>
          <a:ext cx="4275666" cy="338667"/>
        </a:xfrm>
        <a:prstGeom prst="straightConnector1">
          <a:avLst/>
        </a:prstGeom>
        <a:ln w="19050" cmpd="sng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colas Gonzalez Jaramillo" id="{B57F1CA1-CE13-4214-9891-8C17A786027A}" userId="Nicolas Gonzalez Jaramill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2-10-08T01:56:19.03" personId="{B57F1CA1-CE13-4214-9891-8C17A786027A}" id="{F3972EFD-E394-4A94-BC6D-2CA497D817CB}">
    <text>Las acciones que estoy autorizado a emitir que se definen cuando se constituye la sociedad.</text>
  </threadedComment>
  <threadedComment ref="E5" dT="2022-10-08T01:55:36.53" personId="{B57F1CA1-CE13-4214-9891-8C17A786027A}" id="{89812004-F8B6-4D6D-BF38-10405F35CD16}">
    <text>Este es al K Suscrito y Pagado expresado en valores NOMINALES</text>
  </threadedComment>
  <threadedComment ref="E8" dT="2022-10-08T02:03:26.95" personId="{B57F1CA1-CE13-4214-9891-8C17A786027A}" id="{87FD2BFB-EB13-4347-B643-B07ACFC7AB16}">
    <text>NO se tiene en cuenta como utilidades. Sino como un mayor valor aportado por los accionistas.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73" dT="2022-10-08T14:31:24.69" personId="{B57F1CA1-CE13-4214-9891-8C17A786027A}" id="{2636BED2-5386-4A84-BEC1-1137A6D26B47}">
    <text>No es una utilidad. Es un mayor valor aportados por los accionistas para entrar a gozar de los beneficios económicos de la entidad o la empresa.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00AF-38F6-4162-BAFE-B53F0122DD55}">
  <dimension ref="B2:E8"/>
  <sheetViews>
    <sheetView zoomScaleNormal="100" workbookViewId="0">
      <selection activeCell="C26" sqref="C26"/>
    </sheetView>
  </sheetViews>
  <sheetFormatPr baseColWidth="10" defaultRowHeight="14.4" x14ac:dyDescent="0.3"/>
  <cols>
    <col min="1" max="1" width="11.5546875" style="917"/>
    <col min="2" max="2" width="16.77734375" style="917" bestFit="1" customWidth="1"/>
    <col min="3" max="3" width="16.44140625" style="917" bestFit="1" customWidth="1"/>
    <col min="4" max="4" width="11.6640625" style="917" bestFit="1" customWidth="1"/>
    <col min="5" max="5" width="19" style="915" bestFit="1" customWidth="1"/>
    <col min="6" max="16384" width="11.5546875" style="917"/>
  </cols>
  <sheetData>
    <row r="2" spans="2:5" x14ac:dyDescent="0.3">
      <c r="B2" s="917" t="s">
        <v>1125</v>
      </c>
    </row>
    <row r="3" spans="2:5" x14ac:dyDescent="0.3">
      <c r="B3" s="917" t="s">
        <v>1126</v>
      </c>
      <c r="C3" s="918">
        <v>600000000</v>
      </c>
      <c r="D3" s="918">
        <v>49</v>
      </c>
      <c r="E3" s="915">
        <f>C3*D3</f>
        <v>29400000000</v>
      </c>
    </row>
    <row r="4" spans="2:5" x14ac:dyDescent="0.3">
      <c r="B4" s="919" t="s">
        <v>1127</v>
      </c>
      <c r="C4" s="919">
        <f>C3-C5</f>
        <v>211971767</v>
      </c>
      <c r="D4" s="920">
        <v>49</v>
      </c>
      <c r="E4" s="916">
        <f t="shared" ref="E4:E5" si="0">C4*D4</f>
        <v>10386616583</v>
      </c>
    </row>
    <row r="5" spans="2:5" ht="15" thickBot="1" x14ac:dyDescent="0.35">
      <c r="B5" s="921" t="s">
        <v>1128</v>
      </c>
      <c r="C5" s="922">
        <v>388028233</v>
      </c>
      <c r="D5" s="922">
        <v>49</v>
      </c>
      <c r="E5" s="923">
        <f t="shared" si="0"/>
        <v>19013383417</v>
      </c>
    </row>
    <row r="7" spans="2:5" x14ac:dyDescent="0.3">
      <c r="B7" s="917" t="s">
        <v>1129</v>
      </c>
    </row>
    <row r="8" spans="2:5" x14ac:dyDescent="0.3">
      <c r="B8" s="917" t="s">
        <v>1130</v>
      </c>
      <c r="C8" s="917">
        <v>1</v>
      </c>
      <c r="D8" s="917">
        <f>100-D3</f>
        <v>51</v>
      </c>
      <c r="E8" s="915">
        <f>D8*C8</f>
        <v>51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43"/>
  <sheetViews>
    <sheetView zoomScale="80" zoomScaleNormal="80" workbookViewId="0">
      <selection activeCell="D7" sqref="D7"/>
    </sheetView>
  </sheetViews>
  <sheetFormatPr baseColWidth="10" defaultColWidth="11.44140625" defaultRowHeight="14.4" x14ac:dyDescent="0.3"/>
  <cols>
    <col min="1" max="1" width="13.109375" bestFit="1" customWidth="1"/>
    <col min="2" max="2" width="26.5546875" customWidth="1"/>
    <col min="3" max="3" width="28.109375" customWidth="1"/>
    <col min="4" max="4" width="30.88671875" bestFit="1" customWidth="1"/>
    <col min="5" max="6" width="27.44140625" bestFit="1" customWidth="1"/>
    <col min="7" max="7" width="38.44140625" bestFit="1" customWidth="1"/>
    <col min="8" max="8" width="30.88671875" bestFit="1" customWidth="1"/>
    <col min="9" max="9" width="17.44140625" bestFit="1" customWidth="1"/>
    <col min="11" max="11" width="18.33203125" customWidth="1"/>
    <col min="12" max="12" width="23.88671875" bestFit="1" customWidth="1"/>
    <col min="13" max="13" width="27.88671875" bestFit="1" customWidth="1"/>
    <col min="14" max="14" width="18.109375" bestFit="1" customWidth="1"/>
    <col min="15" max="15" width="17.44140625" bestFit="1" customWidth="1"/>
  </cols>
  <sheetData>
    <row r="1" spans="1:11" ht="23.4" x14ac:dyDescent="0.45">
      <c r="B1" s="792" t="s">
        <v>390</v>
      </c>
      <c r="C1" s="792"/>
      <c r="D1" s="792"/>
      <c r="E1" s="792"/>
      <c r="F1" s="792"/>
      <c r="G1" s="792"/>
      <c r="H1" s="792"/>
    </row>
    <row r="3" spans="1:11" x14ac:dyDescent="0.3">
      <c r="B3" s="1" t="s">
        <v>391</v>
      </c>
      <c r="E3" s="56" t="s">
        <v>392</v>
      </c>
    </row>
    <row r="4" spans="1:11" x14ac:dyDescent="0.3">
      <c r="B4" s="1" t="s">
        <v>393</v>
      </c>
      <c r="E4" s="56" t="s">
        <v>394</v>
      </c>
    </row>
    <row r="5" spans="1:11" x14ac:dyDescent="0.3">
      <c r="B5" s="1" t="s">
        <v>395</v>
      </c>
      <c r="E5" s="42">
        <v>80000000</v>
      </c>
    </row>
    <row r="6" spans="1:11" x14ac:dyDescent="0.3">
      <c r="B6" s="1" t="s">
        <v>396</v>
      </c>
      <c r="E6" s="56">
        <v>8</v>
      </c>
    </row>
    <row r="7" spans="1:11" x14ac:dyDescent="0.3">
      <c r="B7" s="1" t="s">
        <v>397</v>
      </c>
      <c r="E7" s="43">
        <v>0.1</v>
      </c>
      <c r="F7" t="s">
        <v>398</v>
      </c>
    </row>
    <row r="8" spans="1:11" x14ac:dyDescent="0.3">
      <c r="B8" s="1" t="s">
        <v>399</v>
      </c>
      <c r="E8" s="56" t="s">
        <v>400</v>
      </c>
    </row>
    <row r="10" spans="1:11" ht="15.6" x14ac:dyDescent="0.3">
      <c r="A10" s="3" t="s">
        <v>142</v>
      </c>
      <c r="B10" s="790" t="s">
        <v>401</v>
      </c>
      <c r="C10" s="790"/>
      <c r="D10" s="790"/>
      <c r="E10" s="790"/>
      <c r="F10" s="790"/>
      <c r="G10" s="790"/>
    </row>
    <row r="11" spans="1:11" x14ac:dyDescent="0.3">
      <c r="B11" s="4" t="s">
        <v>402</v>
      </c>
      <c r="C11" s="4" t="s">
        <v>403</v>
      </c>
      <c r="D11" s="4" t="s">
        <v>404</v>
      </c>
      <c r="E11" s="4" t="s">
        <v>405</v>
      </c>
      <c r="F11" s="4" t="s">
        <v>406</v>
      </c>
      <c r="G11" s="4" t="s">
        <v>407</v>
      </c>
      <c r="J11" s="5" t="s">
        <v>408</v>
      </c>
      <c r="K11" s="5" t="s">
        <v>409</v>
      </c>
    </row>
    <row r="12" spans="1:11" x14ac:dyDescent="0.3">
      <c r="B12" s="6">
        <v>0</v>
      </c>
      <c r="C12" s="7">
        <f t="shared" ref="C12:C20" si="0">$E$5</f>
        <v>80000000</v>
      </c>
      <c r="D12" s="7">
        <v>0</v>
      </c>
      <c r="E12" s="7">
        <v>0</v>
      </c>
      <c r="F12" s="7">
        <f>C12-E12</f>
        <v>80000000</v>
      </c>
      <c r="G12" s="7">
        <f t="shared" ref="G12:G20" si="1">C12*$E$7</f>
        <v>8000000</v>
      </c>
      <c r="J12" s="8">
        <v>0</v>
      </c>
      <c r="K12" s="9">
        <f>$E$5</f>
        <v>80000000</v>
      </c>
    </row>
    <row r="13" spans="1:11" x14ac:dyDescent="0.3">
      <c r="B13" s="6">
        <v>1</v>
      </c>
      <c r="C13" s="7">
        <f t="shared" si="0"/>
        <v>80000000</v>
      </c>
      <c r="D13" s="7">
        <f t="shared" ref="D13:D20" si="2">(C13-G13)/$E$6</f>
        <v>9000000</v>
      </c>
      <c r="E13" s="7">
        <f>E12+D13</f>
        <v>9000000</v>
      </c>
      <c r="F13" s="7">
        <f>C13-E13</f>
        <v>71000000</v>
      </c>
      <c r="G13" s="7">
        <f t="shared" si="1"/>
        <v>8000000</v>
      </c>
      <c r="J13" s="8">
        <v>1</v>
      </c>
      <c r="K13" s="9">
        <f t="shared" ref="K13:K20" si="3">K12-SLN($E$5,$E$5*$E$7,$E$6)</f>
        <v>71000000</v>
      </c>
    </row>
    <row r="14" spans="1:11" x14ac:dyDescent="0.3">
      <c r="B14" s="6">
        <v>2</v>
      </c>
      <c r="C14" s="7">
        <f t="shared" si="0"/>
        <v>80000000</v>
      </c>
      <c r="D14" s="7">
        <f t="shared" si="2"/>
        <v>9000000</v>
      </c>
      <c r="E14" s="7">
        <f t="shared" ref="E14:E20" si="4">E13+D14</f>
        <v>18000000</v>
      </c>
      <c r="F14" s="7">
        <f t="shared" ref="F14:F20" si="5">C14-E14</f>
        <v>62000000</v>
      </c>
      <c r="G14" s="7">
        <f t="shared" si="1"/>
        <v>8000000</v>
      </c>
      <c r="J14" s="8">
        <v>2</v>
      </c>
      <c r="K14" s="9">
        <f t="shared" si="3"/>
        <v>62000000</v>
      </c>
    </row>
    <row r="15" spans="1:11" x14ac:dyDescent="0.3">
      <c r="B15" s="6">
        <v>3</v>
      </c>
      <c r="C15" s="7">
        <f t="shared" si="0"/>
        <v>80000000</v>
      </c>
      <c r="D15" s="7">
        <f t="shared" si="2"/>
        <v>9000000</v>
      </c>
      <c r="E15" s="7">
        <f t="shared" si="4"/>
        <v>27000000</v>
      </c>
      <c r="F15" s="7">
        <f t="shared" si="5"/>
        <v>53000000</v>
      </c>
      <c r="G15" s="7">
        <f t="shared" si="1"/>
        <v>8000000</v>
      </c>
      <c r="J15" s="8">
        <v>3</v>
      </c>
      <c r="K15" s="9">
        <f t="shared" si="3"/>
        <v>53000000</v>
      </c>
    </row>
    <row r="16" spans="1:11" x14ac:dyDescent="0.3">
      <c r="B16" s="6">
        <v>4</v>
      </c>
      <c r="C16" s="7">
        <f t="shared" si="0"/>
        <v>80000000</v>
      </c>
      <c r="D16" s="7">
        <f t="shared" si="2"/>
        <v>9000000</v>
      </c>
      <c r="E16" s="7">
        <f t="shared" si="4"/>
        <v>36000000</v>
      </c>
      <c r="F16" s="7">
        <f t="shared" si="5"/>
        <v>44000000</v>
      </c>
      <c r="G16" s="7">
        <f t="shared" si="1"/>
        <v>8000000</v>
      </c>
      <c r="J16" s="8">
        <v>4</v>
      </c>
      <c r="K16" s="9">
        <f t="shared" si="3"/>
        <v>44000000</v>
      </c>
    </row>
    <row r="17" spans="1:11" x14ac:dyDescent="0.3">
      <c r="B17" s="6">
        <v>5</v>
      </c>
      <c r="C17" s="7">
        <f t="shared" si="0"/>
        <v>80000000</v>
      </c>
      <c r="D17" s="7">
        <f t="shared" si="2"/>
        <v>9000000</v>
      </c>
      <c r="E17" s="7">
        <f t="shared" si="4"/>
        <v>45000000</v>
      </c>
      <c r="F17" s="7">
        <f t="shared" si="5"/>
        <v>35000000</v>
      </c>
      <c r="G17" s="7">
        <f t="shared" si="1"/>
        <v>8000000</v>
      </c>
      <c r="J17" s="8">
        <v>5</v>
      </c>
      <c r="K17" s="9">
        <f t="shared" si="3"/>
        <v>35000000</v>
      </c>
    </row>
    <row r="18" spans="1:11" x14ac:dyDescent="0.3">
      <c r="B18" s="6">
        <v>6</v>
      </c>
      <c r="C18" s="7">
        <f t="shared" si="0"/>
        <v>80000000</v>
      </c>
      <c r="D18" s="7">
        <f t="shared" si="2"/>
        <v>9000000</v>
      </c>
      <c r="E18" s="7">
        <f t="shared" si="4"/>
        <v>54000000</v>
      </c>
      <c r="F18" s="7">
        <f t="shared" si="5"/>
        <v>26000000</v>
      </c>
      <c r="G18" s="7">
        <f t="shared" si="1"/>
        <v>8000000</v>
      </c>
      <c r="J18" s="8">
        <v>6</v>
      </c>
      <c r="K18" s="9">
        <f t="shared" si="3"/>
        <v>26000000</v>
      </c>
    </row>
    <row r="19" spans="1:11" x14ac:dyDescent="0.3">
      <c r="B19" s="6">
        <v>7</v>
      </c>
      <c r="C19" s="7">
        <f t="shared" si="0"/>
        <v>80000000</v>
      </c>
      <c r="D19" s="7">
        <f t="shared" si="2"/>
        <v>9000000</v>
      </c>
      <c r="E19" s="7">
        <f t="shared" si="4"/>
        <v>63000000</v>
      </c>
      <c r="F19" s="7">
        <f t="shared" si="5"/>
        <v>17000000</v>
      </c>
      <c r="G19" s="7">
        <f t="shared" si="1"/>
        <v>8000000</v>
      </c>
      <c r="J19" s="8">
        <v>7</v>
      </c>
      <c r="K19" s="9">
        <f t="shared" si="3"/>
        <v>17000000</v>
      </c>
    </row>
    <row r="20" spans="1:11" x14ac:dyDescent="0.3">
      <c r="B20" s="6">
        <v>8</v>
      </c>
      <c r="C20" s="7">
        <f t="shared" si="0"/>
        <v>80000000</v>
      </c>
      <c r="D20" s="7">
        <f t="shared" si="2"/>
        <v>9000000</v>
      </c>
      <c r="E20" s="7">
        <f t="shared" si="4"/>
        <v>72000000</v>
      </c>
      <c r="F20" s="7">
        <f t="shared" si="5"/>
        <v>8000000</v>
      </c>
      <c r="G20" s="7">
        <f t="shared" si="1"/>
        <v>8000000</v>
      </c>
      <c r="J20" s="8">
        <v>8</v>
      </c>
      <c r="K20" s="9">
        <f t="shared" si="3"/>
        <v>8000000</v>
      </c>
    </row>
    <row r="21" spans="1:11" x14ac:dyDescent="0.3">
      <c r="B21" s="10"/>
      <c r="C21" s="2"/>
      <c r="D21" s="2"/>
      <c r="E21" s="2"/>
      <c r="F21" s="2"/>
      <c r="G21" s="2"/>
      <c r="K21" s="11"/>
    </row>
    <row r="22" spans="1:11" x14ac:dyDescent="0.3">
      <c r="A22" s="11"/>
    </row>
    <row r="24" spans="1:11" ht="15.6" x14ac:dyDescent="0.3">
      <c r="A24" s="12" t="s">
        <v>169</v>
      </c>
      <c r="B24" s="793" t="s">
        <v>410</v>
      </c>
      <c r="C24" s="793"/>
      <c r="D24" s="793"/>
      <c r="E24" s="793"/>
      <c r="F24" s="793"/>
      <c r="G24" s="793"/>
      <c r="H24" s="793"/>
    </row>
    <row r="25" spans="1:11" x14ac:dyDescent="0.3">
      <c r="B25" s="13" t="s">
        <v>402</v>
      </c>
      <c r="C25" s="13" t="s">
        <v>411</v>
      </c>
      <c r="D25" s="13" t="s">
        <v>403</v>
      </c>
      <c r="E25" s="13" t="s">
        <v>404</v>
      </c>
      <c r="F25" s="13" t="s">
        <v>405</v>
      </c>
      <c r="G25" s="13" t="s">
        <v>406</v>
      </c>
      <c r="H25" s="13" t="s">
        <v>407</v>
      </c>
    </row>
    <row r="26" spans="1:11" x14ac:dyDescent="0.3">
      <c r="B26" s="6">
        <v>0</v>
      </c>
      <c r="C26" s="7">
        <v>0</v>
      </c>
      <c r="D26" s="7">
        <f t="shared" ref="D26:D34" si="6">$E$5</f>
        <v>80000000</v>
      </c>
      <c r="E26" s="7">
        <v>0</v>
      </c>
      <c r="F26" s="14">
        <v>0</v>
      </c>
      <c r="G26" s="7">
        <f>D26-F26</f>
        <v>80000000</v>
      </c>
      <c r="H26" s="7">
        <f t="shared" ref="H26:H34" si="7">D26*$E$7</f>
        <v>8000000</v>
      </c>
    </row>
    <row r="27" spans="1:11" x14ac:dyDescent="0.3">
      <c r="B27" s="6">
        <v>1</v>
      </c>
      <c r="C27" s="7">
        <v>135689</v>
      </c>
      <c r="D27" s="7">
        <f>$E$5</f>
        <v>80000000</v>
      </c>
      <c r="E27" s="7">
        <f>((D27-H27)/$C$35)*C27</f>
        <v>7996686.6032526623</v>
      </c>
      <c r="F27" s="7">
        <f>F26+E27</f>
        <v>7996686.6032526623</v>
      </c>
      <c r="G27" s="7">
        <f t="shared" ref="G27:G34" si="8">D27-F27</f>
        <v>72003313.396747336</v>
      </c>
      <c r="H27" s="7">
        <f t="shared" si="7"/>
        <v>8000000</v>
      </c>
    </row>
    <row r="28" spans="1:11" x14ac:dyDescent="0.3">
      <c r="B28" s="6">
        <v>2</v>
      </c>
      <c r="C28" s="7">
        <v>124875</v>
      </c>
      <c r="D28" s="7">
        <f t="shared" si="6"/>
        <v>80000000</v>
      </c>
      <c r="E28" s="7">
        <f t="shared" ref="E28:E34" si="9">((D28-H28)/$C$35)*C28</f>
        <v>7359375.0383684468</v>
      </c>
      <c r="F28" s="7">
        <f t="shared" ref="F28:F34" si="10">F27+E28</f>
        <v>15356061.641621109</v>
      </c>
      <c r="G28" s="7">
        <f t="shared" si="8"/>
        <v>64643938.358378887</v>
      </c>
      <c r="H28" s="7">
        <f t="shared" si="7"/>
        <v>8000000</v>
      </c>
    </row>
    <row r="29" spans="1:11" x14ac:dyDescent="0.3">
      <c r="B29" s="6">
        <v>3</v>
      </c>
      <c r="C29" s="7">
        <v>165245</v>
      </c>
      <c r="D29" s="7">
        <f t="shared" si="6"/>
        <v>80000000</v>
      </c>
      <c r="E29" s="7">
        <f t="shared" si="9"/>
        <v>9738537.9636852369</v>
      </c>
      <c r="F29" s="7">
        <f t="shared" si="10"/>
        <v>25094599.605306346</v>
      </c>
      <c r="G29" s="7">
        <f t="shared" si="8"/>
        <v>54905400.394693658</v>
      </c>
      <c r="H29" s="7">
        <f t="shared" si="7"/>
        <v>8000000</v>
      </c>
    </row>
    <row r="30" spans="1:11" x14ac:dyDescent="0.3">
      <c r="B30" s="6">
        <v>4</v>
      </c>
      <c r="C30" s="7">
        <v>148256</v>
      </c>
      <c r="D30" s="7">
        <f t="shared" si="6"/>
        <v>80000000</v>
      </c>
      <c r="E30" s="7">
        <f t="shared" si="9"/>
        <v>8737309.3548616823</v>
      </c>
      <c r="F30" s="7">
        <f t="shared" si="10"/>
        <v>33831908.960168026</v>
      </c>
      <c r="G30" s="7">
        <f t="shared" si="8"/>
        <v>46168091.039831974</v>
      </c>
      <c r="H30" s="7">
        <f t="shared" si="7"/>
        <v>8000000</v>
      </c>
    </row>
    <row r="31" spans="1:11" x14ac:dyDescent="0.3">
      <c r="B31" s="6">
        <v>5</v>
      </c>
      <c r="C31" s="7">
        <v>187245</v>
      </c>
      <c r="D31" s="7">
        <f t="shared" si="6"/>
        <v>80000000</v>
      </c>
      <c r="E31" s="7">
        <f t="shared" si="9"/>
        <v>11035084.51699139</v>
      </c>
      <c r="F31" s="7">
        <f t="shared" si="10"/>
        <v>44866993.477159418</v>
      </c>
      <c r="G31" s="7">
        <f t="shared" si="8"/>
        <v>35133006.522840582</v>
      </c>
      <c r="H31" s="7">
        <f t="shared" si="7"/>
        <v>8000000</v>
      </c>
    </row>
    <row r="32" spans="1:11" x14ac:dyDescent="0.3">
      <c r="B32" s="6">
        <v>6</v>
      </c>
      <c r="C32" s="7">
        <v>124789</v>
      </c>
      <c r="D32" s="7">
        <f t="shared" si="6"/>
        <v>80000000</v>
      </c>
      <c r="E32" s="7">
        <f t="shared" si="9"/>
        <v>7354306.7200237047</v>
      </c>
      <c r="F32" s="7">
        <f t="shared" si="10"/>
        <v>52221300.197183125</v>
      </c>
      <c r="G32" s="7">
        <f t="shared" si="8"/>
        <v>27778699.802816875</v>
      </c>
      <c r="H32" s="7">
        <f t="shared" si="7"/>
        <v>8000000</v>
      </c>
    </row>
    <row r="33" spans="1:12" x14ac:dyDescent="0.3">
      <c r="B33" s="6">
        <v>7</v>
      </c>
      <c r="C33" s="7">
        <v>177785</v>
      </c>
      <c r="D33" s="7">
        <f t="shared" si="6"/>
        <v>80000000</v>
      </c>
      <c r="E33" s="7">
        <f t="shared" si="9"/>
        <v>10477569.499069745</v>
      </c>
      <c r="F33" s="7">
        <f t="shared" si="10"/>
        <v>62698869.696252868</v>
      </c>
      <c r="G33" s="7">
        <f t="shared" si="8"/>
        <v>17301130.303747132</v>
      </c>
      <c r="H33" s="7">
        <f t="shared" si="7"/>
        <v>8000000</v>
      </c>
    </row>
    <row r="34" spans="1:12" x14ac:dyDescent="0.3">
      <c r="B34" s="6">
        <v>8</v>
      </c>
      <c r="C34" s="7">
        <v>157823</v>
      </c>
      <c r="D34" s="7">
        <f t="shared" si="6"/>
        <v>80000000</v>
      </c>
      <c r="E34" s="7">
        <f t="shared" si="9"/>
        <v>9301130.3037471343</v>
      </c>
      <c r="F34" s="7">
        <f t="shared" si="10"/>
        <v>72000000</v>
      </c>
      <c r="G34" s="7">
        <f t="shared" si="8"/>
        <v>8000000</v>
      </c>
      <c r="H34" s="7">
        <f t="shared" si="7"/>
        <v>8000000</v>
      </c>
    </row>
    <row r="35" spans="1:12" x14ac:dyDescent="0.3">
      <c r="B35" s="15"/>
      <c r="C35" s="16">
        <f>SUM(C26:C34)</f>
        <v>1221707</v>
      </c>
      <c r="D35" s="15"/>
      <c r="E35" s="15"/>
      <c r="F35" s="15"/>
      <c r="G35" s="15"/>
      <c r="H35" s="15"/>
    </row>
    <row r="36" spans="1:12" x14ac:dyDescent="0.3">
      <c r="C36" s="17"/>
    </row>
    <row r="39" spans="1:12" ht="15.6" x14ac:dyDescent="0.3">
      <c r="A39" s="18" t="s">
        <v>113</v>
      </c>
      <c r="B39" s="794" t="s">
        <v>412</v>
      </c>
      <c r="C39" s="794"/>
      <c r="D39" s="794"/>
      <c r="E39" s="794"/>
      <c r="F39" s="794"/>
      <c r="G39" s="794"/>
      <c r="H39" s="794"/>
    </row>
    <row r="40" spans="1:12" x14ac:dyDescent="0.3">
      <c r="B40" s="19" t="s">
        <v>402</v>
      </c>
      <c r="C40" s="19" t="s">
        <v>403</v>
      </c>
      <c r="D40" s="19" t="s">
        <v>413</v>
      </c>
      <c r="E40" s="19" t="s">
        <v>404</v>
      </c>
      <c r="F40" s="19" t="s">
        <v>405</v>
      </c>
      <c r="G40" s="19" t="s">
        <v>406</v>
      </c>
      <c r="H40" s="19" t="s">
        <v>407</v>
      </c>
      <c r="J40" s="20" t="s">
        <v>408</v>
      </c>
      <c r="K40" s="20" t="s">
        <v>414</v>
      </c>
      <c r="L40" s="21"/>
    </row>
    <row r="41" spans="1:12" x14ac:dyDescent="0.3">
      <c r="B41" s="6">
        <v>0</v>
      </c>
      <c r="C41" s="7">
        <f t="shared" ref="C41:C49" si="11">$E$5</f>
        <v>80000000</v>
      </c>
      <c r="D41" s="22">
        <f t="shared" ref="D41:D49" si="12">2*(1/$E$6)</f>
        <v>0.25</v>
      </c>
      <c r="E41" s="7">
        <v>0</v>
      </c>
      <c r="F41" s="7">
        <v>0</v>
      </c>
      <c r="G41" s="7">
        <f>C41-F41</f>
        <v>80000000</v>
      </c>
      <c r="H41" s="7">
        <f t="shared" ref="H41:H49" si="13">C41*$E$7</f>
        <v>8000000</v>
      </c>
      <c r="J41" s="8">
        <v>0</v>
      </c>
      <c r="K41" s="9">
        <f>$E$5</f>
        <v>80000000</v>
      </c>
      <c r="L41" s="23"/>
    </row>
    <row r="42" spans="1:12" x14ac:dyDescent="0.3">
      <c r="B42" s="6">
        <v>1</v>
      </c>
      <c r="C42" s="7">
        <f t="shared" si="11"/>
        <v>80000000</v>
      </c>
      <c r="D42" s="22">
        <f t="shared" si="12"/>
        <v>0.25</v>
      </c>
      <c r="E42" s="7">
        <f t="shared" ref="E42:E49" si="14">G41*D42</f>
        <v>20000000</v>
      </c>
      <c r="F42" s="7">
        <f>F41+E42</f>
        <v>20000000</v>
      </c>
      <c r="G42" s="7">
        <f t="shared" ref="G42:G49" si="15">C42-F42</f>
        <v>60000000</v>
      </c>
      <c r="H42" s="7">
        <f t="shared" si="13"/>
        <v>8000000</v>
      </c>
      <c r="J42" s="8">
        <v>1</v>
      </c>
      <c r="K42" s="9">
        <f t="shared" ref="K42:K49" si="16">K41-DB($E$5,$E$5*$E$7,$E$6,B72)</f>
        <v>60000000</v>
      </c>
      <c r="L42" s="11"/>
    </row>
    <row r="43" spans="1:12" x14ac:dyDescent="0.3">
      <c r="B43" s="6">
        <v>2</v>
      </c>
      <c r="C43" s="7">
        <f t="shared" si="11"/>
        <v>80000000</v>
      </c>
      <c r="D43" s="22">
        <f t="shared" si="12"/>
        <v>0.25</v>
      </c>
      <c r="E43" s="7">
        <f t="shared" si="14"/>
        <v>15000000</v>
      </c>
      <c r="F43" s="7">
        <f>F42+E43</f>
        <v>35000000</v>
      </c>
      <c r="G43" s="7">
        <f>C43-F43</f>
        <v>45000000</v>
      </c>
      <c r="H43" s="7">
        <f t="shared" si="13"/>
        <v>8000000</v>
      </c>
      <c r="J43" s="8">
        <v>2</v>
      </c>
      <c r="K43" s="9">
        <f t="shared" si="16"/>
        <v>45000000</v>
      </c>
      <c r="L43" s="11"/>
    </row>
    <row r="44" spans="1:12" x14ac:dyDescent="0.3">
      <c r="B44" s="6">
        <v>3</v>
      </c>
      <c r="C44" s="7">
        <f t="shared" si="11"/>
        <v>80000000</v>
      </c>
      <c r="D44" s="22">
        <f t="shared" si="12"/>
        <v>0.25</v>
      </c>
      <c r="E44" s="7">
        <f t="shared" si="14"/>
        <v>11250000</v>
      </c>
      <c r="F44" s="7">
        <f t="shared" ref="F44:F49" si="17">F43+E44</f>
        <v>46250000</v>
      </c>
      <c r="G44" s="7">
        <f>C44-F44</f>
        <v>33750000</v>
      </c>
      <c r="H44" s="7">
        <f t="shared" si="13"/>
        <v>8000000</v>
      </c>
      <c r="J44" s="8">
        <v>3</v>
      </c>
      <c r="K44" s="9">
        <f t="shared" si="16"/>
        <v>33750000</v>
      </c>
      <c r="L44" s="11"/>
    </row>
    <row r="45" spans="1:12" x14ac:dyDescent="0.3">
      <c r="B45" s="6">
        <v>4</v>
      </c>
      <c r="C45" s="7">
        <f t="shared" si="11"/>
        <v>80000000</v>
      </c>
      <c r="D45" s="22">
        <f t="shared" si="12"/>
        <v>0.25</v>
      </c>
      <c r="E45" s="7">
        <f t="shared" si="14"/>
        <v>8437500</v>
      </c>
      <c r="F45" s="7">
        <f t="shared" si="17"/>
        <v>54687500</v>
      </c>
      <c r="G45" s="7">
        <f t="shared" si="15"/>
        <v>25312500</v>
      </c>
      <c r="H45" s="7">
        <f t="shared" si="13"/>
        <v>8000000</v>
      </c>
      <c r="J45" s="8">
        <v>4</v>
      </c>
      <c r="K45" s="9">
        <f t="shared" si="16"/>
        <v>25312500</v>
      </c>
      <c r="L45" s="11"/>
    </row>
    <row r="46" spans="1:12" x14ac:dyDescent="0.3">
      <c r="B46" s="6">
        <v>5</v>
      </c>
      <c r="C46" s="7">
        <f t="shared" si="11"/>
        <v>80000000</v>
      </c>
      <c r="D46" s="22">
        <f t="shared" si="12"/>
        <v>0.25</v>
      </c>
      <c r="E46" s="7">
        <f t="shared" si="14"/>
        <v>6328125</v>
      </c>
      <c r="F46" s="7">
        <f t="shared" si="17"/>
        <v>61015625</v>
      </c>
      <c r="G46" s="7">
        <f t="shared" si="15"/>
        <v>18984375</v>
      </c>
      <c r="H46" s="7">
        <f t="shared" si="13"/>
        <v>8000000</v>
      </c>
      <c r="J46" s="8">
        <v>5</v>
      </c>
      <c r="K46" s="9">
        <f t="shared" si="16"/>
        <v>18984375</v>
      </c>
      <c r="L46" s="11"/>
    </row>
    <row r="47" spans="1:12" x14ac:dyDescent="0.3">
      <c r="B47" s="6">
        <v>6</v>
      </c>
      <c r="C47" s="7">
        <f t="shared" si="11"/>
        <v>80000000</v>
      </c>
      <c r="D47" s="22">
        <f t="shared" si="12"/>
        <v>0.25</v>
      </c>
      <c r="E47" s="7">
        <f t="shared" si="14"/>
        <v>4746093.75</v>
      </c>
      <c r="F47" s="7">
        <f t="shared" si="17"/>
        <v>65761718.75</v>
      </c>
      <c r="G47" s="7">
        <f t="shared" si="15"/>
        <v>14238281.25</v>
      </c>
      <c r="H47" s="7">
        <f t="shared" si="13"/>
        <v>8000000</v>
      </c>
      <c r="J47" s="8">
        <v>6</v>
      </c>
      <c r="K47" s="9">
        <f t="shared" si="16"/>
        <v>14238281.25</v>
      </c>
      <c r="L47" s="11"/>
    </row>
    <row r="48" spans="1:12" x14ac:dyDescent="0.3">
      <c r="B48" s="6">
        <v>7</v>
      </c>
      <c r="C48" s="7">
        <f t="shared" si="11"/>
        <v>80000000</v>
      </c>
      <c r="D48" s="22">
        <f t="shared" si="12"/>
        <v>0.25</v>
      </c>
      <c r="E48" s="7">
        <f t="shared" si="14"/>
        <v>3559570.3125</v>
      </c>
      <c r="F48" s="7">
        <f t="shared" si="17"/>
        <v>69321289.0625</v>
      </c>
      <c r="G48" s="7">
        <f t="shared" si="15"/>
        <v>10678710.9375</v>
      </c>
      <c r="H48" s="7">
        <f t="shared" si="13"/>
        <v>8000000</v>
      </c>
      <c r="J48" s="8">
        <v>7</v>
      </c>
      <c r="K48" s="9">
        <f t="shared" si="16"/>
        <v>10678710.9375</v>
      </c>
      <c r="L48" s="11"/>
    </row>
    <row r="49" spans="1:12" x14ac:dyDescent="0.3">
      <c r="B49" s="6">
        <v>8</v>
      </c>
      <c r="C49" s="7">
        <f t="shared" si="11"/>
        <v>80000000</v>
      </c>
      <c r="D49" s="22">
        <f t="shared" si="12"/>
        <v>0.25</v>
      </c>
      <c r="E49" s="7">
        <f t="shared" si="14"/>
        <v>2669677.734375</v>
      </c>
      <c r="F49" s="7">
        <f t="shared" si="17"/>
        <v>71990966.796875</v>
      </c>
      <c r="G49" s="7">
        <f t="shared" si="15"/>
        <v>8009033.203125</v>
      </c>
      <c r="H49" s="7">
        <f t="shared" si="13"/>
        <v>8000000</v>
      </c>
      <c r="J49" s="8">
        <v>8</v>
      </c>
      <c r="K49" s="9">
        <f t="shared" si="16"/>
        <v>8009033.203125</v>
      </c>
      <c r="L49" s="11"/>
    </row>
    <row r="50" spans="1:12" x14ac:dyDescent="0.3">
      <c r="B50" s="10"/>
      <c r="C50" s="2"/>
      <c r="D50" s="24"/>
      <c r="E50" s="2"/>
      <c r="F50" s="2"/>
      <c r="G50" s="2"/>
      <c r="H50" s="2"/>
      <c r="K50" s="11"/>
      <c r="L50" s="11"/>
    </row>
    <row r="53" spans="1:12" ht="15.6" x14ac:dyDescent="0.3">
      <c r="A53" s="25" t="s">
        <v>115</v>
      </c>
      <c r="B53" s="795" t="s">
        <v>415</v>
      </c>
      <c r="C53" s="796"/>
      <c r="D53" s="796"/>
      <c r="E53" s="796"/>
      <c r="F53" s="796"/>
      <c r="G53" s="796"/>
      <c r="H53" s="796"/>
    </row>
    <row r="54" spans="1:12" x14ac:dyDescent="0.3">
      <c r="B54" s="26" t="s">
        <v>402</v>
      </c>
      <c r="C54" s="26" t="s">
        <v>403</v>
      </c>
      <c r="D54" s="26" t="s">
        <v>413</v>
      </c>
      <c r="E54" s="26" t="s">
        <v>404</v>
      </c>
      <c r="F54" s="26" t="s">
        <v>405</v>
      </c>
      <c r="G54" s="26" t="s">
        <v>406</v>
      </c>
      <c r="H54" s="26" t="s">
        <v>407</v>
      </c>
      <c r="J54" s="27" t="s">
        <v>408</v>
      </c>
      <c r="K54" s="27" t="s">
        <v>416</v>
      </c>
    </row>
    <row r="55" spans="1:12" x14ac:dyDescent="0.3">
      <c r="B55" s="6">
        <v>0</v>
      </c>
      <c r="C55" s="7">
        <f t="shared" ref="C55:C63" si="18">$E$5</f>
        <v>80000000</v>
      </c>
      <c r="D55" s="7">
        <v>0</v>
      </c>
      <c r="E55" s="7">
        <f>(C55-H55)*(B55/SUM($B$55:$B$63))</f>
        <v>0</v>
      </c>
      <c r="F55" s="7">
        <v>0</v>
      </c>
      <c r="G55" s="7">
        <f t="shared" ref="G55:G63" si="19">C55-F55</f>
        <v>80000000</v>
      </c>
      <c r="H55" s="7">
        <f t="shared" ref="H55:H63" si="20">C55*$E$7</f>
        <v>8000000</v>
      </c>
      <c r="J55" s="8">
        <v>0</v>
      </c>
      <c r="K55" s="9">
        <f>$E$5</f>
        <v>80000000</v>
      </c>
    </row>
    <row r="56" spans="1:12" x14ac:dyDescent="0.3">
      <c r="B56" s="6">
        <v>1</v>
      </c>
      <c r="C56" s="7">
        <f t="shared" si="18"/>
        <v>80000000</v>
      </c>
      <c r="D56" s="28">
        <f>B63/SUM($B$55:$B$63)</f>
        <v>0.22222222222222221</v>
      </c>
      <c r="E56" s="7">
        <f>(C56-H56)*D56</f>
        <v>16000000</v>
      </c>
      <c r="F56" s="7">
        <f>F55+E56</f>
        <v>16000000</v>
      </c>
      <c r="G56" s="7">
        <f t="shared" si="19"/>
        <v>64000000</v>
      </c>
      <c r="H56" s="7">
        <f t="shared" si="20"/>
        <v>8000000</v>
      </c>
      <c r="J56" s="8">
        <v>1</v>
      </c>
      <c r="K56" s="9">
        <f t="shared" ref="K56:K63" si="21">K55-SYD($E$5,$E$5*$E$7,$E$6,B27)</f>
        <v>64000000</v>
      </c>
    </row>
    <row r="57" spans="1:12" x14ac:dyDescent="0.3">
      <c r="B57" s="6">
        <v>2</v>
      </c>
      <c r="C57" s="7">
        <f t="shared" si="18"/>
        <v>80000000</v>
      </c>
      <c r="D57" s="28">
        <f>B62/SUM($B$55:$B$63)</f>
        <v>0.19444444444444445</v>
      </c>
      <c r="E57" s="7">
        <f t="shared" ref="E57:E63" si="22">(C57-H57)*D57</f>
        <v>14000000</v>
      </c>
      <c r="F57" s="7">
        <f t="shared" ref="F57:F62" si="23">F56+E57</f>
        <v>30000000</v>
      </c>
      <c r="G57" s="7">
        <f t="shared" si="19"/>
        <v>50000000</v>
      </c>
      <c r="H57" s="7">
        <f t="shared" si="20"/>
        <v>8000000</v>
      </c>
      <c r="J57" s="8">
        <v>2</v>
      </c>
      <c r="K57" s="9">
        <f t="shared" si="21"/>
        <v>50000000</v>
      </c>
    </row>
    <row r="58" spans="1:12" x14ac:dyDescent="0.3">
      <c r="B58" s="6">
        <v>3</v>
      </c>
      <c r="C58" s="7">
        <f t="shared" si="18"/>
        <v>80000000</v>
      </c>
      <c r="D58" s="28">
        <f>B61/SUM($B$55:$B$63)</f>
        <v>0.16666666666666666</v>
      </c>
      <c r="E58" s="7">
        <f t="shared" si="22"/>
        <v>12000000</v>
      </c>
      <c r="F58" s="7">
        <f t="shared" si="23"/>
        <v>42000000</v>
      </c>
      <c r="G58" s="7">
        <f t="shared" si="19"/>
        <v>38000000</v>
      </c>
      <c r="H58" s="7">
        <f t="shared" si="20"/>
        <v>8000000</v>
      </c>
      <c r="J58" s="8">
        <v>3</v>
      </c>
      <c r="K58" s="9">
        <f t="shared" si="21"/>
        <v>38000000</v>
      </c>
    </row>
    <row r="59" spans="1:12" x14ac:dyDescent="0.3">
      <c r="B59" s="6">
        <v>4</v>
      </c>
      <c r="C59" s="7">
        <f t="shared" si="18"/>
        <v>80000000</v>
      </c>
      <c r="D59" s="28">
        <f>B60/SUM($B$55:$B$63)</f>
        <v>0.1388888888888889</v>
      </c>
      <c r="E59" s="7">
        <f t="shared" si="22"/>
        <v>10000000</v>
      </c>
      <c r="F59" s="7">
        <f t="shared" si="23"/>
        <v>52000000</v>
      </c>
      <c r="G59" s="7">
        <f t="shared" si="19"/>
        <v>28000000</v>
      </c>
      <c r="H59" s="7">
        <f t="shared" si="20"/>
        <v>8000000</v>
      </c>
      <c r="J59" s="8">
        <v>4</v>
      </c>
      <c r="K59" s="9">
        <f t="shared" si="21"/>
        <v>28000000</v>
      </c>
    </row>
    <row r="60" spans="1:12" x14ac:dyDescent="0.3">
      <c r="B60" s="6">
        <v>5</v>
      </c>
      <c r="C60" s="7">
        <f t="shared" si="18"/>
        <v>80000000</v>
      </c>
      <c r="D60" s="28">
        <f>B59/SUM($B$55:$B$63)</f>
        <v>0.1111111111111111</v>
      </c>
      <c r="E60" s="7">
        <f t="shared" si="22"/>
        <v>8000000</v>
      </c>
      <c r="F60" s="7">
        <f t="shared" si="23"/>
        <v>60000000</v>
      </c>
      <c r="G60" s="7">
        <f t="shared" si="19"/>
        <v>20000000</v>
      </c>
      <c r="H60" s="7">
        <f t="shared" si="20"/>
        <v>8000000</v>
      </c>
      <c r="J60" s="8">
        <v>5</v>
      </c>
      <c r="K60" s="9">
        <f t="shared" si="21"/>
        <v>20000000</v>
      </c>
    </row>
    <row r="61" spans="1:12" x14ac:dyDescent="0.3">
      <c r="B61" s="6">
        <v>6</v>
      </c>
      <c r="C61" s="7">
        <f t="shared" si="18"/>
        <v>80000000</v>
      </c>
      <c r="D61" s="28">
        <f>B58/SUM($B$55:$B$63)</f>
        <v>8.3333333333333329E-2</v>
      </c>
      <c r="E61" s="7">
        <f t="shared" si="22"/>
        <v>6000000</v>
      </c>
      <c r="F61" s="7">
        <f t="shared" si="23"/>
        <v>66000000</v>
      </c>
      <c r="G61" s="7">
        <f t="shared" si="19"/>
        <v>14000000</v>
      </c>
      <c r="H61" s="7">
        <f t="shared" si="20"/>
        <v>8000000</v>
      </c>
      <c r="J61" s="8">
        <v>6</v>
      </c>
      <c r="K61" s="9">
        <f t="shared" si="21"/>
        <v>14000000</v>
      </c>
    </row>
    <row r="62" spans="1:12" x14ac:dyDescent="0.3">
      <c r="B62" s="6">
        <v>7</v>
      </c>
      <c r="C62" s="7">
        <f t="shared" si="18"/>
        <v>80000000</v>
      </c>
      <c r="D62" s="28">
        <f>B57/SUM($B$55:$B$63)</f>
        <v>5.5555555555555552E-2</v>
      </c>
      <c r="E62" s="7">
        <f t="shared" si="22"/>
        <v>4000000</v>
      </c>
      <c r="F62" s="7">
        <f t="shared" si="23"/>
        <v>70000000</v>
      </c>
      <c r="G62" s="7">
        <f t="shared" si="19"/>
        <v>10000000</v>
      </c>
      <c r="H62" s="7">
        <f t="shared" si="20"/>
        <v>8000000</v>
      </c>
      <c r="J62" s="8">
        <v>7</v>
      </c>
      <c r="K62" s="9">
        <f t="shared" si="21"/>
        <v>10000000</v>
      </c>
    </row>
    <row r="63" spans="1:12" x14ac:dyDescent="0.3">
      <c r="B63" s="6">
        <v>8</v>
      </c>
      <c r="C63" s="7">
        <f t="shared" si="18"/>
        <v>80000000</v>
      </c>
      <c r="D63" s="28">
        <f>B56/SUM($B$55:$B$63)</f>
        <v>2.7777777777777776E-2</v>
      </c>
      <c r="E63" s="7">
        <f t="shared" si="22"/>
        <v>2000000</v>
      </c>
      <c r="F63" s="7">
        <f>F62+E63</f>
        <v>72000000</v>
      </c>
      <c r="G63" s="7">
        <f t="shared" si="19"/>
        <v>8000000</v>
      </c>
      <c r="H63" s="7">
        <f t="shared" si="20"/>
        <v>8000000</v>
      </c>
      <c r="J63" s="8">
        <v>8</v>
      </c>
      <c r="K63" s="9">
        <f t="shared" si="21"/>
        <v>8000000</v>
      </c>
    </row>
    <row r="64" spans="1:12" x14ac:dyDescent="0.3">
      <c r="B64" s="10"/>
      <c r="C64" s="2"/>
      <c r="D64" s="2"/>
      <c r="E64" s="2"/>
      <c r="F64" s="2"/>
      <c r="G64" s="2"/>
      <c r="K64" s="11"/>
    </row>
    <row r="65" spans="1:11" x14ac:dyDescent="0.3">
      <c r="B65" s="10"/>
      <c r="C65" s="2"/>
      <c r="D65" s="2"/>
      <c r="E65" s="2"/>
      <c r="F65" s="2"/>
      <c r="G65" s="2"/>
      <c r="K65" s="11"/>
    </row>
    <row r="67" spans="1:11" ht="15.6" x14ac:dyDescent="0.3">
      <c r="A67" s="29" t="s">
        <v>117</v>
      </c>
      <c r="B67" s="30" t="s">
        <v>413</v>
      </c>
      <c r="C67" s="31">
        <f>1-POWER((G71/C71),(1/E6))</f>
        <v>0.25010579066754413</v>
      </c>
    </row>
    <row r="69" spans="1:11" ht="15.6" x14ac:dyDescent="0.3">
      <c r="B69" s="797" t="s">
        <v>417</v>
      </c>
      <c r="C69" s="797"/>
      <c r="D69" s="797"/>
      <c r="E69" s="797"/>
      <c r="F69" s="797"/>
      <c r="G69" s="797"/>
    </row>
    <row r="70" spans="1:11" x14ac:dyDescent="0.3">
      <c r="B70" s="32" t="s">
        <v>402</v>
      </c>
      <c r="C70" s="32" t="s">
        <v>403</v>
      </c>
      <c r="D70" s="32" t="s">
        <v>404</v>
      </c>
      <c r="E70" s="32" t="s">
        <v>405</v>
      </c>
      <c r="F70" s="32" t="s">
        <v>406</v>
      </c>
      <c r="G70" s="32" t="s">
        <v>407</v>
      </c>
    </row>
    <row r="71" spans="1:11" x14ac:dyDescent="0.3">
      <c r="B71" s="6">
        <v>0</v>
      </c>
      <c r="C71" s="7">
        <f t="shared" ref="C71:C79" si="24">$E$5</f>
        <v>80000000</v>
      </c>
      <c r="D71" s="7">
        <v>0</v>
      </c>
      <c r="E71" s="7">
        <v>0</v>
      </c>
      <c r="F71" s="7">
        <f>C71-E71</f>
        <v>80000000</v>
      </c>
      <c r="G71" s="7">
        <f t="shared" ref="G71:G79" si="25">C71*$E$7</f>
        <v>8000000</v>
      </c>
      <c r="H71" s="33"/>
    </row>
    <row r="72" spans="1:11" x14ac:dyDescent="0.3">
      <c r="B72" s="6">
        <v>1</v>
      </c>
      <c r="C72" s="7">
        <f t="shared" si="24"/>
        <v>80000000</v>
      </c>
      <c r="D72" s="7">
        <f>F71*$C$67</f>
        <v>20008463.25340353</v>
      </c>
      <c r="E72" s="7">
        <f>E71+D72</f>
        <v>20008463.25340353</v>
      </c>
      <c r="F72" s="7">
        <f>C72-E72</f>
        <v>59991536.74659647</v>
      </c>
      <c r="G72" s="7">
        <f t="shared" si="25"/>
        <v>8000000</v>
      </c>
      <c r="H72" s="24"/>
    </row>
    <row r="73" spans="1:11" x14ac:dyDescent="0.3">
      <c r="B73" s="6">
        <v>2</v>
      </c>
      <c r="C73" s="7">
        <f t="shared" si="24"/>
        <v>80000000</v>
      </c>
      <c r="D73" s="7">
        <f t="shared" ref="D73:D79" si="26">F72*$C$67</f>
        <v>15004230.731368538</v>
      </c>
      <c r="E73" s="7">
        <f>E72+D73</f>
        <v>35012693.984772071</v>
      </c>
      <c r="F73" s="7">
        <f>C73-E73</f>
        <v>44987306.015227929</v>
      </c>
      <c r="G73" s="7">
        <f t="shared" si="25"/>
        <v>8000000</v>
      </c>
      <c r="H73" s="24"/>
    </row>
    <row r="74" spans="1:11" x14ac:dyDescent="0.3">
      <c r="B74" s="6">
        <v>3</v>
      </c>
      <c r="C74" s="7">
        <f t="shared" si="24"/>
        <v>80000000</v>
      </c>
      <c r="D74" s="7">
        <f t="shared" si="26"/>
        <v>11251585.740941346</v>
      </c>
      <c r="E74" s="7">
        <f t="shared" ref="E74:E79" si="27">E73+D74</f>
        <v>46264279.725713417</v>
      </c>
      <c r="F74" s="7">
        <f t="shared" ref="F74:F79" si="28">C74-E74</f>
        <v>33735720.274286583</v>
      </c>
      <c r="G74" s="7">
        <f t="shared" si="25"/>
        <v>8000000</v>
      </c>
      <c r="H74" s="24"/>
    </row>
    <row r="75" spans="1:11" x14ac:dyDescent="0.3">
      <c r="B75" s="6">
        <v>4</v>
      </c>
      <c r="C75" s="7">
        <f t="shared" si="24"/>
        <v>80000000</v>
      </c>
      <c r="D75" s="7">
        <f t="shared" si="26"/>
        <v>8437498.9929395448</v>
      </c>
      <c r="E75" s="7">
        <f t="shared" si="27"/>
        <v>54701778.718652964</v>
      </c>
      <c r="F75" s="7">
        <f t="shared" si="28"/>
        <v>25298221.281347036</v>
      </c>
      <c r="G75" s="7">
        <f t="shared" si="25"/>
        <v>8000000</v>
      </c>
      <c r="H75" s="2"/>
    </row>
    <row r="76" spans="1:11" x14ac:dyDescent="0.3">
      <c r="B76" s="6">
        <v>5</v>
      </c>
      <c r="C76" s="7">
        <f t="shared" si="24"/>
        <v>80000000</v>
      </c>
      <c r="D76" s="7">
        <f t="shared" si="26"/>
        <v>6327231.6360537922</v>
      </c>
      <c r="E76" s="7">
        <f t="shared" si="27"/>
        <v>61029010.354706757</v>
      </c>
      <c r="F76" s="7">
        <f t="shared" si="28"/>
        <v>18970989.645293243</v>
      </c>
      <c r="G76" s="7">
        <f t="shared" si="25"/>
        <v>8000000</v>
      </c>
      <c r="H76" s="34"/>
    </row>
    <row r="77" spans="1:11" x14ac:dyDescent="0.3">
      <c r="B77" s="6">
        <v>6</v>
      </c>
      <c r="C77" s="7">
        <f t="shared" si="24"/>
        <v>80000000</v>
      </c>
      <c r="D77" s="7">
        <f t="shared" si="26"/>
        <v>4744754.364981859</v>
      </c>
      <c r="E77" s="7">
        <f t="shared" si="27"/>
        <v>65773764.719688617</v>
      </c>
      <c r="F77" s="7">
        <f t="shared" si="28"/>
        <v>14226235.280311383</v>
      </c>
      <c r="G77" s="7">
        <f t="shared" si="25"/>
        <v>8000000</v>
      </c>
      <c r="H77" s="34"/>
    </row>
    <row r="78" spans="1:11" x14ac:dyDescent="0.3">
      <c r="B78" s="6">
        <v>7</v>
      </c>
      <c r="C78" s="7">
        <f t="shared" si="24"/>
        <v>80000000</v>
      </c>
      <c r="D78" s="7">
        <f t="shared" si="26"/>
        <v>3558063.8230047897</v>
      </c>
      <c r="E78" s="7">
        <f t="shared" si="27"/>
        <v>69331828.542693406</v>
      </c>
      <c r="F78" s="7">
        <f t="shared" si="28"/>
        <v>10668171.457306594</v>
      </c>
      <c r="G78" s="7">
        <f t="shared" si="25"/>
        <v>8000000</v>
      </c>
      <c r="H78" s="2"/>
    </row>
    <row r="79" spans="1:11" x14ac:dyDescent="0.3">
      <c r="B79" s="6">
        <v>8</v>
      </c>
      <c r="C79" s="7">
        <f t="shared" si="24"/>
        <v>80000000</v>
      </c>
      <c r="D79" s="7">
        <f t="shared" si="26"/>
        <v>2668171.4573065923</v>
      </c>
      <c r="E79" s="7">
        <f t="shared" si="27"/>
        <v>72000000</v>
      </c>
      <c r="F79" s="7">
        <f t="shared" si="28"/>
        <v>8000000</v>
      </c>
      <c r="G79" s="7">
        <f t="shared" si="25"/>
        <v>8000000</v>
      </c>
      <c r="H79" s="2"/>
    </row>
    <row r="82" spans="1:7" s="35" customFormat="1" ht="9.75" customHeight="1" x14ac:dyDescent="0.3"/>
    <row r="84" spans="1:7" x14ac:dyDescent="0.3">
      <c r="B84" s="30" t="s">
        <v>418</v>
      </c>
      <c r="C84" s="2">
        <v>40000000</v>
      </c>
    </row>
    <row r="85" spans="1:7" x14ac:dyDescent="0.3">
      <c r="B85" s="30" t="s">
        <v>419</v>
      </c>
      <c r="C85" s="2">
        <f>B96+8</f>
        <v>13</v>
      </c>
    </row>
    <row r="89" spans="1:7" ht="15.6" x14ac:dyDescent="0.3">
      <c r="A89" s="3" t="s">
        <v>420</v>
      </c>
      <c r="B89" s="790" t="s">
        <v>401</v>
      </c>
      <c r="C89" s="790"/>
      <c r="D89" s="790"/>
      <c r="E89" s="790"/>
      <c r="F89" s="790"/>
      <c r="G89" s="790"/>
    </row>
    <row r="90" spans="1:7" x14ac:dyDescent="0.3">
      <c r="B90" s="4" t="s">
        <v>402</v>
      </c>
      <c r="C90" s="4" t="s">
        <v>403</v>
      </c>
      <c r="D90" s="4" t="s">
        <v>404</v>
      </c>
      <c r="E90" s="4" t="s">
        <v>405</v>
      </c>
      <c r="F90" s="4" t="s">
        <v>406</v>
      </c>
      <c r="G90" s="4" t="s">
        <v>407</v>
      </c>
    </row>
    <row r="91" spans="1:7" x14ac:dyDescent="0.3">
      <c r="B91" s="6">
        <v>0</v>
      </c>
      <c r="C91" s="7">
        <f>$E$5</f>
        <v>80000000</v>
      </c>
      <c r="D91" s="7">
        <v>0</v>
      </c>
      <c r="E91" s="7">
        <v>0</v>
      </c>
      <c r="F91" s="7">
        <f>C91-E91</f>
        <v>80000000</v>
      </c>
      <c r="G91" s="7">
        <f t="shared" ref="G91:G96" si="29">$C$91*$E$7</f>
        <v>8000000</v>
      </c>
    </row>
    <row r="92" spans="1:7" x14ac:dyDescent="0.3">
      <c r="B92" s="6">
        <v>1</v>
      </c>
      <c r="C92" s="7">
        <f>$E$5</f>
        <v>80000000</v>
      </c>
      <c r="D92" s="7">
        <f>(C91-G91)/$E$6</f>
        <v>9000000</v>
      </c>
      <c r="E92" s="7">
        <f t="shared" ref="E92:E104" si="30">E91+D92</f>
        <v>9000000</v>
      </c>
      <c r="F92" s="7">
        <f>C92-E92</f>
        <v>71000000</v>
      </c>
      <c r="G92" s="7">
        <f t="shared" si="29"/>
        <v>8000000</v>
      </c>
    </row>
    <row r="93" spans="1:7" x14ac:dyDescent="0.3">
      <c r="B93" s="6">
        <v>2</v>
      </c>
      <c r="C93" s="7">
        <f>$E$5</f>
        <v>80000000</v>
      </c>
      <c r="D93" s="7">
        <f>(C92-G92)/$E$6</f>
        <v>9000000</v>
      </c>
      <c r="E93" s="7">
        <f t="shared" si="30"/>
        <v>18000000</v>
      </c>
      <c r="F93" s="7">
        <f>C93-E93</f>
        <v>62000000</v>
      </c>
      <c r="G93" s="7">
        <f t="shared" si="29"/>
        <v>8000000</v>
      </c>
    </row>
    <row r="94" spans="1:7" x14ac:dyDescent="0.3">
      <c r="B94" s="6">
        <v>3</v>
      </c>
      <c r="C94" s="7">
        <f>$E$5</f>
        <v>80000000</v>
      </c>
      <c r="D94" s="7">
        <f>(C93-G93)/$E$6</f>
        <v>9000000</v>
      </c>
      <c r="E94" s="7">
        <f t="shared" si="30"/>
        <v>27000000</v>
      </c>
      <c r="F94" s="7">
        <f>C94-E94</f>
        <v>53000000</v>
      </c>
      <c r="G94" s="7">
        <f t="shared" si="29"/>
        <v>8000000</v>
      </c>
    </row>
    <row r="95" spans="1:7" x14ac:dyDescent="0.3">
      <c r="B95" s="6">
        <v>4</v>
      </c>
      <c r="C95" s="7">
        <f>$E$5</f>
        <v>80000000</v>
      </c>
      <c r="D95" s="7">
        <f>(C94-G94)/$E$6</f>
        <v>9000000</v>
      </c>
      <c r="E95" s="7">
        <f t="shared" si="30"/>
        <v>36000000</v>
      </c>
      <c r="F95" s="7">
        <f>C95-E95</f>
        <v>44000000</v>
      </c>
      <c r="G95" s="7">
        <f t="shared" si="29"/>
        <v>8000000</v>
      </c>
    </row>
    <row r="96" spans="1:7" x14ac:dyDescent="0.3">
      <c r="B96" s="6">
        <v>5</v>
      </c>
      <c r="C96" s="7">
        <f t="shared" ref="C96:C104" si="31">$E$5</f>
        <v>80000000</v>
      </c>
      <c r="D96" s="7">
        <f>(C95-G95)/$E$6</f>
        <v>9000000</v>
      </c>
      <c r="E96" s="7">
        <f t="shared" si="30"/>
        <v>45000000</v>
      </c>
      <c r="F96" s="41">
        <f t="shared" ref="F96:F104" si="32">C96-E96+$C$84</f>
        <v>75000000</v>
      </c>
      <c r="G96" s="7">
        <f t="shared" si="29"/>
        <v>8000000</v>
      </c>
    </row>
    <row r="97" spans="1:17" x14ac:dyDescent="0.3">
      <c r="B97" s="6">
        <v>6</v>
      </c>
      <c r="C97" s="7">
        <f t="shared" si="31"/>
        <v>80000000</v>
      </c>
      <c r="D97" s="7">
        <f t="shared" ref="D97:D104" si="33">($F$96-$G$97)/8</f>
        <v>8437500</v>
      </c>
      <c r="E97" s="7">
        <f t="shared" si="30"/>
        <v>53437500</v>
      </c>
      <c r="F97" s="40">
        <f t="shared" si="32"/>
        <v>66562500</v>
      </c>
      <c r="G97" s="7">
        <f t="shared" ref="G97:G104" si="34">$F$96*$E$7</f>
        <v>7500000</v>
      </c>
    </row>
    <row r="98" spans="1:17" x14ac:dyDescent="0.3">
      <c r="B98" s="6">
        <v>7</v>
      </c>
      <c r="C98" s="7">
        <f>$E$5</f>
        <v>80000000</v>
      </c>
      <c r="D98" s="7">
        <f t="shared" si="33"/>
        <v>8437500</v>
      </c>
      <c r="E98" s="7">
        <f t="shared" si="30"/>
        <v>61875000</v>
      </c>
      <c r="F98" s="40">
        <f t="shared" si="32"/>
        <v>58125000</v>
      </c>
      <c r="G98" s="7">
        <f t="shared" si="34"/>
        <v>7500000</v>
      </c>
    </row>
    <row r="99" spans="1:17" x14ac:dyDescent="0.3">
      <c r="B99" s="6">
        <v>8</v>
      </c>
      <c r="C99" s="7">
        <f t="shared" si="31"/>
        <v>80000000</v>
      </c>
      <c r="D99" s="7">
        <f t="shared" si="33"/>
        <v>8437500</v>
      </c>
      <c r="E99" s="7">
        <f t="shared" si="30"/>
        <v>70312500</v>
      </c>
      <c r="F99" s="40">
        <f t="shared" si="32"/>
        <v>49687500</v>
      </c>
      <c r="G99" s="7">
        <f t="shared" si="34"/>
        <v>7500000</v>
      </c>
    </row>
    <row r="100" spans="1:17" x14ac:dyDescent="0.3">
      <c r="B100" s="6">
        <v>9</v>
      </c>
      <c r="C100" s="7">
        <f t="shared" si="31"/>
        <v>80000000</v>
      </c>
      <c r="D100" s="7">
        <f t="shared" si="33"/>
        <v>8437500</v>
      </c>
      <c r="E100" s="7">
        <f t="shared" si="30"/>
        <v>78750000</v>
      </c>
      <c r="F100" s="40">
        <f t="shared" si="32"/>
        <v>41250000</v>
      </c>
      <c r="G100" s="7">
        <f t="shared" si="34"/>
        <v>7500000</v>
      </c>
    </row>
    <row r="101" spans="1:17" x14ac:dyDescent="0.3">
      <c r="B101" s="6">
        <v>10</v>
      </c>
      <c r="C101" s="7">
        <f t="shared" si="31"/>
        <v>80000000</v>
      </c>
      <c r="D101" s="7">
        <f t="shared" si="33"/>
        <v>8437500</v>
      </c>
      <c r="E101" s="7">
        <f t="shared" si="30"/>
        <v>87187500</v>
      </c>
      <c r="F101" s="40">
        <f t="shared" si="32"/>
        <v>32812500</v>
      </c>
      <c r="G101" s="7">
        <f t="shared" si="34"/>
        <v>7500000</v>
      </c>
    </row>
    <row r="102" spans="1:17" x14ac:dyDescent="0.3">
      <c r="B102" s="6">
        <v>11</v>
      </c>
      <c r="C102" s="7">
        <f t="shared" si="31"/>
        <v>80000000</v>
      </c>
      <c r="D102" s="7">
        <f t="shared" si="33"/>
        <v>8437500</v>
      </c>
      <c r="E102" s="7">
        <f t="shared" si="30"/>
        <v>95625000</v>
      </c>
      <c r="F102" s="40">
        <f t="shared" si="32"/>
        <v>24375000</v>
      </c>
      <c r="G102" s="7">
        <f t="shared" si="34"/>
        <v>7500000</v>
      </c>
    </row>
    <row r="103" spans="1:17" x14ac:dyDescent="0.3">
      <c r="B103" s="6">
        <v>12</v>
      </c>
      <c r="C103" s="7">
        <f t="shared" si="31"/>
        <v>80000000</v>
      </c>
      <c r="D103" s="7">
        <f t="shared" si="33"/>
        <v>8437500</v>
      </c>
      <c r="E103" s="7">
        <f t="shared" si="30"/>
        <v>104062500</v>
      </c>
      <c r="F103" s="40">
        <f t="shared" si="32"/>
        <v>15937500</v>
      </c>
      <c r="G103" s="7">
        <f t="shared" si="34"/>
        <v>7500000</v>
      </c>
    </row>
    <row r="104" spans="1:17" x14ac:dyDescent="0.3">
      <c r="B104" s="6">
        <v>13</v>
      </c>
      <c r="C104" s="7">
        <f t="shared" si="31"/>
        <v>80000000</v>
      </c>
      <c r="D104" s="7">
        <f t="shared" si="33"/>
        <v>8437500</v>
      </c>
      <c r="E104" s="7">
        <f t="shared" si="30"/>
        <v>112500000</v>
      </c>
      <c r="F104" s="40">
        <f t="shared" si="32"/>
        <v>7500000</v>
      </c>
      <c r="G104" s="7">
        <f t="shared" si="34"/>
        <v>7500000</v>
      </c>
    </row>
    <row r="105" spans="1:17" x14ac:dyDescent="0.3">
      <c r="E105" s="36"/>
      <c r="F105" s="37"/>
      <c r="G105" s="36"/>
    </row>
    <row r="107" spans="1:17" x14ac:dyDescent="0.3">
      <c r="C107" s="11"/>
      <c r="D107" s="11"/>
    </row>
    <row r="108" spans="1:17" ht="15.6" x14ac:dyDescent="0.3">
      <c r="A108" s="25" t="s">
        <v>421</v>
      </c>
      <c r="B108" s="791" t="s">
        <v>415</v>
      </c>
      <c r="C108" s="791"/>
      <c r="D108" s="791"/>
      <c r="E108" s="791"/>
      <c r="F108" s="791"/>
      <c r="G108" s="791"/>
      <c r="H108" s="791"/>
      <c r="I108" s="791"/>
    </row>
    <row r="109" spans="1:17" x14ac:dyDescent="0.3">
      <c r="B109" s="26" t="s">
        <v>402</v>
      </c>
      <c r="C109" s="26" t="s">
        <v>403</v>
      </c>
      <c r="D109" s="26" t="s">
        <v>422</v>
      </c>
      <c r="E109" s="26" t="s">
        <v>413</v>
      </c>
      <c r="F109" s="26" t="s">
        <v>404</v>
      </c>
      <c r="G109" s="26" t="s">
        <v>405</v>
      </c>
      <c r="H109" s="26" t="s">
        <v>406</v>
      </c>
      <c r="I109" s="26" t="s">
        <v>407</v>
      </c>
      <c r="Q109" s="11"/>
    </row>
    <row r="110" spans="1:17" x14ac:dyDescent="0.3">
      <c r="B110" s="6">
        <v>0</v>
      </c>
      <c r="C110" s="7">
        <f>$E$5</f>
        <v>80000000</v>
      </c>
      <c r="D110" s="8"/>
      <c r="E110" s="7">
        <v>0</v>
      </c>
      <c r="F110" s="7">
        <f>(C110-I110)*(B110/SUM($B$55:$B$63))</f>
        <v>0</v>
      </c>
      <c r="G110" s="7">
        <v>0</v>
      </c>
      <c r="H110" s="7">
        <f t="shared" ref="H110:H115" si="35">C110-G110</f>
        <v>80000000</v>
      </c>
      <c r="I110" s="7">
        <f t="shared" ref="I110:I115" si="36">C110*$E$7</f>
        <v>8000000</v>
      </c>
    </row>
    <row r="111" spans="1:17" x14ac:dyDescent="0.3">
      <c r="B111" s="6">
        <v>1</v>
      </c>
      <c r="C111" s="7">
        <f>$E$5</f>
        <v>80000000</v>
      </c>
      <c r="D111" s="8"/>
      <c r="E111" s="28">
        <f>B118/SUM($B$110:$B$118)</f>
        <v>0.22222222222222221</v>
      </c>
      <c r="F111" s="7">
        <f>(C111-I111)*E111</f>
        <v>16000000</v>
      </c>
      <c r="G111" s="7">
        <f>G110+F111</f>
        <v>16000000</v>
      </c>
      <c r="H111" s="7">
        <f t="shared" si="35"/>
        <v>64000000</v>
      </c>
      <c r="I111" s="7">
        <f t="shared" si="36"/>
        <v>8000000</v>
      </c>
    </row>
    <row r="112" spans="1:17" x14ac:dyDescent="0.3">
      <c r="B112" s="6">
        <v>2</v>
      </c>
      <c r="C112" s="7">
        <f t="shared" ref="C112:C123" si="37">$E$5</f>
        <v>80000000</v>
      </c>
      <c r="D112" s="8"/>
      <c r="E112" s="28">
        <f>B117/SUM($B$110:$B$118)</f>
        <v>0.19444444444444445</v>
      </c>
      <c r="F112" s="7">
        <f>(C112-I112)*E112</f>
        <v>14000000</v>
      </c>
      <c r="G112" s="7">
        <f t="shared" ref="G112:G117" si="38">G111+F112</f>
        <v>30000000</v>
      </c>
      <c r="H112" s="7">
        <f t="shared" si="35"/>
        <v>50000000</v>
      </c>
      <c r="I112" s="7">
        <f t="shared" si="36"/>
        <v>8000000</v>
      </c>
    </row>
    <row r="113" spans="2:9" x14ac:dyDescent="0.3">
      <c r="B113" s="6">
        <v>3</v>
      </c>
      <c r="C113" s="7">
        <f t="shared" si="37"/>
        <v>80000000</v>
      </c>
      <c r="D113" s="8"/>
      <c r="E113" s="28">
        <f>B116/SUM($B$110:$B$118)</f>
        <v>0.16666666666666666</v>
      </c>
      <c r="F113" s="7">
        <f>(C113-I113)*E113</f>
        <v>12000000</v>
      </c>
      <c r="G113" s="7">
        <f t="shared" si="38"/>
        <v>42000000</v>
      </c>
      <c r="H113" s="7">
        <f t="shared" si="35"/>
        <v>38000000</v>
      </c>
      <c r="I113" s="7">
        <f t="shared" si="36"/>
        <v>8000000</v>
      </c>
    </row>
    <row r="114" spans="2:9" x14ac:dyDescent="0.3">
      <c r="B114" s="6">
        <v>4</v>
      </c>
      <c r="C114" s="7">
        <f t="shared" si="37"/>
        <v>80000000</v>
      </c>
      <c r="D114" s="8"/>
      <c r="E114" s="28">
        <f>B115/SUM($B$110:$B$118)</f>
        <v>0.1388888888888889</v>
      </c>
      <c r="F114" s="7">
        <f>(C114-I114)*E114</f>
        <v>10000000</v>
      </c>
      <c r="G114" s="7">
        <f t="shared" si="38"/>
        <v>52000000</v>
      </c>
      <c r="H114" s="7">
        <f t="shared" si="35"/>
        <v>28000000</v>
      </c>
      <c r="I114" s="7">
        <f t="shared" si="36"/>
        <v>8000000</v>
      </c>
    </row>
    <row r="115" spans="2:9" x14ac:dyDescent="0.3">
      <c r="B115" s="6">
        <v>5</v>
      </c>
      <c r="C115" s="7">
        <f>$E$5</f>
        <v>80000000</v>
      </c>
      <c r="E115" s="28">
        <f>B114/SUM($B$110:$B$118)</f>
        <v>0.1111111111111111</v>
      </c>
      <c r="F115" s="7">
        <f>(C115-I115)*E115</f>
        <v>8000000</v>
      </c>
      <c r="G115" s="7">
        <f t="shared" si="38"/>
        <v>60000000</v>
      </c>
      <c r="H115" s="38">
        <f t="shared" si="35"/>
        <v>20000000</v>
      </c>
      <c r="I115" s="7">
        <f t="shared" si="36"/>
        <v>8000000</v>
      </c>
    </row>
    <row r="116" spans="2:9" x14ac:dyDescent="0.3">
      <c r="B116" s="6">
        <v>6</v>
      </c>
      <c r="C116" s="7">
        <f t="shared" si="37"/>
        <v>80000000</v>
      </c>
      <c r="D116" s="39">
        <f>H115+C84</f>
        <v>60000000</v>
      </c>
      <c r="E116" s="28">
        <f>B118/SUM($B$110:$B$118)</f>
        <v>0.22222222222222221</v>
      </c>
      <c r="F116" s="7">
        <f>($D$116-I116)*E116</f>
        <v>12000000</v>
      </c>
      <c r="G116" s="7">
        <f t="shared" si="38"/>
        <v>72000000</v>
      </c>
      <c r="H116" s="7">
        <f t="shared" ref="H116:H123" si="39">C116-G116+$C$84</f>
        <v>48000000</v>
      </c>
      <c r="I116" s="40">
        <f t="shared" ref="I116:I123" si="40">$D$116*$E$7</f>
        <v>6000000</v>
      </c>
    </row>
    <row r="117" spans="2:9" x14ac:dyDescent="0.3">
      <c r="B117" s="6">
        <v>7</v>
      </c>
      <c r="C117" s="7">
        <f>$E$5</f>
        <v>80000000</v>
      </c>
      <c r="D117" s="8"/>
      <c r="E117" s="28">
        <f>B117/SUM($B$110:$B$118)</f>
        <v>0.19444444444444445</v>
      </c>
      <c r="F117" s="7">
        <f t="shared" ref="F117:F123" si="41">($D$116-I117)*E117</f>
        <v>10500000</v>
      </c>
      <c r="G117" s="7">
        <f t="shared" si="38"/>
        <v>82500000</v>
      </c>
      <c r="H117" s="7">
        <f t="shared" si="39"/>
        <v>37500000</v>
      </c>
      <c r="I117" s="40">
        <f t="shared" si="40"/>
        <v>6000000</v>
      </c>
    </row>
    <row r="118" spans="2:9" x14ac:dyDescent="0.3">
      <c r="B118" s="6">
        <v>8</v>
      </c>
      <c r="C118" s="7">
        <f t="shared" si="37"/>
        <v>80000000</v>
      </c>
      <c r="D118" s="8"/>
      <c r="E118" s="28">
        <f>B116/SUM($B$110:$B$118)</f>
        <v>0.16666666666666666</v>
      </c>
      <c r="F118" s="7">
        <f t="shared" si="41"/>
        <v>9000000</v>
      </c>
      <c r="G118" s="7">
        <f t="shared" ref="G118:G123" si="42">G117+F118</f>
        <v>91500000</v>
      </c>
      <c r="H118" s="7">
        <f t="shared" si="39"/>
        <v>28500000</v>
      </c>
      <c r="I118" s="40">
        <f t="shared" si="40"/>
        <v>6000000</v>
      </c>
    </row>
    <row r="119" spans="2:9" x14ac:dyDescent="0.3">
      <c r="B119" s="6">
        <v>9</v>
      </c>
      <c r="C119" s="7">
        <f t="shared" si="37"/>
        <v>80000000</v>
      </c>
      <c r="D119" s="8"/>
      <c r="E119" s="28">
        <f>B115/SUM($B$110:$B$118)</f>
        <v>0.1388888888888889</v>
      </c>
      <c r="F119" s="7">
        <f t="shared" si="41"/>
        <v>7500000</v>
      </c>
      <c r="G119" s="7">
        <f t="shared" si="42"/>
        <v>99000000</v>
      </c>
      <c r="H119" s="7">
        <f t="shared" si="39"/>
        <v>21000000</v>
      </c>
      <c r="I119" s="40">
        <f t="shared" si="40"/>
        <v>6000000</v>
      </c>
    </row>
    <row r="120" spans="2:9" x14ac:dyDescent="0.3">
      <c r="B120" s="6">
        <v>10</v>
      </c>
      <c r="C120" s="7">
        <f t="shared" si="37"/>
        <v>80000000</v>
      </c>
      <c r="D120" s="8"/>
      <c r="E120" s="28">
        <f>B114/SUM($B$110:$B$118)</f>
        <v>0.1111111111111111</v>
      </c>
      <c r="F120" s="7">
        <f t="shared" si="41"/>
        <v>6000000</v>
      </c>
      <c r="G120" s="7">
        <f t="shared" si="42"/>
        <v>105000000</v>
      </c>
      <c r="H120" s="7">
        <f t="shared" si="39"/>
        <v>15000000</v>
      </c>
      <c r="I120" s="40">
        <f t="shared" si="40"/>
        <v>6000000</v>
      </c>
    </row>
    <row r="121" spans="2:9" x14ac:dyDescent="0.3">
      <c r="B121" s="6">
        <v>11</v>
      </c>
      <c r="C121" s="7">
        <f t="shared" si="37"/>
        <v>80000000</v>
      </c>
      <c r="D121" s="8"/>
      <c r="E121" s="28">
        <f>B113/SUM($B$110:$B$118)</f>
        <v>8.3333333333333329E-2</v>
      </c>
      <c r="F121" s="7">
        <f t="shared" si="41"/>
        <v>4500000</v>
      </c>
      <c r="G121" s="7">
        <f t="shared" si="42"/>
        <v>109500000</v>
      </c>
      <c r="H121" s="7">
        <f t="shared" si="39"/>
        <v>10500000</v>
      </c>
      <c r="I121" s="40">
        <f t="shared" si="40"/>
        <v>6000000</v>
      </c>
    </row>
    <row r="122" spans="2:9" x14ac:dyDescent="0.3">
      <c r="B122" s="6">
        <v>12</v>
      </c>
      <c r="C122" s="7">
        <f t="shared" si="37"/>
        <v>80000000</v>
      </c>
      <c r="D122" s="8"/>
      <c r="E122" s="28">
        <f>B112/SUM($B$110:$B$118)</f>
        <v>5.5555555555555552E-2</v>
      </c>
      <c r="F122" s="7">
        <f t="shared" si="41"/>
        <v>3000000</v>
      </c>
      <c r="G122" s="7">
        <f t="shared" si="42"/>
        <v>112500000</v>
      </c>
      <c r="H122" s="7">
        <f t="shared" si="39"/>
        <v>7500000</v>
      </c>
      <c r="I122" s="40">
        <f t="shared" si="40"/>
        <v>6000000</v>
      </c>
    </row>
    <row r="123" spans="2:9" x14ac:dyDescent="0.3">
      <c r="B123" s="6">
        <v>13</v>
      </c>
      <c r="C123" s="7">
        <f t="shared" si="37"/>
        <v>80000000</v>
      </c>
      <c r="D123" s="8"/>
      <c r="E123" s="28">
        <f>B111/SUM($B$110:$B$118)</f>
        <v>2.7777777777777776E-2</v>
      </c>
      <c r="F123" s="7">
        <f t="shared" si="41"/>
        <v>1500000</v>
      </c>
      <c r="G123" s="7">
        <f t="shared" si="42"/>
        <v>114000000</v>
      </c>
      <c r="H123" s="7">
        <f t="shared" si="39"/>
        <v>6000000</v>
      </c>
      <c r="I123" s="40">
        <f t="shared" si="40"/>
        <v>6000000</v>
      </c>
    </row>
    <row r="143" spans="4:4" x14ac:dyDescent="0.3">
      <c r="D143" s="11"/>
    </row>
  </sheetData>
  <mergeCells count="8">
    <mergeCell ref="B89:G89"/>
    <mergeCell ref="B108:I108"/>
    <mergeCell ref="B1:H1"/>
    <mergeCell ref="B10:G10"/>
    <mergeCell ref="B24:H24"/>
    <mergeCell ref="B39:H39"/>
    <mergeCell ref="B53:H53"/>
    <mergeCell ref="B69:G6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35"/>
  <sheetViews>
    <sheetView zoomScale="170" zoomScaleNormal="170" workbookViewId="0">
      <selection activeCell="D11" sqref="D11"/>
    </sheetView>
  </sheetViews>
  <sheetFormatPr baseColWidth="10" defaultColWidth="11.44140625" defaultRowHeight="14.4" x14ac:dyDescent="0.3"/>
  <cols>
    <col min="3" max="3" width="17.88671875" bestFit="1" customWidth="1"/>
    <col min="6" max="6" width="21.44140625" customWidth="1"/>
  </cols>
  <sheetData>
    <row r="1" spans="2:7" x14ac:dyDescent="0.3">
      <c r="B1" t="s">
        <v>423</v>
      </c>
      <c r="E1">
        <v>100</v>
      </c>
    </row>
    <row r="2" spans="2:7" x14ac:dyDescent="0.3">
      <c r="B2" s="190" t="s">
        <v>424</v>
      </c>
      <c r="C2" s="190"/>
      <c r="D2" s="190"/>
      <c r="E2" s="190">
        <v>-80</v>
      </c>
    </row>
    <row r="3" spans="2:7" ht="15" thickBot="1" x14ac:dyDescent="0.35">
      <c r="B3" s="46" t="s">
        <v>425</v>
      </c>
      <c r="C3" s="46"/>
      <c r="D3" s="46"/>
      <c r="E3" s="189">
        <f>SUM(E1:E2)</f>
        <v>20</v>
      </c>
      <c r="G3" t="s">
        <v>426</v>
      </c>
    </row>
    <row r="4" spans="2:7" ht="15" thickTop="1" x14ac:dyDescent="0.3">
      <c r="B4" s="111" t="s">
        <v>427</v>
      </c>
      <c r="C4" s="111"/>
      <c r="D4" s="111"/>
      <c r="E4" s="111">
        <v>25</v>
      </c>
      <c r="G4" t="s">
        <v>428</v>
      </c>
    </row>
    <row r="5" spans="2:7" x14ac:dyDescent="0.3">
      <c r="B5" s="49" t="s">
        <v>429</v>
      </c>
      <c r="C5" s="49"/>
      <c r="D5" s="49"/>
      <c r="E5" s="49">
        <f>E4-E3</f>
        <v>5</v>
      </c>
    </row>
    <row r="6" spans="2:7" x14ac:dyDescent="0.3">
      <c r="C6" t="s">
        <v>430</v>
      </c>
      <c r="D6" t="s">
        <v>284</v>
      </c>
      <c r="E6" t="s">
        <v>233</v>
      </c>
      <c r="F6" t="s">
        <v>431</v>
      </c>
    </row>
    <row r="7" spans="2:7" x14ac:dyDescent="0.3">
      <c r="C7" t="s">
        <v>432</v>
      </c>
      <c r="D7" t="s">
        <v>284</v>
      </c>
      <c r="E7" t="s">
        <v>233</v>
      </c>
      <c r="F7" t="s">
        <v>433</v>
      </c>
    </row>
    <row r="8" spans="2:7" x14ac:dyDescent="0.3">
      <c r="C8" t="s">
        <v>283</v>
      </c>
      <c r="D8" t="s">
        <v>284</v>
      </c>
      <c r="E8" t="s">
        <v>233</v>
      </c>
      <c r="F8" t="s">
        <v>434</v>
      </c>
    </row>
    <row r="9" spans="2:7" x14ac:dyDescent="0.3">
      <c r="B9" s="6" t="s">
        <v>435</v>
      </c>
      <c r="C9" s="6"/>
      <c r="D9" s="6" t="s">
        <v>436</v>
      </c>
      <c r="E9" s="6" t="s">
        <v>437</v>
      </c>
    </row>
    <row r="10" spans="2:7" x14ac:dyDescent="0.3">
      <c r="B10" s="8" t="s">
        <v>45</v>
      </c>
      <c r="C10" s="8"/>
      <c r="D10" s="8"/>
      <c r="E10" s="8"/>
    </row>
    <row r="11" spans="2:7" x14ac:dyDescent="0.3">
      <c r="B11" s="196" t="s">
        <v>12</v>
      </c>
      <c r="C11" s="196"/>
      <c r="D11" s="196">
        <v>25</v>
      </c>
      <c r="E11" s="8"/>
    </row>
    <row r="12" spans="2:7" x14ac:dyDescent="0.3">
      <c r="B12" s="8"/>
      <c r="C12" s="196" t="s">
        <v>438</v>
      </c>
      <c r="D12" s="196"/>
      <c r="E12" s="196">
        <v>20</v>
      </c>
    </row>
    <row r="13" spans="2:7" x14ac:dyDescent="0.3">
      <c r="B13" s="8"/>
      <c r="C13" s="196" t="s">
        <v>439</v>
      </c>
      <c r="D13" s="196"/>
      <c r="E13" s="196">
        <v>5</v>
      </c>
    </row>
    <row r="16" spans="2:7" x14ac:dyDescent="0.3">
      <c r="B16" t="s">
        <v>423</v>
      </c>
      <c r="E16">
        <v>100</v>
      </c>
    </row>
    <row r="17" spans="2:9" x14ac:dyDescent="0.3">
      <c r="B17" s="190" t="s">
        <v>424</v>
      </c>
      <c r="C17" s="190"/>
      <c r="D17" s="190"/>
      <c r="E17" s="190">
        <v>-80</v>
      </c>
    </row>
    <row r="18" spans="2:9" ht="15" thickBot="1" x14ac:dyDescent="0.35">
      <c r="B18" s="46" t="s">
        <v>425</v>
      </c>
      <c r="C18" s="46"/>
      <c r="D18" s="46"/>
      <c r="E18" s="189">
        <f>SUM(E16:E17)</f>
        <v>20</v>
      </c>
      <c r="G18" t="s">
        <v>426</v>
      </c>
    </row>
    <row r="19" spans="2:9" ht="15" thickTop="1" x14ac:dyDescent="0.3">
      <c r="B19" t="s">
        <v>427</v>
      </c>
      <c r="E19">
        <v>20</v>
      </c>
      <c r="F19" t="s">
        <v>440</v>
      </c>
      <c r="G19" t="s">
        <v>428</v>
      </c>
    </row>
    <row r="20" spans="2:9" x14ac:dyDescent="0.3">
      <c r="B20" t="s">
        <v>429</v>
      </c>
      <c r="E20">
        <f>E19-E18</f>
        <v>0</v>
      </c>
    </row>
    <row r="21" spans="2:9" x14ac:dyDescent="0.3">
      <c r="C21" t="s">
        <v>430</v>
      </c>
      <c r="D21" t="s">
        <v>284</v>
      </c>
      <c r="E21" t="s">
        <v>233</v>
      </c>
      <c r="F21" t="s">
        <v>431</v>
      </c>
    </row>
    <row r="22" spans="2:9" x14ac:dyDescent="0.3">
      <c r="C22" t="s">
        <v>432</v>
      </c>
      <c r="D22" t="s">
        <v>284</v>
      </c>
      <c r="E22" t="s">
        <v>233</v>
      </c>
      <c r="F22" t="s">
        <v>433</v>
      </c>
    </row>
    <row r="23" spans="2:9" x14ac:dyDescent="0.3">
      <c r="C23" t="s">
        <v>283</v>
      </c>
      <c r="D23" t="s">
        <v>284</v>
      </c>
      <c r="E23" t="s">
        <v>233</v>
      </c>
      <c r="F23" t="s">
        <v>434</v>
      </c>
    </row>
    <row r="24" spans="2:9" x14ac:dyDescent="0.3">
      <c r="B24" s="6" t="s">
        <v>435</v>
      </c>
      <c r="C24" s="6"/>
      <c r="D24" s="6" t="s">
        <v>436</v>
      </c>
      <c r="E24" s="6" t="s">
        <v>437</v>
      </c>
    </row>
    <row r="25" spans="2:9" x14ac:dyDescent="0.3">
      <c r="B25" s="8" t="s">
        <v>45</v>
      </c>
      <c r="C25" s="8"/>
      <c r="D25" s="8">
        <v>80</v>
      </c>
      <c r="E25" s="8"/>
    </row>
    <row r="26" spans="2:9" x14ac:dyDescent="0.3">
      <c r="B26" s="8" t="s">
        <v>21</v>
      </c>
      <c r="C26" s="8"/>
      <c r="D26" s="8">
        <v>10</v>
      </c>
      <c r="E26" s="8"/>
      <c r="G26" s="46" t="s">
        <v>441</v>
      </c>
      <c r="H26" s="46">
        <v>10</v>
      </c>
      <c r="I26">
        <f>H26-E35</f>
        <v>0</v>
      </c>
    </row>
    <row r="27" spans="2:9" x14ac:dyDescent="0.3">
      <c r="B27" s="8" t="s">
        <v>12</v>
      </c>
      <c r="C27" s="8"/>
      <c r="D27" s="8">
        <v>10</v>
      </c>
      <c r="E27" s="8"/>
      <c r="G27" s="46" t="s">
        <v>442</v>
      </c>
      <c r="H27" s="46">
        <v>-10</v>
      </c>
      <c r="I27">
        <f>H27+D34</f>
        <v>0</v>
      </c>
    </row>
    <row r="28" spans="2:9" x14ac:dyDescent="0.3">
      <c r="B28" s="8"/>
      <c r="C28" s="8" t="s">
        <v>438</v>
      </c>
      <c r="D28" s="8"/>
      <c r="E28" s="8">
        <v>100</v>
      </c>
      <c r="G28" s="188" t="s">
        <v>443</v>
      </c>
      <c r="H28" s="187">
        <v>0</v>
      </c>
      <c r="I28" s="187">
        <f>I26-I27</f>
        <v>0</v>
      </c>
    </row>
    <row r="29" spans="2:9" x14ac:dyDescent="0.3">
      <c r="B29" s="8"/>
      <c r="C29" s="8" t="s">
        <v>439</v>
      </c>
      <c r="D29" s="8"/>
      <c r="E29" s="8">
        <v>0</v>
      </c>
    </row>
    <row r="31" spans="2:9" x14ac:dyDescent="0.3">
      <c r="B31" t="s">
        <v>444</v>
      </c>
      <c r="D31">
        <v>10</v>
      </c>
    </row>
    <row r="32" spans="2:9" x14ac:dyDescent="0.3">
      <c r="C32" t="s">
        <v>445</v>
      </c>
      <c r="E32">
        <v>10</v>
      </c>
    </row>
    <row r="34" spans="2:5" x14ac:dyDescent="0.3">
      <c r="B34" t="s">
        <v>446</v>
      </c>
      <c r="D34">
        <v>10</v>
      </c>
    </row>
    <row r="35" spans="2:5" x14ac:dyDescent="0.3">
      <c r="C35" t="s">
        <v>21</v>
      </c>
      <c r="E3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9"/>
  <sheetViews>
    <sheetView workbookViewId="0">
      <selection activeCell="C12" sqref="C12"/>
    </sheetView>
  </sheetViews>
  <sheetFormatPr baseColWidth="10" defaultColWidth="11.44140625" defaultRowHeight="14.4" x14ac:dyDescent="0.3"/>
  <sheetData>
    <row r="1" spans="1:11" x14ac:dyDescent="0.3">
      <c r="A1" t="s">
        <v>447</v>
      </c>
      <c r="C1">
        <v>300</v>
      </c>
    </row>
    <row r="3" spans="1:11" x14ac:dyDescent="0.3">
      <c r="C3">
        <v>2019</v>
      </c>
      <c r="D3" t="s">
        <v>448</v>
      </c>
    </row>
    <row r="4" spans="1:11" x14ac:dyDescent="0.3">
      <c r="A4">
        <v>1</v>
      </c>
      <c r="B4">
        <v>2020</v>
      </c>
      <c r="C4" s="49" t="s">
        <v>449</v>
      </c>
      <c r="D4" s="49">
        <v>10</v>
      </c>
      <c r="E4" s="49"/>
      <c r="F4" s="49"/>
    </row>
    <row r="5" spans="1:11" x14ac:dyDescent="0.3">
      <c r="A5">
        <f>A4+1</f>
        <v>2</v>
      </c>
      <c r="B5">
        <v>2020</v>
      </c>
      <c r="C5" s="49" t="s">
        <v>450</v>
      </c>
      <c r="D5" s="49">
        <v>10</v>
      </c>
      <c r="E5" s="49"/>
      <c r="F5" s="49"/>
    </row>
    <row r="6" spans="1:11" x14ac:dyDescent="0.3">
      <c r="A6">
        <f t="shared" ref="A6:A19" si="0">A5+1</f>
        <v>3</v>
      </c>
      <c r="B6">
        <v>2020</v>
      </c>
      <c r="C6" s="49" t="s">
        <v>451</v>
      </c>
      <c r="D6" s="49">
        <v>10</v>
      </c>
      <c r="E6" s="49"/>
      <c r="F6" s="49"/>
    </row>
    <row r="7" spans="1:11" x14ac:dyDescent="0.3">
      <c r="A7">
        <f t="shared" si="0"/>
        <v>4</v>
      </c>
      <c r="B7">
        <v>2020</v>
      </c>
      <c r="C7" s="49" t="s">
        <v>452</v>
      </c>
      <c r="D7" s="49">
        <v>10</v>
      </c>
      <c r="E7" s="49"/>
      <c r="F7" s="49"/>
    </row>
    <row r="8" spans="1:11" x14ac:dyDescent="0.3">
      <c r="A8">
        <f t="shared" si="0"/>
        <v>5</v>
      </c>
      <c r="B8">
        <v>2020</v>
      </c>
      <c r="C8" s="49" t="s">
        <v>453</v>
      </c>
      <c r="D8" s="49">
        <v>10</v>
      </c>
      <c r="E8" s="49"/>
      <c r="F8" s="49"/>
    </row>
    <row r="9" spans="1:11" x14ac:dyDescent="0.3">
      <c r="A9">
        <f t="shared" si="0"/>
        <v>6</v>
      </c>
      <c r="B9">
        <v>2020</v>
      </c>
      <c r="C9" s="49" t="s">
        <v>454</v>
      </c>
      <c r="D9" s="49">
        <v>10</v>
      </c>
      <c r="E9" s="49"/>
      <c r="F9" s="49"/>
    </row>
    <row r="10" spans="1:11" x14ac:dyDescent="0.3">
      <c r="A10">
        <f t="shared" si="0"/>
        <v>7</v>
      </c>
      <c r="B10">
        <v>2020</v>
      </c>
      <c r="C10" s="49" t="s">
        <v>455</v>
      </c>
      <c r="D10" s="49">
        <v>10</v>
      </c>
      <c r="E10" s="49"/>
      <c r="F10" s="49"/>
    </row>
    <row r="11" spans="1:11" x14ac:dyDescent="0.3">
      <c r="A11">
        <f t="shared" si="0"/>
        <v>8</v>
      </c>
      <c r="B11">
        <v>2020</v>
      </c>
      <c r="C11" s="49" t="s">
        <v>456</v>
      </c>
      <c r="D11" s="49">
        <v>10</v>
      </c>
      <c r="E11" s="49"/>
      <c r="F11" s="49"/>
    </row>
    <row r="12" spans="1:11" x14ac:dyDescent="0.3">
      <c r="A12" s="46">
        <f t="shared" si="0"/>
        <v>9</v>
      </c>
      <c r="B12" s="46">
        <v>2020</v>
      </c>
      <c r="C12" s="46" t="s">
        <v>457</v>
      </c>
      <c r="D12" s="46">
        <v>10</v>
      </c>
      <c r="E12" s="46"/>
      <c r="F12" s="46"/>
      <c r="G12" s="46" t="s">
        <v>458</v>
      </c>
      <c r="H12" s="46"/>
      <c r="I12" t="s">
        <v>459</v>
      </c>
      <c r="K12" t="s">
        <v>460</v>
      </c>
    </row>
    <row r="13" spans="1:11" x14ac:dyDescent="0.3">
      <c r="A13">
        <f t="shared" si="0"/>
        <v>10</v>
      </c>
      <c r="B13">
        <v>2021</v>
      </c>
      <c r="C13" s="49" t="s">
        <v>461</v>
      </c>
      <c r="D13" s="49">
        <v>10</v>
      </c>
      <c r="E13" s="49"/>
      <c r="F13" s="49"/>
    </row>
    <row r="14" spans="1:11" x14ac:dyDescent="0.3">
      <c r="A14">
        <f t="shared" si="0"/>
        <v>11</v>
      </c>
      <c r="B14">
        <v>2021</v>
      </c>
      <c r="C14" s="49" t="s">
        <v>462</v>
      </c>
      <c r="D14" s="49">
        <v>10</v>
      </c>
      <c r="E14" s="49"/>
      <c r="F14" s="49"/>
    </row>
    <row r="15" spans="1:11" x14ac:dyDescent="0.3">
      <c r="A15">
        <f t="shared" si="0"/>
        <v>12</v>
      </c>
      <c r="B15">
        <v>2021</v>
      </c>
      <c r="C15" s="49" t="s">
        <v>463</v>
      </c>
      <c r="D15" s="49">
        <v>10</v>
      </c>
      <c r="E15" s="49"/>
      <c r="F15" s="49"/>
      <c r="G15" t="s">
        <v>464</v>
      </c>
    </row>
    <row r="16" spans="1:11" x14ac:dyDescent="0.3">
      <c r="A16">
        <f t="shared" si="0"/>
        <v>13</v>
      </c>
      <c r="C16" t="s">
        <v>449</v>
      </c>
      <c r="G16" t="s">
        <v>465</v>
      </c>
    </row>
    <row r="17" spans="1:3" x14ac:dyDescent="0.3">
      <c r="A17">
        <f t="shared" si="0"/>
        <v>14</v>
      </c>
      <c r="C17" t="s">
        <v>450</v>
      </c>
    </row>
    <row r="18" spans="1:3" x14ac:dyDescent="0.3">
      <c r="A18">
        <f t="shared" si="0"/>
        <v>15</v>
      </c>
      <c r="C18" t="s">
        <v>451</v>
      </c>
    </row>
    <row r="19" spans="1:3" x14ac:dyDescent="0.3">
      <c r="A19">
        <f t="shared" si="0"/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J9"/>
  <sheetViews>
    <sheetView workbookViewId="0">
      <selection activeCell="H12" sqref="H12"/>
    </sheetView>
  </sheetViews>
  <sheetFormatPr baseColWidth="10" defaultColWidth="11.44140625" defaultRowHeight="14.4" x14ac:dyDescent="0.3"/>
  <cols>
    <col min="2" max="2" width="44.33203125" bestFit="1" customWidth="1"/>
    <col min="3" max="3" width="13" style="107" bestFit="1" customWidth="1"/>
    <col min="4" max="4" width="12" style="107" bestFit="1" customWidth="1"/>
    <col min="5" max="5" width="13" style="107" bestFit="1" customWidth="1"/>
    <col min="9" max="9" width="12" bestFit="1" customWidth="1"/>
  </cols>
  <sheetData>
    <row r="2" spans="1:10" x14ac:dyDescent="0.3">
      <c r="A2" t="s">
        <v>466</v>
      </c>
      <c r="C2" s="107">
        <v>1000000</v>
      </c>
      <c r="D2" s="107">
        <v>3</v>
      </c>
      <c r="E2" s="107">
        <f>C2*D2</f>
        <v>3000000</v>
      </c>
    </row>
    <row r="5" spans="1:10" x14ac:dyDescent="0.3">
      <c r="A5" s="191">
        <v>42217</v>
      </c>
      <c r="B5" t="s">
        <v>467</v>
      </c>
      <c r="C5" s="107">
        <f>E2</f>
        <v>3000000</v>
      </c>
      <c r="E5" s="107" t="s">
        <v>369</v>
      </c>
      <c r="G5" t="s">
        <v>369</v>
      </c>
    </row>
    <row r="6" spans="1:10" x14ac:dyDescent="0.3">
      <c r="B6" s="56" t="s">
        <v>144</v>
      </c>
      <c r="D6" s="107">
        <f>C5</f>
        <v>3000000</v>
      </c>
      <c r="E6" s="107" t="s">
        <v>369</v>
      </c>
      <c r="G6" t="s">
        <v>468</v>
      </c>
      <c r="I6" s="108">
        <f>E2</f>
        <v>3000000</v>
      </c>
      <c r="J6" t="s">
        <v>369</v>
      </c>
    </row>
    <row r="7" spans="1:10" x14ac:dyDescent="0.3">
      <c r="I7" s="108">
        <f>D9</f>
        <v>500000</v>
      </c>
    </row>
    <row r="8" spans="1:10" x14ac:dyDescent="0.3">
      <c r="A8" s="191">
        <v>11171</v>
      </c>
      <c r="B8" t="s">
        <v>469</v>
      </c>
      <c r="C8" s="107">
        <f>C2/2</f>
        <v>500000</v>
      </c>
      <c r="E8" s="107" t="s">
        <v>470</v>
      </c>
      <c r="I8" s="108">
        <f>I6-I7</f>
        <v>2500000</v>
      </c>
    </row>
    <row r="9" spans="1:10" x14ac:dyDescent="0.3">
      <c r="B9" t="str">
        <f>B5</f>
        <v>ACT DIF: Arrenadasmirto pagados por anticipado</v>
      </c>
      <c r="D9" s="107">
        <f>C8</f>
        <v>500000</v>
      </c>
      <c r="E9" s="107" t="s">
        <v>369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80"/>
  <sheetViews>
    <sheetView topLeftCell="A34" zoomScale="110" zoomScaleNormal="110" workbookViewId="0">
      <selection activeCell="C53" sqref="C53"/>
    </sheetView>
  </sheetViews>
  <sheetFormatPr baseColWidth="10" defaultColWidth="11.44140625" defaultRowHeight="14.4" x14ac:dyDescent="0.3"/>
  <cols>
    <col min="1" max="1" width="40.109375" bestFit="1" customWidth="1"/>
    <col min="2" max="2" width="14.88671875" customWidth="1"/>
    <col min="4" max="4" width="0" hidden="1" customWidth="1"/>
    <col min="15" max="15" width="24.44140625" bestFit="1" customWidth="1"/>
  </cols>
  <sheetData>
    <row r="1" spans="1:12" x14ac:dyDescent="0.3">
      <c r="A1" s="765" t="s">
        <v>471</v>
      </c>
      <c r="B1" s="765"/>
    </row>
    <row r="2" spans="1:12" x14ac:dyDescent="0.3">
      <c r="B2" t="s">
        <v>472</v>
      </c>
    </row>
    <row r="3" spans="1:12" x14ac:dyDescent="0.3">
      <c r="B3" s="71" t="s">
        <v>473</v>
      </c>
    </row>
    <row r="4" spans="1:12" x14ac:dyDescent="0.3">
      <c r="A4" t="s">
        <v>474</v>
      </c>
      <c r="B4" s="107">
        <v>100</v>
      </c>
    </row>
    <row r="5" spans="1:12" x14ac:dyDescent="0.3">
      <c r="A5" s="77" t="s">
        <v>475</v>
      </c>
      <c r="B5" s="77">
        <v>10</v>
      </c>
      <c r="C5" s="77" t="s">
        <v>476</v>
      </c>
    </row>
    <row r="6" spans="1:12" x14ac:dyDescent="0.3">
      <c r="A6" t="s">
        <v>477</v>
      </c>
      <c r="B6" s="24">
        <v>0.32</v>
      </c>
    </row>
    <row r="8" spans="1:12" x14ac:dyDescent="0.3">
      <c r="B8" s="216" t="s">
        <v>478</v>
      </c>
      <c r="C8" s="216" t="s">
        <v>479</v>
      </c>
      <c r="D8" s="216"/>
      <c r="E8" s="216" t="s">
        <v>480</v>
      </c>
      <c r="F8" s="216" t="s">
        <v>481</v>
      </c>
      <c r="G8" s="216" t="s">
        <v>482</v>
      </c>
      <c r="H8" s="216" t="s">
        <v>483</v>
      </c>
      <c r="I8" s="216" t="s">
        <v>484</v>
      </c>
      <c r="J8" s="216" t="s">
        <v>485</v>
      </c>
      <c r="K8" s="216" t="s">
        <v>486</v>
      </c>
      <c r="L8" s="216" t="s">
        <v>487</v>
      </c>
    </row>
    <row r="9" spans="1:12" x14ac:dyDescent="0.3">
      <c r="A9" t="s">
        <v>488</v>
      </c>
      <c r="B9" s="204">
        <f>B4</f>
        <v>100</v>
      </c>
      <c r="C9" s="204">
        <f>$B$9</f>
        <v>100</v>
      </c>
      <c r="D9" s="204"/>
      <c r="E9" s="204">
        <f t="shared" ref="E9:L9" si="0">$B$9</f>
        <v>100</v>
      </c>
      <c r="F9" s="204">
        <f t="shared" si="0"/>
        <v>100</v>
      </c>
      <c r="G9" s="204">
        <f t="shared" si="0"/>
        <v>100</v>
      </c>
      <c r="H9" s="204">
        <f t="shared" si="0"/>
        <v>100</v>
      </c>
      <c r="I9" s="204">
        <f t="shared" si="0"/>
        <v>100</v>
      </c>
      <c r="J9" s="204">
        <f t="shared" si="0"/>
        <v>100</v>
      </c>
      <c r="K9" s="204">
        <f t="shared" si="0"/>
        <v>100</v>
      </c>
      <c r="L9" s="204">
        <f t="shared" si="0"/>
        <v>100</v>
      </c>
    </row>
    <row r="10" spans="1:12" x14ac:dyDescent="0.3">
      <c r="A10" t="s">
        <v>45</v>
      </c>
      <c r="B10" s="204">
        <f>B15</f>
        <v>-10</v>
      </c>
      <c r="C10" s="204">
        <f>B10+C15</f>
        <v>-20</v>
      </c>
      <c r="D10" s="204"/>
      <c r="E10" s="204">
        <f>C10+E15</f>
        <v>-30</v>
      </c>
      <c r="F10" s="204">
        <f t="shared" ref="F10:L10" si="1">E10+F15</f>
        <v>-40</v>
      </c>
      <c r="G10" s="204">
        <f t="shared" si="1"/>
        <v>-50</v>
      </c>
      <c r="H10" s="204">
        <f t="shared" si="1"/>
        <v>-60</v>
      </c>
      <c r="I10" s="204">
        <f t="shared" si="1"/>
        <v>-70</v>
      </c>
      <c r="J10" s="204">
        <f t="shared" si="1"/>
        <v>-80</v>
      </c>
      <c r="K10" s="204">
        <f t="shared" si="1"/>
        <v>-90</v>
      </c>
      <c r="L10" s="204">
        <f t="shared" si="1"/>
        <v>-100</v>
      </c>
    </row>
    <row r="11" spans="1:12" ht="15" thickBot="1" x14ac:dyDescent="0.35">
      <c r="A11" s="205" t="s">
        <v>489</v>
      </c>
      <c r="B11" s="206">
        <f>B9+B10</f>
        <v>90</v>
      </c>
      <c r="C11" s="206">
        <f t="shared" ref="C11:L11" si="2">C9+C10</f>
        <v>80</v>
      </c>
      <c r="D11" s="206"/>
      <c r="E11" s="206">
        <f t="shared" si="2"/>
        <v>70</v>
      </c>
      <c r="F11" s="206">
        <f t="shared" si="2"/>
        <v>60</v>
      </c>
      <c r="G11" s="206">
        <f t="shared" si="2"/>
        <v>50</v>
      </c>
      <c r="H11" s="206">
        <f t="shared" si="2"/>
        <v>40</v>
      </c>
      <c r="I11" s="206">
        <f t="shared" si="2"/>
        <v>30</v>
      </c>
      <c r="J11" s="206">
        <f t="shared" si="2"/>
        <v>20</v>
      </c>
      <c r="K11" s="206">
        <f t="shared" si="2"/>
        <v>10</v>
      </c>
      <c r="L11" s="206">
        <f t="shared" si="2"/>
        <v>0</v>
      </c>
    </row>
    <row r="13" spans="1:12" x14ac:dyDescent="0.3">
      <c r="B13" s="71" t="s">
        <v>490</v>
      </c>
    </row>
    <row r="14" spans="1:12" x14ac:dyDescent="0.3">
      <c r="A14" t="s">
        <v>491</v>
      </c>
      <c r="B14" s="107">
        <v>30</v>
      </c>
      <c r="C14" s="107">
        <v>30</v>
      </c>
      <c r="D14" s="107"/>
      <c r="E14" s="107">
        <v>30</v>
      </c>
      <c r="F14" s="107">
        <v>30</v>
      </c>
      <c r="G14" s="107">
        <v>30</v>
      </c>
      <c r="H14" s="107">
        <v>30</v>
      </c>
      <c r="I14" s="107">
        <v>30</v>
      </c>
      <c r="J14" s="107">
        <v>30</v>
      </c>
      <c r="K14" s="107">
        <v>30</v>
      </c>
      <c r="L14" s="107">
        <v>30</v>
      </c>
    </row>
    <row r="15" spans="1:12" x14ac:dyDescent="0.3">
      <c r="A15" s="336" t="s">
        <v>492</v>
      </c>
      <c r="B15" s="220">
        <f>-($B$9/$B$5)</f>
        <v>-10</v>
      </c>
      <c r="C15" s="220">
        <f t="shared" ref="C15:L15" si="3">-($B$9/$B$5)</f>
        <v>-10</v>
      </c>
      <c r="D15" s="220"/>
      <c r="E15" s="220">
        <f t="shared" si="3"/>
        <v>-10</v>
      </c>
      <c r="F15" s="220">
        <f t="shared" si="3"/>
        <v>-10</v>
      </c>
      <c r="G15" s="220">
        <f t="shared" si="3"/>
        <v>-10</v>
      </c>
      <c r="H15" s="220">
        <f t="shared" si="3"/>
        <v>-10</v>
      </c>
      <c r="I15" s="220">
        <f t="shared" si="3"/>
        <v>-10</v>
      </c>
      <c r="J15" s="220">
        <f t="shared" si="3"/>
        <v>-10</v>
      </c>
      <c r="K15" s="220">
        <f t="shared" si="3"/>
        <v>-10</v>
      </c>
      <c r="L15" s="220">
        <f t="shared" si="3"/>
        <v>-10</v>
      </c>
    </row>
    <row r="16" spans="1:12" x14ac:dyDescent="0.3">
      <c r="A16" s="208" t="s">
        <v>493</v>
      </c>
      <c r="B16" s="209">
        <f>B14+B15</f>
        <v>20</v>
      </c>
      <c r="C16" s="209">
        <f t="shared" ref="C16:L16" si="4">C14+C15</f>
        <v>20</v>
      </c>
      <c r="D16" s="209"/>
      <c r="E16" s="209">
        <f t="shared" si="4"/>
        <v>20</v>
      </c>
      <c r="F16" s="209">
        <f t="shared" si="4"/>
        <v>20</v>
      </c>
      <c r="G16" s="209">
        <f t="shared" si="4"/>
        <v>20</v>
      </c>
      <c r="H16" s="209">
        <f t="shared" si="4"/>
        <v>20</v>
      </c>
      <c r="I16" s="209">
        <f t="shared" si="4"/>
        <v>20</v>
      </c>
      <c r="J16" s="209">
        <f t="shared" si="4"/>
        <v>20</v>
      </c>
      <c r="K16" s="209">
        <f t="shared" si="4"/>
        <v>20</v>
      </c>
      <c r="L16" s="209">
        <f t="shared" si="4"/>
        <v>20</v>
      </c>
    </row>
    <row r="17" spans="1:12" x14ac:dyDescent="0.3">
      <c r="A17" s="30" t="s">
        <v>494</v>
      </c>
      <c r="B17" s="210">
        <f>B37</f>
        <v>-3.2</v>
      </c>
      <c r="C17" s="210">
        <f t="shared" ref="C17:L17" si="5">C37</f>
        <v>-3.2</v>
      </c>
      <c r="D17" s="210"/>
      <c r="E17" s="210">
        <f t="shared" si="5"/>
        <v>-3.2</v>
      </c>
      <c r="F17" s="210">
        <f t="shared" si="5"/>
        <v>-3.2</v>
      </c>
      <c r="G17" s="210">
        <f t="shared" si="5"/>
        <v>-3.2</v>
      </c>
      <c r="H17" s="210">
        <f t="shared" si="5"/>
        <v>-9.6</v>
      </c>
      <c r="I17" s="210">
        <f t="shared" si="5"/>
        <v>-9.6</v>
      </c>
      <c r="J17" s="210">
        <f t="shared" si="5"/>
        <v>-9.6</v>
      </c>
      <c r="K17" s="210">
        <f t="shared" si="5"/>
        <v>-9.6</v>
      </c>
      <c r="L17" s="210">
        <f t="shared" si="5"/>
        <v>-9.6</v>
      </c>
    </row>
    <row r="18" spans="1:12" x14ac:dyDescent="0.3">
      <c r="A18" s="30" t="s">
        <v>495</v>
      </c>
      <c r="B18" s="210">
        <f>-B49</f>
        <v>-3.2</v>
      </c>
      <c r="C18" s="210">
        <f>-B55</f>
        <v>-6.4</v>
      </c>
      <c r="D18" s="210"/>
      <c r="E18" s="210">
        <f>-B58</f>
        <v>-9.6</v>
      </c>
      <c r="F18" s="210">
        <f>-B61</f>
        <v>-12.8</v>
      </c>
      <c r="G18" s="210">
        <f>-B64</f>
        <v>-16</v>
      </c>
      <c r="H18" s="210">
        <f>C68</f>
        <v>16</v>
      </c>
      <c r="I18" s="210">
        <f>C71</f>
        <v>12.8</v>
      </c>
      <c r="J18" s="210">
        <f>C74</f>
        <v>9.6</v>
      </c>
      <c r="K18" s="210">
        <f>C77</f>
        <v>6.4</v>
      </c>
      <c r="L18" s="210">
        <f>C80</f>
        <v>3.2</v>
      </c>
    </row>
    <row r="19" spans="1:12" x14ac:dyDescent="0.3">
      <c r="A19" s="211" t="s">
        <v>496</v>
      </c>
      <c r="B19" s="212">
        <f>SUM(B17:B18)</f>
        <v>-6.4</v>
      </c>
      <c r="C19" s="213">
        <f t="shared" ref="C19:L19" si="6">SUM(C17:C18)</f>
        <v>-9.6000000000000014</v>
      </c>
      <c r="D19" s="213"/>
      <c r="E19" s="213">
        <f t="shared" si="6"/>
        <v>-12.8</v>
      </c>
      <c r="F19" s="213">
        <f t="shared" si="6"/>
        <v>-16</v>
      </c>
      <c r="G19" s="213">
        <f t="shared" si="6"/>
        <v>-19.2</v>
      </c>
      <c r="H19" s="213">
        <f t="shared" si="6"/>
        <v>6.4</v>
      </c>
      <c r="I19" s="213">
        <f t="shared" si="6"/>
        <v>3.2000000000000011</v>
      </c>
      <c r="J19" s="213">
        <f t="shared" si="6"/>
        <v>0</v>
      </c>
      <c r="K19" s="213">
        <f t="shared" si="6"/>
        <v>-3.1999999999999993</v>
      </c>
      <c r="L19" s="213">
        <f t="shared" si="6"/>
        <v>-6.3999999999999995</v>
      </c>
    </row>
    <row r="20" spans="1:12" ht="15" thickBot="1" x14ac:dyDescent="0.35">
      <c r="A20" s="214" t="s">
        <v>497</v>
      </c>
      <c r="B20" s="215">
        <f>B16+B19</f>
        <v>13.6</v>
      </c>
      <c r="C20" s="215">
        <f t="shared" ref="C20:L20" si="7">C16+C19</f>
        <v>10.399999999999999</v>
      </c>
      <c r="D20" s="215"/>
      <c r="E20" s="215">
        <f t="shared" si="7"/>
        <v>7.1999999999999993</v>
      </c>
      <c r="F20" s="215">
        <f t="shared" si="7"/>
        <v>4</v>
      </c>
      <c r="G20" s="215">
        <f t="shared" si="7"/>
        <v>0.80000000000000071</v>
      </c>
      <c r="H20" s="215">
        <f t="shared" si="7"/>
        <v>26.4</v>
      </c>
      <c r="I20" s="215">
        <f t="shared" si="7"/>
        <v>23.200000000000003</v>
      </c>
      <c r="J20" s="215">
        <f t="shared" si="7"/>
        <v>20</v>
      </c>
      <c r="K20" s="215">
        <f t="shared" si="7"/>
        <v>16.8</v>
      </c>
      <c r="L20" s="215">
        <f t="shared" si="7"/>
        <v>13.600000000000001</v>
      </c>
    </row>
    <row r="21" spans="1:12" ht="15" thickTop="1" x14ac:dyDescent="0.3">
      <c r="B21" s="204">
        <f>B16*B6</f>
        <v>6.4</v>
      </c>
    </row>
    <row r="22" spans="1:12" x14ac:dyDescent="0.3">
      <c r="B22" s="71" t="s">
        <v>498</v>
      </c>
    </row>
    <row r="23" spans="1:12" x14ac:dyDescent="0.3">
      <c r="A23" t="s">
        <v>474</v>
      </c>
      <c r="B23">
        <v>100</v>
      </c>
    </row>
    <row r="24" spans="1:12" x14ac:dyDescent="0.3">
      <c r="A24" s="77" t="s">
        <v>475</v>
      </c>
      <c r="B24" s="77">
        <v>5</v>
      </c>
      <c r="C24" s="77" t="s">
        <v>476</v>
      </c>
    </row>
    <row r="27" spans="1:12" x14ac:dyDescent="0.3">
      <c r="B27" s="216" t="s">
        <v>478</v>
      </c>
      <c r="C27" s="216" t="s">
        <v>479</v>
      </c>
      <c r="D27" s="216"/>
      <c r="E27" s="216" t="s">
        <v>480</v>
      </c>
      <c r="F27" s="216" t="s">
        <v>481</v>
      </c>
      <c r="G27" s="216" t="s">
        <v>482</v>
      </c>
      <c r="H27" s="216"/>
      <c r="I27" s="216"/>
      <c r="J27" s="216"/>
      <c r="K27" s="216"/>
      <c r="L27" s="216"/>
    </row>
    <row r="28" spans="1:12" x14ac:dyDescent="0.3">
      <c r="A28" t="s">
        <v>499</v>
      </c>
      <c r="B28" s="204">
        <f>B23</f>
        <v>100</v>
      </c>
      <c r="C28" s="204">
        <f>$B$9</f>
        <v>100</v>
      </c>
      <c r="D28" s="204"/>
      <c r="E28" s="204">
        <f>$B$9</f>
        <v>100</v>
      </c>
      <c r="F28" s="204">
        <f>$B$9</f>
        <v>100</v>
      </c>
      <c r="G28" s="204">
        <f>$B$9</f>
        <v>100</v>
      </c>
      <c r="H28" s="204"/>
      <c r="I28" s="204"/>
      <c r="J28" s="204"/>
      <c r="K28" s="204"/>
      <c r="L28" s="204"/>
    </row>
    <row r="29" spans="1:12" x14ac:dyDescent="0.3">
      <c r="A29" t="s">
        <v>45</v>
      </c>
      <c r="B29" s="204">
        <f>B35</f>
        <v>-20</v>
      </c>
      <c r="C29" s="204">
        <f>B29+C35</f>
        <v>-40</v>
      </c>
      <c r="D29" s="204"/>
      <c r="E29" s="204">
        <f>C29+E35</f>
        <v>-60</v>
      </c>
      <c r="F29" s="204">
        <f>E29+F35</f>
        <v>-80</v>
      </c>
      <c r="G29" s="204">
        <f>F29+G35</f>
        <v>-100</v>
      </c>
      <c r="H29" s="204"/>
      <c r="I29" s="204"/>
      <c r="J29" s="204"/>
      <c r="K29" s="204"/>
      <c r="L29" s="204"/>
    </row>
    <row r="30" spans="1:12" ht="15" thickBot="1" x14ac:dyDescent="0.35">
      <c r="A30" s="205" t="s">
        <v>500</v>
      </c>
      <c r="B30" s="206">
        <f>B28+B29</f>
        <v>80</v>
      </c>
      <c r="C30" s="206">
        <f>C28+C29</f>
        <v>60</v>
      </c>
      <c r="D30" s="206"/>
      <c r="E30" s="206">
        <f>E28+E29</f>
        <v>40</v>
      </c>
      <c r="F30" s="206">
        <f>F28+F29</f>
        <v>20</v>
      </c>
      <c r="G30" s="206">
        <f>G28+G29</f>
        <v>0</v>
      </c>
      <c r="H30" s="217"/>
      <c r="I30" s="217"/>
      <c r="J30" s="217"/>
      <c r="K30" s="217"/>
      <c r="L30" s="217"/>
    </row>
    <row r="32" spans="1:12" x14ac:dyDescent="0.3">
      <c r="B32" s="79" t="s">
        <v>501</v>
      </c>
    </row>
    <row r="33" spans="1:17" x14ac:dyDescent="0.3">
      <c r="B33" s="216" t="s">
        <v>478</v>
      </c>
      <c r="C33" s="216" t="s">
        <v>479</v>
      </c>
      <c r="D33" s="216"/>
      <c r="E33" s="216" t="s">
        <v>480</v>
      </c>
      <c r="F33" s="216" t="s">
        <v>481</v>
      </c>
      <c r="G33" s="216" t="s">
        <v>482</v>
      </c>
      <c r="H33" s="218" t="s">
        <v>483</v>
      </c>
      <c r="I33" s="218" t="s">
        <v>484</v>
      </c>
      <c r="J33" s="218" t="s">
        <v>485</v>
      </c>
      <c r="K33" s="218" t="s">
        <v>486</v>
      </c>
      <c r="L33" s="218" t="s">
        <v>487</v>
      </c>
    </row>
    <row r="34" spans="1:17" x14ac:dyDescent="0.3">
      <c r="A34" t="s">
        <v>491</v>
      </c>
      <c r="B34" s="219">
        <v>30</v>
      </c>
      <c r="C34" s="219">
        <v>30</v>
      </c>
      <c r="D34" s="219"/>
      <c r="E34" s="219">
        <v>30</v>
      </c>
      <c r="F34" s="219">
        <v>30</v>
      </c>
      <c r="G34" s="219">
        <v>30</v>
      </c>
      <c r="H34" s="219">
        <v>30</v>
      </c>
      <c r="I34" s="219">
        <v>30</v>
      </c>
      <c r="J34" s="219">
        <v>30</v>
      </c>
      <c r="K34" s="219">
        <v>30</v>
      </c>
      <c r="L34" s="219">
        <v>30</v>
      </c>
    </row>
    <row r="35" spans="1:17" x14ac:dyDescent="0.3">
      <c r="A35" s="190" t="s">
        <v>502</v>
      </c>
      <c r="B35" s="207">
        <f>-($B$9/$B$24)</f>
        <v>-20</v>
      </c>
      <c r="C35" s="207">
        <f>-($B$9/$B$24)</f>
        <v>-20</v>
      </c>
      <c r="D35" s="207"/>
      <c r="E35" s="207">
        <f>-($B$9/$B$24)</f>
        <v>-20</v>
      </c>
      <c r="F35" s="207">
        <f>-($B$9/$B$24)</f>
        <v>-20</v>
      </c>
      <c r="G35" s="207">
        <f>-($B$9/$B$24)</f>
        <v>-20</v>
      </c>
      <c r="H35" s="220">
        <v>0</v>
      </c>
      <c r="I35" s="220">
        <v>0</v>
      </c>
      <c r="J35" s="220">
        <v>0</v>
      </c>
      <c r="K35" s="220">
        <v>0</v>
      </c>
      <c r="L35" s="220">
        <v>0</v>
      </c>
    </row>
    <row r="36" spans="1:17" x14ac:dyDescent="0.3">
      <c r="A36" s="30" t="s">
        <v>503</v>
      </c>
      <c r="B36" s="221">
        <f>B34+B35</f>
        <v>10</v>
      </c>
      <c r="C36" s="221">
        <f>C34+C35</f>
        <v>10</v>
      </c>
      <c r="D36" s="221"/>
      <c r="E36" s="221">
        <f t="shared" ref="E36:L36" si="8">E34+E35</f>
        <v>10</v>
      </c>
      <c r="F36" s="221">
        <f t="shared" si="8"/>
        <v>10</v>
      </c>
      <c r="G36" s="221">
        <f t="shared" si="8"/>
        <v>10</v>
      </c>
      <c r="H36" s="222">
        <f t="shared" si="8"/>
        <v>30</v>
      </c>
      <c r="I36" s="222">
        <f t="shared" si="8"/>
        <v>30</v>
      </c>
      <c r="J36" s="222">
        <f t="shared" si="8"/>
        <v>30</v>
      </c>
      <c r="K36" s="222">
        <f t="shared" si="8"/>
        <v>30</v>
      </c>
      <c r="L36" s="222">
        <f t="shared" si="8"/>
        <v>30</v>
      </c>
    </row>
    <row r="37" spans="1:17" x14ac:dyDescent="0.3">
      <c r="A37" t="s">
        <v>504</v>
      </c>
      <c r="B37" s="223">
        <f>-(B36*$B$6)</f>
        <v>-3.2</v>
      </c>
      <c r="C37" s="224">
        <f>-(C36*$B$6)</f>
        <v>-3.2</v>
      </c>
      <c r="D37" s="224"/>
      <c r="E37" s="224">
        <f t="shared" ref="E37:L37" si="9">-(E36*$B$6)</f>
        <v>-3.2</v>
      </c>
      <c r="F37" s="224">
        <f t="shared" si="9"/>
        <v>-3.2</v>
      </c>
      <c r="G37" s="224">
        <f t="shared" si="9"/>
        <v>-3.2</v>
      </c>
      <c r="H37" s="225">
        <f t="shared" si="9"/>
        <v>-9.6</v>
      </c>
      <c r="I37" s="225">
        <f t="shared" si="9"/>
        <v>-9.6</v>
      </c>
      <c r="J37" s="225">
        <f t="shared" si="9"/>
        <v>-9.6</v>
      </c>
      <c r="K37" s="225">
        <f t="shared" si="9"/>
        <v>-9.6</v>
      </c>
      <c r="L37" s="225">
        <f t="shared" si="9"/>
        <v>-9.6</v>
      </c>
    </row>
    <row r="38" spans="1:17" ht="15" thickBot="1" x14ac:dyDescent="0.35">
      <c r="A38" s="214" t="s">
        <v>505</v>
      </c>
      <c r="B38" s="215">
        <f>B36+B37</f>
        <v>6.8</v>
      </c>
      <c r="C38" s="226">
        <f>C36+C37</f>
        <v>6.8</v>
      </c>
      <c r="D38" s="226"/>
      <c r="E38" s="226">
        <f t="shared" ref="E38:L38" si="10">E36+E37</f>
        <v>6.8</v>
      </c>
      <c r="F38" s="226">
        <f t="shared" si="10"/>
        <v>6.8</v>
      </c>
      <c r="G38" s="226">
        <f t="shared" si="10"/>
        <v>6.8</v>
      </c>
      <c r="H38" s="395">
        <f t="shared" si="10"/>
        <v>20.399999999999999</v>
      </c>
      <c r="I38" s="395">
        <f t="shared" si="10"/>
        <v>20.399999999999999</v>
      </c>
      <c r="J38" s="395">
        <f t="shared" si="10"/>
        <v>20.399999999999999</v>
      </c>
      <c r="K38" s="395">
        <f t="shared" si="10"/>
        <v>20.399999999999999</v>
      </c>
      <c r="L38" s="395">
        <f t="shared" si="10"/>
        <v>20.399999999999999</v>
      </c>
      <c r="M38" s="396"/>
    </row>
    <row r="39" spans="1:17" ht="15" thickTop="1" x14ac:dyDescent="0.3"/>
    <row r="40" spans="1:17" x14ac:dyDescent="0.3">
      <c r="A40" s="8"/>
      <c r="B40" s="227" t="s">
        <v>478</v>
      </c>
      <c r="C40" s="227" t="s">
        <v>479</v>
      </c>
      <c r="D40" s="227"/>
      <c r="E40" s="227" t="s">
        <v>480</v>
      </c>
      <c r="F40" s="227" t="s">
        <v>481</v>
      </c>
      <c r="G40" s="227" t="s">
        <v>482</v>
      </c>
      <c r="H40" s="227" t="s">
        <v>483</v>
      </c>
      <c r="I40" s="227" t="s">
        <v>484</v>
      </c>
      <c r="J40" s="227" t="s">
        <v>485</v>
      </c>
      <c r="K40" s="227" t="s">
        <v>486</v>
      </c>
      <c r="L40" s="227" t="s">
        <v>487</v>
      </c>
      <c r="O40" s="216" t="s">
        <v>506</v>
      </c>
      <c r="P40" s="228" t="s">
        <v>507</v>
      </c>
      <c r="Q40" s="216"/>
    </row>
    <row r="41" spans="1:17" x14ac:dyDescent="0.3">
      <c r="A41" s="229" t="s">
        <v>508</v>
      </c>
      <c r="B41" s="230">
        <f>B11</f>
        <v>90</v>
      </c>
      <c r="C41" s="231">
        <f>C11</f>
        <v>80</v>
      </c>
      <c r="D41" s="231"/>
      <c r="E41" s="231">
        <f>E11</f>
        <v>70</v>
      </c>
      <c r="F41" s="231">
        <f>F11</f>
        <v>60</v>
      </c>
      <c r="G41" s="231">
        <f>G11</f>
        <v>50</v>
      </c>
      <c r="H41" s="231">
        <v>50</v>
      </c>
      <c r="I41" s="231">
        <v>40</v>
      </c>
      <c r="J41" s="231">
        <v>30</v>
      </c>
      <c r="K41" s="231">
        <v>20</v>
      </c>
      <c r="L41" s="231">
        <v>10</v>
      </c>
    </row>
    <row r="42" spans="1:17" x14ac:dyDescent="0.3">
      <c r="A42" s="232" t="s">
        <v>509</v>
      </c>
      <c r="B42" s="233">
        <f>B30</f>
        <v>80</v>
      </c>
      <c r="C42" s="231">
        <f t="shared" ref="C42:L42" si="11">C30</f>
        <v>60</v>
      </c>
      <c r="D42" s="231"/>
      <c r="E42" s="231">
        <f t="shared" si="11"/>
        <v>40</v>
      </c>
      <c r="F42" s="231">
        <f t="shared" si="11"/>
        <v>20</v>
      </c>
      <c r="G42" s="231">
        <f t="shared" si="11"/>
        <v>0</v>
      </c>
      <c r="H42" s="231">
        <f t="shared" si="11"/>
        <v>0</v>
      </c>
      <c r="I42" s="231">
        <f t="shared" si="11"/>
        <v>0</v>
      </c>
      <c r="J42" s="231">
        <f t="shared" si="11"/>
        <v>0</v>
      </c>
      <c r="K42" s="231">
        <f t="shared" si="11"/>
        <v>0</v>
      </c>
      <c r="L42" s="231">
        <f t="shared" si="11"/>
        <v>0</v>
      </c>
    </row>
    <row r="43" spans="1:17" x14ac:dyDescent="0.3">
      <c r="A43" s="234" t="s">
        <v>510</v>
      </c>
      <c r="B43" s="235">
        <f>B41-B42</f>
        <v>10</v>
      </c>
      <c r="C43" s="236">
        <f t="shared" ref="C43:L43" si="12">C41-C42</f>
        <v>20</v>
      </c>
      <c r="D43" s="236"/>
      <c r="E43" s="236">
        <f t="shared" si="12"/>
        <v>30</v>
      </c>
      <c r="F43" s="236">
        <f t="shared" si="12"/>
        <v>40</v>
      </c>
      <c r="G43" s="236">
        <f t="shared" si="12"/>
        <v>50</v>
      </c>
      <c r="H43" s="236">
        <f t="shared" si="12"/>
        <v>50</v>
      </c>
      <c r="I43" s="236">
        <f t="shared" si="12"/>
        <v>40</v>
      </c>
      <c r="J43" s="236">
        <f t="shared" si="12"/>
        <v>30</v>
      </c>
      <c r="K43" s="236">
        <f t="shared" si="12"/>
        <v>20</v>
      </c>
      <c r="L43" s="236">
        <f t="shared" si="12"/>
        <v>10</v>
      </c>
    </row>
    <row r="44" spans="1:17" x14ac:dyDescent="0.3">
      <c r="A44" s="71"/>
      <c r="B44" s="217"/>
      <c r="C44" s="217"/>
      <c r="D44" s="217"/>
      <c r="E44" s="217"/>
      <c r="F44" s="217"/>
      <c r="G44" s="217"/>
      <c r="H44" s="217"/>
      <c r="I44" s="217"/>
      <c r="J44" s="217"/>
      <c r="K44" s="217"/>
      <c r="L44" s="217"/>
    </row>
    <row r="45" spans="1:17" x14ac:dyDescent="0.3">
      <c r="A45" t="s">
        <v>477</v>
      </c>
      <c r="B45" s="24">
        <v>0.32</v>
      </c>
    </row>
    <row r="47" spans="1:17" x14ac:dyDescent="0.3">
      <c r="A47" t="s">
        <v>511</v>
      </c>
      <c r="B47" s="224">
        <f>B43*$B$45</f>
        <v>3.2</v>
      </c>
      <c r="C47" s="224">
        <f t="shared" ref="C47:L47" si="13">C43*$B$45</f>
        <v>6.4</v>
      </c>
      <c r="D47" s="224"/>
      <c r="E47" s="224">
        <f t="shared" si="13"/>
        <v>9.6</v>
      </c>
      <c r="F47" s="224">
        <f t="shared" si="13"/>
        <v>12.8</v>
      </c>
      <c r="G47" s="224">
        <f t="shared" si="13"/>
        <v>16</v>
      </c>
      <c r="H47" s="224">
        <f t="shared" si="13"/>
        <v>16</v>
      </c>
      <c r="I47" s="224">
        <f t="shared" si="13"/>
        <v>12.8</v>
      </c>
      <c r="J47" s="224">
        <f t="shared" si="13"/>
        <v>9.6</v>
      </c>
      <c r="K47" s="224">
        <f t="shared" si="13"/>
        <v>6.4</v>
      </c>
      <c r="L47" s="224">
        <f t="shared" si="13"/>
        <v>3.2</v>
      </c>
    </row>
    <row r="49" spans="1:17" x14ac:dyDescent="0.3">
      <c r="A49" s="234" t="s">
        <v>512</v>
      </c>
      <c r="B49" s="237">
        <f>B47</f>
        <v>3.2</v>
      </c>
      <c r="C49" s="80"/>
      <c r="D49" s="80" t="s">
        <v>513</v>
      </c>
      <c r="E49" s="798" t="s">
        <v>514</v>
      </c>
      <c r="F49" t="s">
        <v>515</v>
      </c>
    </row>
    <row r="50" spans="1:17" x14ac:dyDescent="0.3">
      <c r="A50" s="238" t="s">
        <v>516</v>
      </c>
      <c r="B50" s="238"/>
      <c r="C50" s="239">
        <f>B47</f>
        <v>3.2</v>
      </c>
      <c r="D50" s="240" t="s">
        <v>517</v>
      </c>
      <c r="E50" s="798"/>
    </row>
    <row r="52" spans="1:17" x14ac:dyDescent="0.3">
      <c r="A52" s="234" t="s">
        <v>518</v>
      </c>
      <c r="B52" s="237">
        <f>B50</f>
        <v>0</v>
      </c>
      <c r="C52" s="80"/>
      <c r="D52" s="80" t="s">
        <v>519</v>
      </c>
      <c r="E52" s="798" t="s">
        <v>514</v>
      </c>
      <c r="F52" t="s">
        <v>520</v>
      </c>
    </row>
    <row r="53" spans="1:17" x14ac:dyDescent="0.3">
      <c r="A53" s="238" t="s">
        <v>521</v>
      </c>
      <c r="B53" s="238"/>
      <c r="C53" s="239">
        <f>B50</f>
        <v>0</v>
      </c>
      <c r="D53" s="80" t="s">
        <v>522</v>
      </c>
      <c r="E53" s="798"/>
    </row>
    <row r="55" spans="1:17" x14ac:dyDescent="0.3">
      <c r="A55" s="80" t="s">
        <v>512</v>
      </c>
      <c r="B55" s="240">
        <f>C47</f>
        <v>6.4</v>
      </c>
      <c r="C55" s="80"/>
      <c r="D55" s="80"/>
      <c r="E55" s="798" t="s">
        <v>523</v>
      </c>
    </row>
    <row r="56" spans="1:17" x14ac:dyDescent="0.3">
      <c r="A56" s="80" t="s">
        <v>516</v>
      </c>
      <c r="B56" s="80"/>
      <c r="C56" s="240">
        <f>C47</f>
        <v>6.4</v>
      </c>
      <c r="D56" s="240"/>
      <c r="E56" s="798"/>
      <c r="F56" s="241">
        <f>C50+C56</f>
        <v>9.6000000000000014</v>
      </c>
      <c r="O56" s="216" t="s">
        <v>524</v>
      </c>
      <c r="Q56" t="s">
        <v>525</v>
      </c>
    </row>
    <row r="57" spans="1:17" x14ac:dyDescent="0.3">
      <c r="O57" s="224">
        <f>C50</f>
        <v>3.2</v>
      </c>
      <c r="P57" t="str">
        <f>E49</f>
        <v>AÑO 1</v>
      </c>
    </row>
    <row r="58" spans="1:17" x14ac:dyDescent="0.3">
      <c r="A58" s="80" t="s">
        <v>512</v>
      </c>
      <c r="B58" s="240">
        <f>E47</f>
        <v>9.6</v>
      </c>
      <c r="C58" s="80"/>
      <c r="D58" s="80"/>
      <c r="E58" s="798" t="s">
        <v>526</v>
      </c>
      <c r="O58" s="224">
        <f>C56</f>
        <v>6.4</v>
      </c>
      <c r="P58" t="str">
        <f>E55</f>
        <v>AÑO 2</v>
      </c>
    </row>
    <row r="59" spans="1:17" x14ac:dyDescent="0.3">
      <c r="A59" s="80" t="s">
        <v>516</v>
      </c>
      <c r="B59" s="80"/>
      <c r="C59" s="240">
        <f>E47</f>
        <v>9.6</v>
      </c>
      <c r="D59" s="240"/>
      <c r="E59" s="798"/>
      <c r="O59" s="224">
        <f>C59</f>
        <v>9.6</v>
      </c>
      <c r="P59" t="str">
        <f>E58</f>
        <v>AÑO 3</v>
      </c>
    </row>
    <row r="60" spans="1:17" x14ac:dyDescent="0.3">
      <c r="O60" s="224">
        <f>C62</f>
        <v>12.8</v>
      </c>
      <c r="P60" t="str">
        <f>E61</f>
        <v>AÑO 4</v>
      </c>
    </row>
    <row r="61" spans="1:17" x14ac:dyDescent="0.3">
      <c r="A61" s="80" t="s">
        <v>512</v>
      </c>
      <c r="B61" s="240">
        <f>F47</f>
        <v>12.8</v>
      </c>
      <c r="C61" s="80"/>
      <c r="D61" s="80"/>
      <c r="E61" s="798" t="s">
        <v>527</v>
      </c>
      <c r="O61" s="224">
        <f>C65</f>
        <v>16</v>
      </c>
      <c r="P61" t="str">
        <f>E64</f>
        <v>AÑO 5</v>
      </c>
    </row>
    <row r="62" spans="1:17" ht="15" thickBot="1" x14ac:dyDescent="0.35">
      <c r="A62" s="80" t="s">
        <v>516</v>
      </c>
      <c r="B62" s="80"/>
      <c r="C62" s="240">
        <f>F47</f>
        <v>12.8</v>
      </c>
      <c r="D62" s="240"/>
      <c r="E62" s="798"/>
      <c r="O62" s="242">
        <f>SUM(O57:O61)</f>
        <v>48</v>
      </c>
    </row>
    <row r="63" spans="1:17" ht="15" thickTop="1" x14ac:dyDescent="0.3">
      <c r="O63" s="224">
        <f>-B67</f>
        <v>-16</v>
      </c>
      <c r="P63" t="s">
        <v>528</v>
      </c>
    </row>
    <row r="64" spans="1:17" x14ac:dyDescent="0.3">
      <c r="A64" s="80" t="s">
        <v>512</v>
      </c>
      <c r="B64" s="240">
        <f>G47</f>
        <v>16</v>
      </c>
      <c r="C64" s="80"/>
      <c r="D64" s="80"/>
      <c r="E64" s="798" t="s">
        <v>529</v>
      </c>
      <c r="O64" s="224">
        <f>-B70</f>
        <v>-12.8</v>
      </c>
      <c r="P64" t="s">
        <v>530</v>
      </c>
    </row>
    <row r="65" spans="1:16" x14ac:dyDescent="0.3">
      <c r="A65" s="80" t="s">
        <v>516</v>
      </c>
      <c r="B65" s="80"/>
      <c r="C65" s="240">
        <f>G47</f>
        <v>16</v>
      </c>
      <c r="D65" s="240"/>
      <c r="E65" s="798"/>
      <c r="O65" s="224">
        <f>-B73</f>
        <v>-9.6</v>
      </c>
      <c r="P65" t="s">
        <v>531</v>
      </c>
    </row>
    <row r="66" spans="1:16" x14ac:dyDescent="0.3">
      <c r="O66" s="224">
        <f>-B76</f>
        <v>-6.4</v>
      </c>
      <c r="P66" t="s">
        <v>532</v>
      </c>
    </row>
    <row r="67" spans="1:16" x14ac:dyDescent="0.3">
      <c r="A67" s="80" t="s">
        <v>533</v>
      </c>
      <c r="B67" s="240">
        <f>H47</f>
        <v>16</v>
      </c>
      <c r="C67" s="80"/>
      <c r="D67" s="80"/>
      <c r="E67" s="798" t="s">
        <v>528</v>
      </c>
      <c r="O67" s="224">
        <f>-B79</f>
        <v>-3.2</v>
      </c>
      <c r="P67" t="s">
        <v>534</v>
      </c>
    </row>
    <row r="68" spans="1:16" ht="15" thickBot="1" x14ac:dyDescent="0.35">
      <c r="A68" s="80" t="s">
        <v>535</v>
      </c>
      <c r="B68" s="80"/>
      <c r="C68" s="240">
        <f>B67</f>
        <v>16</v>
      </c>
      <c r="D68" s="240"/>
      <c r="E68" s="798"/>
      <c r="O68" s="242">
        <f>SUM(O63:O67)</f>
        <v>-48</v>
      </c>
    </row>
    <row r="69" spans="1:16" ht="15.6" thickTop="1" thickBot="1" x14ac:dyDescent="0.35">
      <c r="O69" s="243">
        <f>O62+O68</f>
        <v>0</v>
      </c>
    </row>
    <row r="70" spans="1:16" ht="15" thickTop="1" x14ac:dyDescent="0.3">
      <c r="A70" s="234" t="s">
        <v>533</v>
      </c>
      <c r="B70" s="237">
        <f>I47</f>
        <v>12.8</v>
      </c>
      <c r="C70" s="234"/>
      <c r="D70" s="80"/>
      <c r="E70" s="798" t="s">
        <v>530</v>
      </c>
    </row>
    <row r="71" spans="1:16" x14ac:dyDescent="0.3">
      <c r="A71" s="244" t="s">
        <v>535</v>
      </c>
      <c r="B71" s="244"/>
      <c r="C71" s="245">
        <f>B70</f>
        <v>12.8</v>
      </c>
      <c r="D71" s="240" t="s">
        <v>536</v>
      </c>
      <c r="E71" s="798"/>
    </row>
    <row r="73" spans="1:16" x14ac:dyDescent="0.3">
      <c r="A73" s="80" t="s">
        <v>533</v>
      </c>
      <c r="B73" s="240">
        <f>J47</f>
        <v>9.6</v>
      </c>
      <c r="C73" s="80"/>
      <c r="D73" s="80"/>
      <c r="E73" s="798" t="s">
        <v>531</v>
      </c>
    </row>
    <row r="74" spans="1:16" x14ac:dyDescent="0.3">
      <c r="A74" s="80" t="s">
        <v>535</v>
      </c>
      <c r="B74" s="80"/>
      <c r="C74" s="240">
        <f>B73</f>
        <v>9.6</v>
      </c>
      <c r="D74" s="240"/>
      <c r="E74" s="798"/>
    </row>
    <row r="76" spans="1:16" x14ac:dyDescent="0.3">
      <c r="A76" s="80" t="s">
        <v>533</v>
      </c>
      <c r="B76" s="240">
        <f>K47</f>
        <v>6.4</v>
      </c>
      <c r="C76" s="80"/>
      <c r="D76" s="80"/>
      <c r="E76" s="798" t="s">
        <v>532</v>
      </c>
    </row>
    <row r="77" spans="1:16" x14ac:dyDescent="0.3">
      <c r="A77" s="80" t="s">
        <v>535</v>
      </c>
      <c r="B77" s="80"/>
      <c r="C77" s="240">
        <f>B76</f>
        <v>6.4</v>
      </c>
      <c r="D77" s="240"/>
      <c r="E77" s="798"/>
    </row>
    <row r="79" spans="1:16" x14ac:dyDescent="0.3">
      <c r="A79" s="80" t="s">
        <v>533</v>
      </c>
      <c r="B79" s="240">
        <f>L47</f>
        <v>3.2</v>
      </c>
      <c r="C79" s="80"/>
      <c r="D79" s="80"/>
      <c r="E79" s="798" t="s">
        <v>534</v>
      </c>
    </row>
    <row r="80" spans="1:16" x14ac:dyDescent="0.3">
      <c r="A80" s="80" t="s">
        <v>535</v>
      </c>
      <c r="B80" s="80"/>
      <c r="C80" s="240">
        <f>B79</f>
        <v>3.2</v>
      </c>
      <c r="D80" s="240"/>
      <c r="E80" s="798"/>
    </row>
  </sheetData>
  <mergeCells count="12">
    <mergeCell ref="E79:E80"/>
    <mergeCell ref="A1:B1"/>
    <mergeCell ref="E49:E50"/>
    <mergeCell ref="E52:E53"/>
    <mergeCell ref="E55:E56"/>
    <mergeCell ref="E58:E59"/>
    <mergeCell ref="E61:E62"/>
    <mergeCell ref="E64:E65"/>
    <mergeCell ref="E67:E68"/>
    <mergeCell ref="E70:E71"/>
    <mergeCell ref="E73:E74"/>
    <mergeCell ref="E76:E7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23"/>
  <sheetViews>
    <sheetView topLeftCell="G1" zoomScale="90" zoomScaleNormal="90" workbookViewId="0">
      <selection activeCell="I18" sqref="I18"/>
    </sheetView>
  </sheetViews>
  <sheetFormatPr baseColWidth="10" defaultColWidth="11.44140625" defaultRowHeight="14.4" x14ac:dyDescent="0.3"/>
  <cols>
    <col min="1" max="1" width="22.6640625" customWidth="1"/>
    <col min="5" max="5" width="20.109375" bestFit="1" customWidth="1"/>
    <col min="7" max="7" width="3.5546875" customWidth="1"/>
    <col min="8" max="8" width="3" customWidth="1"/>
    <col min="9" max="9" width="23.33203125" customWidth="1"/>
    <col min="11" max="11" width="4" customWidth="1"/>
    <col min="12" max="12" width="2.88671875" customWidth="1"/>
    <col min="13" max="13" width="45.88671875" customWidth="1"/>
    <col min="17" max="17" width="34.44140625" customWidth="1"/>
  </cols>
  <sheetData>
    <row r="1" spans="1:19" x14ac:dyDescent="0.3">
      <c r="A1" s="799" t="s">
        <v>4</v>
      </c>
      <c r="B1" s="800"/>
      <c r="C1" s="112"/>
      <c r="D1" s="112"/>
      <c r="E1" s="800" t="s">
        <v>537</v>
      </c>
      <c r="F1" s="801"/>
      <c r="I1" s="765" t="s">
        <v>538</v>
      </c>
      <c r="J1" s="765"/>
      <c r="M1" s="802" t="s">
        <v>3</v>
      </c>
      <c r="N1" s="803"/>
      <c r="O1" s="118"/>
    </row>
    <row r="2" spans="1:19" x14ac:dyDescent="0.3">
      <c r="A2" s="113" t="s">
        <v>144</v>
      </c>
      <c r="B2">
        <f>5+J7</f>
        <v>4</v>
      </c>
      <c r="E2" t="s">
        <v>539</v>
      </c>
      <c r="F2" s="114">
        <v>40</v>
      </c>
      <c r="I2" t="s">
        <v>540</v>
      </c>
      <c r="J2">
        <v>50</v>
      </c>
      <c r="M2" s="119" t="s">
        <v>541</v>
      </c>
      <c r="N2" s="46"/>
      <c r="O2" s="120"/>
    </row>
    <row r="3" spans="1:19" x14ac:dyDescent="0.3">
      <c r="A3" s="113" t="s">
        <v>542</v>
      </c>
      <c r="B3">
        <f>50</f>
        <v>50</v>
      </c>
      <c r="E3" t="s">
        <v>543</v>
      </c>
      <c r="F3" s="114">
        <v>5</v>
      </c>
      <c r="M3" s="119" t="s">
        <v>544</v>
      </c>
      <c r="N3" s="46"/>
      <c r="O3" s="120"/>
    </row>
    <row r="4" spans="1:19" x14ac:dyDescent="0.3">
      <c r="A4" s="113"/>
      <c r="F4" s="114"/>
      <c r="I4" t="s">
        <v>545</v>
      </c>
      <c r="J4">
        <v>-2</v>
      </c>
      <c r="M4" s="119" t="s">
        <v>546</v>
      </c>
      <c r="N4" s="46"/>
      <c r="O4" s="120"/>
      <c r="Q4" t="s">
        <v>547</v>
      </c>
    </row>
    <row r="5" spans="1:19" x14ac:dyDescent="0.3">
      <c r="A5" s="113"/>
      <c r="F5" s="114"/>
      <c r="M5" s="121" t="s">
        <v>326</v>
      </c>
      <c r="N5" s="79" t="s">
        <v>548</v>
      </c>
      <c r="O5" s="120" t="s">
        <v>549</v>
      </c>
      <c r="P5" t="s">
        <v>550</v>
      </c>
      <c r="Q5" t="s">
        <v>551</v>
      </c>
    </row>
    <row r="6" spans="1:19" x14ac:dyDescent="0.3">
      <c r="A6" s="113" t="s">
        <v>552</v>
      </c>
      <c r="B6">
        <v>100</v>
      </c>
      <c r="F6" s="114"/>
      <c r="M6" s="119" t="s">
        <v>553</v>
      </c>
      <c r="N6" s="46"/>
      <c r="O6" s="120"/>
      <c r="Q6" t="s">
        <v>554</v>
      </c>
    </row>
    <row r="7" spans="1:19" x14ac:dyDescent="0.3">
      <c r="A7" s="113" t="s">
        <v>555</v>
      </c>
      <c r="B7">
        <v>-2</v>
      </c>
      <c r="F7" s="114"/>
      <c r="I7" t="s">
        <v>556</v>
      </c>
      <c r="J7">
        <v>-1</v>
      </c>
      <c r="M7" s="119" t="s">
        <v>557</v>
      </c>
      <c r="N7" s="46"/>
      <c r="O7" s="120"/>
      <c r="P7" t="s">
        <v>558</v>
      </c>
      <c r="Q7" t="s">
        <v>559</v>
      </c>
    </row>
    <row r="8" spans="1:19" x14ac:dyDescent="0.3">
      <c r="A8" s="113"/>
      <c r="E8" t="s">
        <v>44</v>
      </c>
      <c r="F8" s="114">
        <v>60</v>
      </c>
      <c r="M8" s="119" t="s">
        <v>560</v>
      </c>
      <c r="N8" s="46"/>
      <c r="O8" s="120"/>
      <c r="Q8" t="s">
        <v>561</v>
      </c>
    </row>
    <row r="9" spans="1:19" x14ac:dyDescent="0.3">
      <c r="A9" s="113"/>
      <c r="E9" t="s">
        <v>56</v>
      </c>
      <c r="F9" s="114">
        <f>J10</f>
        <v>47</v>
      </c>
      <c r="M9" s="119" t="s">
        <v>562</v>
      </c>
      <c r="N9" s="46"/>
      <c r="O9" s="120"/>
      <c r="Q9" t="s">
        <v>563</v>
      </c>
    </row>
    <row r="10" spans="1:19" x14ac:dyDescent="0.3">
      <c r="A10" s="113"/>
      <c r="F10" s="114"/>
      <c r="I10" t="s">
        <v>564</v>
      </c>
      <c r="J10">
        <f>J2+J4+J7</f>
        <v>47</v>
      </c>
      <c r="M10" s="121" t="s">
        <v>337</v>
      </c>
      <c r="N10" s="79" t="s">
        <v>565</v>
      </c>
      <c r="O10" s="120" t="s">
        <v>566</v>
      </c>
      <c r="Q10" s="44" t="s">
        <v>356</v>
      </c>
      <c r="R10" s="77" t="s">
        <v>567</v>
      </c>
    </row>
    <row r="11" spans="1:19" x14ac:dyDescent="0.3">
      <c r="A11" s="113"/>
      <c r="F11" s="114"/>
      <c r="M11" s="119" t="s">
        <v>568</v>
      </c>
      <c r="N11" s="46"/>
      <c r="O11" s="120"/>
      <c r="Q11" s="44" t="s">
        <v>569</v>
      </c>
      <c r="S11" t="s">
        <v>570</v>
      </c>
    </row>
    <row r="12" spans="1:19" ht="15" thickBot="1" x14ac:dyDescent="0.35">
      <c r="A12" s="115"/>
      <c r="B12" s="116"/>
      <c r="C12" s="116"/>
      <c r="D12" s="116"/>
      <c r="E12" s="116"/>
      <c r="F12" s="117"/>
      <c r="M12" s="119" t="s">
        <v>571</v>
      </c>
      <c r="N12" s="46"/>
      <c r="O12" s="120"/>
      <c r="Q12" s="44" t="s">
        <v>572</v>
      </c>
      <c r="S12" t="s">
        <v>573</v>
      </c>
    </row>
    <row r="13" spans="1:19" x14ac:dyDescent="0.3">
      <c r="B13">
        <f>SUM(B2:B12)</f>
        <v>152</v>
      </c>
      <c r="F13">
        <f>SUM(F2:F12)</f>
        <v>152</v>
      </c>
      <c r="M13" s="121" t="s">
        <v>574</v>
      </c>
      <c r="N13" s="79" t="s">
        <v>575</v>
      </c>
      <c r="O13" s="120" t="s">
        <v>576</v>
      </c>
      <c r="Q13" s="44" t="s">
        <v>577</v>
      </c>
    </row>
    <row r="14" spans="1:19" ht="15" thickBot="1" x14ac:dyDescent="0.35">
      <c r="M14" s="119" t="s">
        <v>578</v>
      </c>
      <c r="N14" s="46"/>
      <c r="O14" s="120"/>
      <c r="Q14" s="44" t="s">
        <v>579</v>
      </c>
    </row>
    <row r="15" spans="1:19" ht="15" thickBot="1" x14ac:dyDescent="0.35">
      <c r="M15" s="121" t="s">
        <v>348</v>
      </c>
      <c r="N15" s="79" t="s">
        <v>580</v>
      </c>
      <c r="O15" s="120" t="s">
        <v>581</v>
      </c>
      <c r="Q15" s="130" t="s">
        <v>351</v>
      </c>
      <c r="R15" s="131"/>
    </row>
    <row r="16" spans="1:19" x14ac:dyDescent="0.3">
      <c r="M16" s="119" t="s">
        <v>582</v>
      </c>
      <c r="N16" s="46"/>
      <c r="O16" s="120"/>
      <c r="Q16" s="44" t="s">
        <v>583</v>
      </c>
    </row>
    <row r="17" spans="13:15" ht="15" thickBot="1" x14ac:dyDescent="0.35">
      <c r="M17" s="119" t="s">
        <v>584</v>
      </c>
      <c r="N17" s="46"/>
      <c r="O17" s="120"/>
    </row>
    <row r="18" spans="13:15" ht="15" thickBot="1" x14ac:dyDescent="0.35">
      <c r="M18" s="123" t="s">
        <v>352</v>
      </c>
      <c r="N18" s="124" t="s">
        <v>547</v>
      </c>
      <c r="O18" s="125" t="s">
        <v>585</v>
      </c>
    </row>
    <row r="19" spans="13:15" ht="15" thickBot="1" x14ac:dyDescent="0.35">
      <c r="M19" s="78"/>
      <c r="N19" s="78"/>
      <c r="O19" s="78"/>
    </row>
    <row r="20" spans="13:15" ht="15" thickBot="1" x14ac:dyDescent="0.35">
      <c r="M20" s="126" t="s">
        <v>586</v>
      </c>
      <c r="N20" s="127" t="s">
        <v>587</v>
      </c>
      <c r="O20" s="128"/>
    </row>
    <row r="21" spans="13:15" x14ac:dyDescent="0.3">
      <c r="M21" s="78"/>
      <c r="N21" s="78"/>
      <c r="O21" s="78"/>
    </row>
    <row r="22" spans="13:15" x14ac:dyDescent="0.3">
      <c r="M22" s="78"/>
      <c r="N22" s="78"/>
      <c r="O22" s="78"/>
    </row>
    <row r="23" spans="13:15" x14ac:dyDescent="0.3">
      <c r="M23" s="122" t="s">
        <v>588</v>
      </c>
      <c r="N23" s="122" t="s">
        <v>589</v>
      </c>
      <c r="O23" s="44"/>
    </row>
  </sheetData>
  <mergeCells count="4">
    <mergeCell ref="A1:B1"/>
    <mergeCell ref="E1:F1"/>
    <mergeCell ref="I1:J1"/>
    <mergeCell ref="M1:N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4"/>
  <sheetViews>
    <sheetView topLeftCell="B1" zoomScale="120" zoomScaleNormal="120" workbookViewId="0">
      <selection activeCell="G3" sqref="G3"/>
    </sheetView>
  </sheetViews>
  <sheetFormatPr baseColWidth="10" defaultColWidth="11.44140625" defaultRowHeight="14.4" x14ac:dyDescent="0.3"/>
  <cols>
    <col min="2" max="2" width="67" bestFit="1" customWidth="1"/>
    <col min="4" max="4" width="27.6640625" customWidth="1"/>
    <col min="5" max="5" width="19.44140625" customWidth="1"/>
  </cols>
  <sheetData>
    <row r="1" spans="2:8" ht="15" thickBot="1" x14ac:dyDescent="0.35"/>
    <row r="2" spans="2:8" x14ac:dyDescent="0.3">
      <c r="B2" s="587" t="s">
        <v>3</v>
      </c>
      <c r="C2" s="588" t="s">
        <v>358</v>
      </c>
      <c r="D2" s="146" t="s">
        <v>590</v>
      </c>
      <c r="E2" t="s">
        <v>591</v>
      </c>
      <c r="F2" t="s">
        <v>592</v>
      </c>
    </row>
    <row r="3" spans="2:8" x14ac:dyDescent="0.3">
      <c r="B3" s="113" t="s">
        <v>541</v>
      </c>
      <c r="C3">
        <v>250</v>
      </c>
      <c r="D3" s="114">
        <v>220</v>
      </c>
      <c r="E3">
        <v>0</v>
      </c>
      <c r="F3">
        <v>30</v>
      </c>
      <c r="G3" t="s">
        <v>593</v>
      </c>
      <c r="H3" t="s">
        <v>594</v>
      </c>
    </row>
    <row r="4" spans="2:8" x14ac:dyDescent="0.3">
      <c r="B4" s="113" t="s">
        <v>544</v>
      </c>
      <c r="D4" s="114"/>
      <c r="G4" t="s">
        <v>595</v>
      </c>
      <c r="H4">
        <v>100</v>
      </c>
    </row>
    <row r="5" spans="2:8" x14ac:dyDescent="0.3">
      <c r="B5" s="192" t="s">
        <v>596</v>
      </c>
      <c r="D5" s="114"/>
      <c r="G5" t="s">
        <v>597</v>
      </c>
      <c r="H5">
        <v>120</v>
      </c>
    </row>
    <row r="6" spans="2:8" x14ac:dyDescent="0.3">
      <c r="B6" s="147" t="s">
        <v>326</v>
      </c>
      <c r="C6" s="71" t="s">
        <v>548</v>
      </c>
      <c r="D6" s="114" t="s">
        <v>549</v>
      </c>
      <c r="G6" t="s">
        <v>598</v>
      </c>
      <c r="H6">
        <v>20</v>
      </c>
    </row>
    <row r="7" spans="2:8" x14ac:dyDescent="0.3">
      <c r="B7" s="113" t="s">
        <v>553</v>
      </c>
      <c r="D7" s="114"/>
    </row>
    <row r="8" spans="2:8" x14ac:dyDescent="0.3">
      <c r="B8" s="113" t="s">
        <v>557</v>
      </c>
      <c r="D8" s="114"/>
    </row>
    <row r="9" spans="2:8" x14ac:dyDescent="0.3">
      <c r="B9" s="113" t="s">
        <v>560</v>
      </c>
      <c r="D9" s="114"/>
    </row>
    <row r="10" spans="2:8" x14ac:dyDescent="0.3">
      <c r="B10" s="192" t="s">
        <v>562</v>
      </c>
      <c r="D10" s="114"/>
    </row>
    <row r="11" spans="2:8" x14ac:dyDescent="0.3">
      <c r="B11" s="147" t="s">
        <v>337</v>
      </c>
      <c r="C11" s="71" t="s">
        <v>565</v>
      </c>
      <c r="D11" s="114" t="s">
        <v>566</v>
      </c>
      <c r="G11" t="s">
        <v>599</v>
      </c>
    </row>
    <row r="12" spans="2:8" x14ac:dyDescent="0.3">
      <c r="B12" s="360" t="s">
        <v>600</v>
      </c>
      <c r="C12" s="110">
        <v>20</v>
      </c>
      <c r="D12" s="361"/>
      <c r="E12" s="110"/>
    </row>
    <row r="13" spans="2:8" x14ac:dyDescent="0.3">
      <c r="B13" s="360" t="s">
        <v>601</v>
      </c>
      <c r="C13" s="110">
        <v>100</v>
      </c>
      <c r="D13" s="361"/>
      <c r="E13" s="110"/>
    </row>
    <row r="14" spans="2:8" x14ac:dyDescent="0.3">
      <c r="B14" s="360" t="s">
        <v>571</v>
      </c>
      <c r="C14" s="110"/>
      <c r="D14" s="361"/>
      <c r="E14" s="110"/>
    </row>
    <row r="15" spans="2:8" x14ac:dyDescent="0.3">
      <c r="B15" s="147" t="s">
        <v>602</v>
      </c>
      <c r="C15" s="71" t="s">
        <v>575</v>
      </c>
      <c r="D15" s="114" t="s">
        <v>576</v>
      </c>
      <c r="G15" t="s">
        <v>603</v>
      </c>
    </row>
    <row r="16" spans="2:8" x14ac:dyDescent="0.3">
      <c r="B16" s="113" t="s">
        <v>578</v>
      </c>
      <c r="C16" t="s">
        <v>604</v>
      </c>
      <c r="D16" s="114"/>
    </row>
    <row r="17" spans="1:5" x14ac:dyDescent="0.3">
      <c r="B17" s="147" t="s">
        <v>348</v>
      </c>
      <c r="C17" s="71" t="s">
        <v>580</v>
      </c>
      <c r="D17" s="114" t="s">
        <v>581</v>
      </c>
    </row>
    <row r="18" spans="1:5" x14ac:dyDescent="0.3">
      <c r="B18" s="113" t="s">
        <v>582</v>
      </c>
      <c r="C18" t="s">
        <v>604</v>
      </c>
      <c r="D18" s="114"/>
    </row>
    <row r="19" spans="1:5" ht="15" thickBot="1" x14ac:dyDescent="0.35">
      <c r="B19" s="113" t="s">
        <v>584</v>
      </c>
      <c r="C19" t="s">
        <v>605</v>
      </c>
      <c r="D19" s="114"/>
    </row>
    <row r="20" spans="1:5" ht="15" thickBot="1" x14ac:dyDescent="0.35">
      <c r="B20" s="193" t="s">
        <v>352</v>
      </c>
      <c r="C20" s="194" t="s">
        <v>547</v>
      </c>
      <c r="D20" s="131" t="s">
        <v>585</v>
      </c>
      <c r="E20" s="777" t="s">
        <v>606</v>
      </c>
    </row>
    <row r="21" spans="1:5" x14ac:dyDescent="0.3">
      <c r="B21" s="46" t="s">
        <v>607</v>
      </c>
      <c r="C21" s="46"/>
      <c r="D21" s="807" t="s">
        <v>608</v>
      </c>
      <c r="E21" s="777"/>
    </row>
    <row r="22" spans="1:5" x14ac:dyDescent="0.3">
      <c r="B22" s="46" t="s">
        <v>609</v>
      </c>
      <c r="C22" s="46"/>
      <c r="D22" s="808"/>
      <c r="E22" s="777"/>
    </row>
    <row r="23" spans="1:5" x14ac:dyDescent="0.3">
      <c r="B23" s="46" t="s">
        <v>610</v>
      </c>
      <c r="C23" s="46">
        <v>-20</v>
      </c>
      <c r="D23" s="808"/>
      <c r="E23" s="777"/>
    </row>
    <row r="24" spans="1:5" x14ac:dyDescent="0.3">
      <c r="B24" s="46" t="s">
        <v>611</v>
      </c>
      <c r="C24" s="46">
        <v>-100</v>
      </c>
      <c r="D24" s="808"/>
      <c r="E24" s="777"/>
    </row>
    <row r="25" spans="1:5" x14ac:dyDescent="0.3">
      <c r="B25" s="46" t="s">
        <v>612</v>
      </c>
      <c r="C25" s="46"/>
      <c r="D25" s="808"/>
      <c r="E25" s="777"/>
    </row>
    <row r="26" spans="1:5" x14ac:dyDescent="0.3">
      <c r="B26" s="46" t="s">
        <v>613</v>
      </c>
      <c r="C26" s="46"/>
      <c r="D26" s="808"/>
      <c r="E26" s="777"/>
    </row>
    <row r="27" spans="1:5" x14ac:dyDescent="0.3">
      <c r="B27" s="46" t="s">
        <v>614</v>
      </c>
      <c r="C27" s="46"/>
      <c r="D27" s="808"/>
      <c r="E27" s="777"/>
    </row>
    <row r="28" spans="1:5" x14ac:dyDescent="0.3">
      <c r="B28" s="46" t="s">
        <v>615</v>
      </c>
      <c r="C28" s="46"/>
      <c r="D28" s="808"/>
      <c r="E28" s="777"/>
    </row>
    <row r="29" spans="1:5" x14ac:dyDescent="0.3">
      <c r="B29" s="46" t="s">
        <v>616</v>
      </c>
      <c r="C29" s="46"/>
      <c r="D29" s="808"/>
      <c r="E29" s="777"/>
    </row>
    <row r="30" spans="1:5" ht="15" thickBot="1" x14ac:dyDescent="0.35">
      <c r="B30" s="46" t="s">
        <v>617</v>
      </c>
      <c r="C30" s="46"/>
      <c r="D30" s="808"/>
      <c r="E30" s="777"/>
    </row>
    <row r="31" spans="1:5" ht="15.75" hidden="1" customHeight="1" thickBot="1" x14ac:dyDescent="0.35">
      <c r="B31" s="79" t="s">
        <v>618</v>
      </c>
      <c r="D31" s="808"/>
      <c r="E31" s="777"/>
    </row>
    <row r="32" spans="1:5" ht="13.5" customHeight="1" x14ac:dyDescent="0.3">
      <c r="A32" t="s">
        <v>619</v>
      </c>
      <c r="B32" s="44" t="s">
        <v>620</v>
      </c>
      <c r="C32" s="44">
        <v>-30</v>
      </c>
      <c r="D32" s="804" t="s">
        <v>621</v>
      </c>
      <c r="E32" s="777"/>
    </row>
    <row r="33" spans="1:5" x14ac:dyDescent="0.3">
      <c r="A33" t="s">
        <v>622</v>
      </c>
      <c r="B33" s="44" t="s">
        <v>623</v>
      </c>
      <c r="C33" s="44"/>
      <c r="D33" s="805"/>
      <c r="E33" s="777"/>
    </row>
    <row r="34" spans="1:5" x14ac:dyDescent="0.3">
      <c r="A34" t="s">
        <v>624</v>
      </c>
      <c r="B34" s="44" t="s">
        <v>625</v>
      </c>
      <c r="C34" s="44"/>
      <c r="D34" s="805"/>
      <c r="E34" s="777"/>
    </row>
    <row r="35" spans="1:5" x14ac:dyDescent="0.3">
      <c r="B35" s="44" t="s">
        <v>626</v>
      </c>
      <c r="C35" s="44"/>
      <c r="D35" s="805"/>
      <c r="E35" s="777"/>
    </row>
    <row r="36" spans="1:5" x14ac:dyDescent="0.3">
      <c r="B36" s="44" t="s">
        <v>627</v>
      </c>
      <c r="C36" s="44"/>
      <c r="D36" s="805"/>
      <c r="E36" s="777"/>
    </row>
    <row r="37" spans="1:5" ht="15" thickBot="1" x14ac:dyDescent="0.35">
      <c r="B37" s="44" t="s">
        <v>628</v>
      </c>
      <c r="C37" s="44"/>
      <c r="D37" s="806"/>
      <c r="E37" s="777"/>
    </row>
    <row r="38" spans="1:5" x14ac:dyDescent="0.3">
      <c r="B38" s="44"/>
      <c r="C38" s="44"/>
      <c r="E38" s="777"/>
    </row>
    <row r="39" spans="1:5" x14ac:dyDescent="0.3">
      <c r="B39" s="589" t="s">
        <v>629</v>
      </c>
      <c r="C39" s="78" t="s">
        <v>630</v>
      </c>
      <c r="D39" t="s">
        <v>631</v>
      </c>
      <c r="E39" s="777"/>
    </row>
    <row r="44" spans="1:5" x14ac:dyDescent="0.3">
      <c r="B44" t="s">
        <v>632</v>
      </c>
    </row>
  </sheetData>
  <mergeCells count="3">
    <mergeCell ref="D32:D37"/>
    <mergeCell ref="D21:D31"/>
    <mergeCell ref="E20:E39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G35"/>
  <sheetViews>
    <sheetView topLeftCell="E1" zoomScale="120" zoomScaleNormal="120" workbookViewId="0">
      <selection activeCell="F34" sqref="F34"/>
    </sheetView>
  </sheetViews>
  <sheetFormatPr baseColWidth="10" defaultColWidth="11.44140625" defaultRowHeight="14.4" x14ac:dyDescent="0.3"/>
  <cols>
    <col min="1" max="1" width="40.33203125" customWidth="1"/>
    <col min="2" max="2" width="43.44140625" customWidth="1"/>
    <col min="5" max="5" width="29" customWidth="1"/>
    <col min="7" max="7" width="24.44140625" customWidth="1"/>
  </cols>
  <sheetData>
    <row r="1" spans="2:7" x14ac:dyDescent="0.3">
      <c r="B1" s="109" t="s">
        <v>3</v>
      </c>
      <c r="E1" t="str">
        <f>B17</f>
        <v>UTILIDAD NETA</v>
      </c>
    </row>
    <row r="2" spans="2:7" x14ac:dyDescent="0.3">
      <c r="B2" t="s">
        <v>320</v>
      </c>
      <c r="E2" t="s">
        <v>633</v>
      </c>
    </row>
    <row r="3" spans="2:7" x14ac:dyDescent="0.3">
      <c r="B3" t="s">
        <v>634</v>
      </c>
      <c r="E3" t="str">
        <f>B14</f>
        <v>UTILIDAD ANTES DE IMPUESTOS</v>
      </c>
    </row>
    <row r="4" spans="2:7" x14ac:dyDescent="0.3">
      <c r="B4" s="71" t="s">
        <v>326</v>
      </c>
      <c r="E4" t="s">
        <v>635</v>
      </c>
    </row>
    <row r="5" spans="2:7" x14ac:dyDescent="0.3">
      <c r="B5" t="s">
        <v>636</v>
      </c>
      <c r="E5" t="str">
        <f>B12</f>
        <v>UTILIDAD ANTES DE INTERESES E IMPUESTOS</v>
      </c>
      <c r="F5" t="s">
        <v>637</v>
      </c>
      <c r="G5" t="s">
        <v>638</v>
      </c>
    </row>
    <row r="6" spans="2:7" x14ac:dyDescent="0.3">
      <c r="B6" t="s">
        <v>639</v>
      </c>
      <c r="E6" t="s">
        <v>640</v>
      </c>
    </row>
    <row r="7" spans="2:7" x14ac:dyDescent="0.3">
      <c r="B7" s="71" t="s">
        <v>356</v>
      </c>
      <c r="E7" t="s">
        <v>641</v>
      </c>
    </row>
    <row r="8" spans="2:7" x14ac:dyDescent="0.3">
      <c r="B8" t="s">
        <v>642</v>
      </c>
      <c r="E8" s="71" t="s">
        <v>356</v>
      </c>
    </row>
    <row r="9" spans="2:7" x14ac:dyDescent="0.3">
      <c r="B9" s="71" t="s">
        <v>337</v>
      </c>
      <c r="E9" s="78" t="s">
        <v>643</v>
      </c>
      <c r="F9" s="78" t="s">
        <v>570</v>
      </c>
    </row>
    <row r="10" spans="2:7" x14ac:dyDescent="0.3">
      <c r="B10" t="s">
        <v>644</v>
      </c>
      <c r="E10" s="78" t="s">
        <v>645</v>
      </c>
      <c r="F10" s="78" t="s">
        <v>573</v>
      </c>
    </row>
    <row r="11" spans="2:7" x14ac:dyDescent="0.3">
      <c r="B11" t="s">
        <v>646</v>
      </c>
      <c r="E11" s="44" t="s">
        <v>647</v>
      </c>
    </row>
    <row r="12" spans="2:7" x14ac:dyDescent="0.3">
      <c r="B12" s="71" t="s">
        <v>574</v>
      </c>
      <c r="E12" s="44" t="s">
        <v>648</v>
      </c>
    </row>
    <row r="13" spans="2:7" x14ac:dyDescent="0.3">
      <c r="B13" t="s">
        <v>578</v>
      </c>
      <c r="E13" s="71" t="s">
        <v>649</v>
      </c>
    </row>
    <row r="14" spans="2:7" x14ac:dyDescent="0.3">
      <c r="B14" s="71" t="s">
        <v>348</v>
      </c>
    </row>
    <row r="15" spans="2:7" x14ac:dyDescent="0.3">
      <c r="B15" t="s">
        <v>650</v>
      </c>
    </row>
    <row r="16" spans="2:7" x14ac:dyDescent="0.3">
      <c r="B16" t="s">
        <v>651</v>
      </c>
    </row>
    <row r="17" spans="2:6" x14ac:dyDescent="0.3">
      <c r="B17" s="71" t="s">
        <v>352</v>
      </c>
    </row>
    <row r="18" spans="2:6" x14ac:dyDescent="0.3">
      <c r="E18" t="s">
        <v>652</v>
      </c>
      <c r="F18">
        <v>100</v>
      </c>
    </row>
    <row r="19" spans="2:6" x14ac:dyDescent="0.3">
      <c r="E19" s="79" t="s">
        <v>653</v>
      </c>
      <c r="F19" s="79">
        <v>90</v>
      </c>
    </row>
    <row r="20" spans="2:6" x14ac:dyDescent="0.3">
      <c r="E20" s="195" t="s">
        <v>654</v>
      </c>
      <c r="F20" s="195">
        <v>-15</v>
      </c>
    </row>
    <row r="21" spans="2:6" x14ac:dyDescent="0.3">
      <c r="E21" s="195" t="s">
        <v>655</v>
      </c>
      <c r="F21" s="195">
        <v>-6</v>
      </c>
    </row>
    <row r="22" spans="2:6" x14ac:dyDescent="0.3">
      <c r="E22" s="195" t="s">
        <v>656</v>
      </c>
      <c r="F22" s="195">
        <v>-3</v>
      </c>
    </row>
    <row r="23" spans="2:6" x14ac:dyDescent="0.3">
      <c r="E23" s="195" t="s">
        <v>657</v>
      </c>
      <c r="F23" s="195">
        <v>-12</v>
      </c>
    </row>
    <row r="24" spans="2:6" x14ac:dyDescent="0.3">
      <c r="E24" s="195" t="s">
        <v>658</v>
      </c>
      <c r="F24" s="195">
        <v>0</v>
      </c>
    </row>
    <row r="25" spans="2:6" x14ac:dyDescent="0.3">
      <c r="E25" s="195" t="s">
        <v>659</v>
      </c>
      <c r="F25" s="195">
        <v>0</v>
      </c>
    </row>
    <row r="26" spans="2:6" x14ac:dyDescent="0.3">
      <c r="E26" s="195" t="s">
        <v>660</v>
      </c>
      <c r="F26" s="195">
        <v>-2</v>
      </c>
    </row>
    <row r="27" spans="2:6" x14ac:dyDescent="0.3">
      <c r="E27" s="195" t="s">
        <v>661</v>
      </c>
      <c r="F27" s="195">
        <v>-2</v>
      </c>
    </row>
    <row r="28" spans="2:6" x14ac:dyDescent="0.3">
      <c r="E28" s="195" t="s">
        <v>662</v>
      </c>
      <c r="F28" s="195">
        <v>-20</v>
      </c>
    </row>
    <row r="29" spans="2:6" x14ac:dyDescent="0.3">
      <c r="E29" s="195" t="s">
        <v>663</v>
      </c>
      <c r="F29" s="195">
        <v>-10</v>
      </c>
    </row>
    <row r="30" spans="2:6" x14ac:dyDescent="0.3">
      <c r="E30" s="195" t="s">
        <v>664</v>
      </c>
      <c r="F30" s="195">
        <v>-3</v>
      </c>
    </row>
    <row r="31" spans="2:6" x14ac:dyDescent="0.3">
      <c r="E31" s="195" t="s">
        <v>665</v>
      </c>
      <c r="F31" s="195">
        <v>-1</v>
      </c>
    </row>
    <row r="32" spans="2:6" x14ac:dyDescent="0.3">
      <c r="E32" s="195" t="s">
        <v>666</v>
      </c>
      <c r="F32" s="195">
        <v>-15</v>
      </c>
    </row>
    <row r="33" spans="5:7" x14ac:dyDescent="0.3">
      <c r="E33" s="79" t="s">
        <v>351</v>
      </c>
      <c r="F33" s="79">
        <f>SUM(F19:F32)</f>
        <v>1</v>
      </c>
      <c r="G33" s="46" t="s">
        <v>667</v>
      </c>
    </row>
    <row r="34" spans="5:7" x14ac:dyDescent="0.3">
      <c r="F34">
        <v>17</v>
      </c>
      <c r="G34" t="s">
        <v>668</v>
      </c>
    </row>
    <row r="35" spans="5:7" x14ac:dyDescent="0.3">
      <c r="F35">
        <f>F33+F34</f>
        <v>18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8"/>
  <sheetViews>
    <sheetView zoomScale="90" zoomScaleNormal="90" workbookViewId="0">
      <selection activeCell="C40" sqref="C40"/>
    </sheetView>
  </sheetViews>
  <sheetFormatPr baseColWidth="10" defaultColWidth="11.44140625" defaultRowHeight="18" x14ac:dyDescent="0.35"/>
  <cols>
    <col min="1" max="1" width="48.5546875" style="81" customWidth="1"/>
    <col min="2" max="3" width="17.6640625" style="81" bestFit="1" customWidth="1"/>
    <col min="4" max="4" width="4.109375" style="81" customWidth="1"/>
    <col min="5" max="5" width="42.44140625" style="81" customWidth="1"/>
    <col min="6" max="6" width="11.109375" style="81" customWidth="1"/>
    <col min="7" max="7" width="18.5546875" style="81" customWidth="1"/>
    <col min="8" max="8" width="18.109375" style="81" customWidth="1"/>
    <col min="9" max="11" width="11.88671875" style="81" customWidth="1"/>
    <col min="12" max="12" width="4.44140625" style="81" bestFit="1" customWidth="1"/>
    <col min="13" max="13" width="37.109375" style="81" customWidth="1"/>
    <col min="14" max="14" width="9.33203125" style="81" customWidth="1"/>
    <col min="15" max="16384" width="11.44140625" style="81"/>
  </cols>
  <sheetData>
    <row r="1" spans="1:14" x14ac:dyDescent="0.35">
      <c r="A1" s="89" t="s">
        <v>4</v>
      </c>
      <c r="B1" s="89" t="s">
        <v>669</v>
      </c>
      <c r="C1" s="89" t="s">
        <v>670</v>
      </c>
      <c r="E1" s="81" t="s">
        <v>369</v>
      </c>
      <c r="G1" s="81" t="s">
        <v>671</v>
      </c>
    </row>
    <row r="2" spans="1:14" x14ac:dyDescent="0.35">
      <c r="A2" s="89" t="s">
        <v>5</v>
      </c>
      <c r="B2" s="89" t="s">
        <v>670</v>
      </c>
      <c r="C2" s="89" t="s">
        <v>669</v>
      </c>
      <c r="E2" s="81" t="s">
        <v>672</v>
      </c>
      <c r="G2" s="81">
        <v>50</v>
      </c>
    </row>
    <row r="3" spans="1:14" x14ac:dyDescent="0.35">
      <c r="A3" s="89" t="s">
        <v>41</v>
      </c>
      <c r="B3" s="89" t="s">
        <v>670</v>
      </c>
      <c r="C3" s="89" t="s">
        <v>669</v>
      </c>
      <c r="G3" s="81">
        <v>-5</v>
      </c>
    </row>
    <row r="4" spans="1:14" x14ac:dyDescent="0.35">
      <c r="A4" s="89" t="s">
        <v>673</v>
      </c>
      <c r="B4" s="89"/>
      <c r="C4" s="89" t="s">
        <v>669</v>
      </c>
      <c r="E4" s="393" t="s">
        <v>674</v>
      </c>
      <c r="F4" s="81">
        <v>45</v>
      </c>
      <c r="G4" s="158">
        <f>G2+G3</f>
        <v>45</v>
      </c>
    </row>
    <row r="5" spans="1:14" x14ac:dyDescent="0.35">
      <c r="A5" s="89" t="s">
        <v>322</v>
      </c>
      <c r="B5" s="89" t="s">
        <v>669</v>
      </c>
      <c r="C5" s="89"/>
    </row>
    <row r="6" spans="1:14" x14ac:dyDescent="0.35">
      <c r="A6" s="89" t="s">
        <v>675</v>
      </c>
      <c r="B6" s="89" t="s">
        <v>669</v>
      </c>
      <c r="C6" s="89"/>
    </row>
    <row r="7" spans="1:14" x14ac:dyDescent="0.35">
      <c r="A7" s="62"/>
      <c r="B7" s="151" t="s">
        <v>436</v>
      </c>
      <c r="C7" s="151" t="s">
        <v>437</v>
      </c>
      <c r="E7" s="81" t="s">
        <v>676</v>
      </c>
      <c r="F7" s="84" t="s">
        <v>677</v>
      </c>
      <c r="G7" s="153" t="s">
        <v>678</v>
      </c>
      <c r="H7" s="84" t="s">
        <v>679</v>
      </c>
      <c r="I7" s="81" t="s">
        <v>680</v>
      </c>
    </row>
    <row r="8" spans="1:14" x14ac:dyDescent="0.35">
      <c r="A8" s="62" t="s">
        <v>681</v>
      </c>
      <c r="B8" s="62">
        <v>50</v>
      </c>
      <c r="C8" s="62"/>
      <c r="E8" s="88" t="s">
        <v>682</v>
      </c>
      <c r="F8" s="392">
        <v>50</v>
      </c>
      <c r="G8" s="154">
        <f>F8-3</f>
        <v>47</v>
      </c>
      <c r="H8" s="81">
        <v>50</v>
      </c>
    </row>
    <row r="9" spans="1:14" x14ac:dyDescent="0.35">
      <c r="A9" s="83" t="s">
        <v>683</v>
      </c>
      <c r="B9" s="62"/>
      <c r="C9" s="158">
        <v>50</v>
      </c>
      <c r="E9" s="81" t="s">
        <v>446</v>
      </c>
      <c r="F9" s="81">
        <v>-5</v>
      </c>
      <c r="G9" s="154">
        <f>F9</f>
        <v>-5</v>
      </c>
      <c r="H9" s="81">
        <v>-5</v>
      </c>
      <c r="L9" s="721" t="s">
        <v>35</v>
      </c>
      <c r="M9" s="82" t="s">
        <v>179</v>
      </c>
    </row>
    <row r="10" spans="1:14" x14ac:dyDescent="0.35">
      <c r="E10" s="152" t="s">
        <v>684</v>
      </c>
      <c r="F10" s="394">
        <f>F8+F9</f>
        <v>45</v>
      </c>
      <c r="G10" s="394">
        <f>G8+G9</f>
        <v>42</v>
      </c>
      <c r="H10" s="82">
        <f>H8+H9</f>
        <v>45</v>
      </c>
      <c r="I10" s="82"/>
      <c r="J10" s="82"/>
      <c r="K10" s="82"/>
      <c r="L10" s="82"/>
      <c r="M10" s="88" t="s">
        <v>56</v>
      </c>
      <c r="N10" s="87">
        <f>F16</f>
        <v>45</v>
      </c>
    </row>
    <row r="11" spans="1:14" x14ac:dyDescent="0.35">
      <c r="A11" s="94" t="s">
        <v>685</v>
      </c>
      <c r="B11" s="160">
        <v>5</v>
      </c>
      <c r="C11" s="95"/>
      <c r="G11" s="154"/>
    </row>
    <row r="12" spans="1:14" x14ac:dyDescent="0.35">
      <c r="A12" s="94" t="s">
        <v>686</v>
      </c>
      <c r="B12" s="95"/>
      <c r="C12" s="95">
        <v>5</v>
      </c>
      <c r="F12" s="721" t="s">
        <v>687</v>
      </c>
      <c r="G12" s="156" t="s">
        <v>688</v>
      </c>
      <c r="H12" s="721" t="s">
        <v>679</v>
      </c>
      <c r="I12" s="81" t="s">
        <v>680</v>
      </c>
    </row>
    <row r="13" spans="1:14" x14ac:dyDescent="0.35">
      <c r="A13" s="152"/>
      <c r="B13" s="62"/>
      <c r="C13" s="62"/>
      <c r="E13" s="82" t="s">
        <v>689</v>
      </c>
      <c r="G13" s="154"/>
    </row>
    <row r="14" spans="1:14" x14ac:dyDescent="0.35">
      <c r="A14" s="94" t="s">
        <v>690</v>
      </c>
      <c r="B14" s="95">
        <v>1</v>
      </c>
      <c r="C14" s="95"/>
      <c r="E14" s="157" t="s">
        <v>691</v>
      </c>
      <c r="F14" s="392">
        <v>50</v>
      </c>
      <c r="G14" s="154">
        <v>50</v>
      </c>
      <c r="H14" s="81">
        <v>50</v>
      </c>
      <c r="I14" s="81">
        <v>50</v>
      </c>
    </row>
    <row r="15" spans="1:14" x14ac:dyDescent="0.35">
      <c r="A15" s="94" t="s">
        <v>692</v>
      </c>
      <c r="B15" s="95"/>
      <c r="C15" s="95">
        <v>1</v>
      </c>
      <c r="E15" s="82" t="s">
        <v>693</v>
      </c>
      <c r="F15" s="81">
        <v>-5</v>
      </c>
      <c r="G15" s="154">
        <f>-2-5</f>
        <v>-7</v>
      </c>
      <c r="H15" s="81">
        <v>-5</v>
      </c>
      <c r="I15" s="81">
        <v>-5</v>
      </c>
    </row>
    <row r="16" spans="1:14" x14ac:dyDescent="0.35">
      <c r="A16" s="152"/>
      <c r="B16" s="62"/>
      <c r="C16" s="62"/>
      <c r="E16" s="90" t="s">
        <v>694</v>
      </c>
      <c r="F16" s="91">
        <f>F14+F15</f>
        <v>45</v>
      </c>
      <c r="G16" s="155">
        <f>G14+G15</f>
        <v>43</v>
      </c>
      <c r="H16" s="87">
        <f>H14+H15</f>
        <v>45</v>
      </c>
      <c r="I16" s="87">
        <f>I14+I15</f>
        <v>45</v>
      </c>
      <c r="J16" s="87"/>
      <c r="K16" s="87"/>
    </row>
    <row r="17" spans="1:8" x14ac:dyDescent="0.35">
      <c r="A17" s="152"/>
      <c r="B17" s="62"/>
      <c r="C17" s="62"/>
    </row>
    <row r="18" spans="1:8" x14ac:dyDescent="0.35">
      <c r="D18" s="158"/>
      <c r="E18" s="158"/>
    </row>
    <row r="19" spans="1:8" x14ac:dyDescent="0.35">
      <c r="A19" s="87" t="s">
        <v>695</v>
      </c>
      <c r="D19" s="158"/>
      <c r="E19" s="158"/>
    </row>
    <row r="20" spans="1:8" x14ac:dyDescent="0.35">
      <c r="A20" s="92" t="str">
        <f>A12</f>
        <v>Provisión CxC: estad de situación finanicera</v>
      </c>
      <c r="B20" s="92">
        <v>3</v>
      </c>
      <c r="C20" s="95"/>
      <c r="D20" s="158"/>
      <c r="E20" s="158"/>
    </row>
    <row r="21" spans="1:8" x14ac:dyDescent="0.35">
      <c r="A21" s="94" t="str">
        <f>A8</f>
        <v>Cuentas por cobrar</v>
      </c>
      <c r="B21" s="95"/>
      <c r="C21" s="92">
        <v>3</v>
      </c>
      <c r="D21" s="158"/>
      <c r="E21" s="158"/>
    </row>
    <row r="22" spans="1:8" x14ac:dyDescent="0.35">
      <c r="D22" s="158"/>
      <c r="E22" s="158"/>
    </row>
    <row r="23" spans="1:8" x14ac:dyDescent="0.35">
      <c r="A23" s="157" t="s">
        <v>696</v>
      </c>
      <c r="B23" s="158"/>
      <c r="C23" s="158"/>
    </row>
    <row r="24" spans="1:8" ht="18.600000000000001" thickBot="1" x14ac:dyDescent="0.4">
      <c r="A24" s="159" t="s">
        <v>697</v>
      </c>
      <c r="B24" s="160">
        <v>2</v>
      </c>
      <c r="C24" s="160"/>
      <c r="D24" s="86"/>
      <c r="E24" s="86"/>
      <c r="F24" s="86"/>
      <c r="G24" s="86"/>
      <c r="H24" s="86"/>
    </row>
    <row r="25" spans="1:8" x14ac:dyDescent="0.35">
      <c r="A25" s="161" t="s">
        <v>446</v>
      </c>
      <c r="B25" s="160"/>
      <c r="C25" s="160">
        <v>2</v>
      </c>
      <c r="D25" s="170"/>
      <c r="E25" s="170"/>
      <c r="F25" s="170"/>
      <c r="G25" s="171"/>
      <c r="H25" s="86"/>
    </row>
    <row r="26" spans="1:8" ht="18.600000000000001" thickBot="1" x14ac:dyDescent="0.4">
      <c r="A26" s="159" t="s">
        <v>446</v>
      </c>
      <c r="B26" s="160">
        <v>7</v>
      </c>
      <c r="C26" s="160"/>
      <c r="D26" s="174"/>
      <c r="E26" s="174" t="s">
        <v>597</v>
      </c>
      <c r="F26" s="174"/>
      <c r="G26" s="175"/>
      <c r="H26" s="86"/>
    </row>
    <row r="27" spans="1:8" x14ac:dyDescent="0.35">
      <c r="A27" s="161" t="s">
        <v>21</v>
      </c>
      <c r="B27" s="160"/>
      <c r="C27" s="160">
        <v>7</v>
      </c>
      <c r="D27" s="63"/>
      <c r="E27" s="63"/>
      <c r="F27" s="63"/>
      <c r="G27" s="63"/>
      <c r="H27" s="86"/>
    </row>
    <row r="28" spans="1:8" x14ac:dyDescent="0.35">
      <c r="A28" s="82"/>
      <c r="B28" s="87"/>
      <c r="D28" s="63"/>
      <c r="E28" s="63" t="s">
        <v>698</v>
      </c>
      <c r="F28" s="63" t="s">
        <v>699</v>
      </c>
      <c r="G28" s="63"/>
      <c r="H28" s="86"/>
    </row>
    <row r="29" spans="1:8" ht="18.600000000000001" thickBot="1" x14ac:dyDescent="0.4">
      <c r="A29" s="85" t="s">
        <v>700</v>
      </c>
      <c r="B29" s="86"/>
      <c r="C29" s="86"/>
      <c r="D29" s="64"/>
      <c r="E29" s="64"/>
      <c r="F29" s="64"/>
      <c r="G29" s="64"/>
      <c r="H29" s="86"/>
    </row>
    <row r="30" spans="1:8" x14ac:dyDescent="0.35">
      <c r="A30" s="168" t="s">
        <v>681</v>
      </c>
      <c r="B30" s="169">
        <v>50</v>
      </c>
      <c r="C30" s="169"/>
      <c r="D30" s="64"/>
      <c r="E30" s="64" t="s">
        <v>701</v>
      </c>
      <c r="F30" s="64"/>
      <c r="G30" s="64"/>
      <c r="H30" s="86"/>
    </row>
    <row r="31" spans="1:8" ht="18.600000000000001" thickBot="1" x14ac:dyDescent="0.4">
      <c r="A31" s="172" t="s">
        <v>683</v>
      </c>
      <c r="B31" s="173"/>
      <c r="C31" s="173">
        <v>50</v>
      </c>
      <c r="D31" s="165"/>
      <c r="E31" s="165"/>
      <c r="F31" s="165"/>
      <c r="G31" s="165"/>
      <c r="H31" s="86"/>
    </row>
    <row r="32" spans="1:8" x14ac:dyDescent="0.35">
      <c r="A32" s="166" t="s">
        <v>685</v>
      </c>
      <c r="B32" s="167">
        <v>5</v>
      </c>
      <c r="C32" s="167"/>
      <c r="D32" s="165"/>
      <c r="E32" s="165" t="s">
        <v>702</v>
      </c>
      <c r="F32" s="165" t="s">
        <v>703</v>
      </c>
      <c r="G32" s="165"/>
      <c r="H32" s="86"/>
    </row>
    <row r="33" spans="1:14" x14ac:dyDescent="0.35">
      <c r="A33" s="93" t="s">
        <v>686</v>
      </c>
      <c r="B33" s="92"/>
      <c r="C33" s="92">
        <v>5</v>
      </c>
    </row>
    <row r="34" spans="1:14" x14ac:dyDescent="0.35">
      <c r="A34" s="97" t="s">
        <v>144</v>
      </c>
      <c r="B34" s="98">
        <v>50</v>
      </c>
      <c r="C34" s="98"/>
      <c r="D34" s="177"/>
      <c r="E34" s="177"/>
      <c r="F34" s="177"/>
      <c r="G34" s="809" t="s">
        <v>4</v>
      </c>
      <c r="H34" s="809"/>
    </row>
    <row r="35" spans="1:14" ht="18.600000000000001" thickBot="1" x14ac:dyDescent="0.4">
      <c r="A35" s="162" t="s">
        <v>681</v>
      </c>
      <c r="B35" s="98"/>
      <c r="C35" s="98">
        <v>50</v>
      </c>
      <c r="D35" s="177"/>
      <c r="E35" s="177"/>
      <c r="F35" s="177"/>
      <c r="G35" s="81" t="s">
        <v>144</v>
      </c>
      <c r="H35" s="87"/>
      <c r="K35" s="81">
        <v>4</v>
      </c>
      <c r="L35" s="810" t="s">
        <v>281</v>
      </c>
      <c r="M35" s="809" t="s">
        <v>704</v>
      </c>
      <c r="N35" s="809"/>
    </row>
    <row r="36" spans="1:14" x14ac:dyDescent="0.35">
      <c r="A36" s="163" t="str">
        <f>A20</f>
        <v>Provisión CxC: estad de situación finanicera</v>
      </c>
      <c r="B36" s="164">
        <v>5</v>
      </c>
      <c r="C36" s="164"/>
      <c r="D36" s="827" t="s">
        <v>597</v>
      </c>
      <c r="E36" s="828"/>
      <c r="F36" s="177"/>
      <c r="G36" s="81" t="s">
        <v>705</v>
      </c>
      <c r="H36" s="81">
        <v>50</v>
      </c>
      <c r="I36" s="81">
        <f>H36-4</f>
        <v>46</v>
      </c>
      <c r="J36" s="81">
        <f>I36+4</f>
        <v>50</v>
      </c>
      <c r="K36" s="81">
        <f>J36-4</f>
        <v>46</v>
      </c>
      <c r="L36" s="810"/>
    </row>
    <row r="37" spans="1:14" ht="18.600000000000001" thickBot="1" x14ac:dyDescent="0.4">
      <c r="A37" s="163" t="s">
        <v>706</v>
      </c>
      <c r="B37" s="164"/>
      <c r="C37" s="164">
        <v>5</v>
      </c>
      <c r="D37" s="829"/>
      <c r="E37" s="830"/>
      <c r="F37" s="177"/>
      <c r="G37" s="81" t="s">
        <v>707</v>
      </c>
      <c r="H37" s="81">
        <v>-5</v>
      </c>
      <c r="I37" s="81">
        <f>H37+4</f>
        <v>-1</v>
      </c>
      <c r="J37" s="81">
        <f>I37-4</f>
        <v>-5</v>
      </c>
      <c r="K37" s="81">
        <f>J37</f>
        <v>-5</v>
      </c>
      <c r="L37" s="810"/>
    </row>
    <row r="38" spans="1:14" ht="18.600000000000001" thickBot="1" x14ac:dyDescent="0.4">
      <c r="A38" s="82"/>
      <c r="D38" s="823" t="s">
        <v>708</v>
      </c>
      <c r="E38" s="824"/>
      <c r="F38" s="177"/>
      <c r="G38" s="105" t="s">
        <v>709</v>
      </c>
      <c r="H38" s="105">
        <f>H36+H37</f>
        <v>45</v>
      </c>
      <c r="I38" s="105">
        <f>I36+I37</f>
        <v>45</v>
      </c>
      <c r="J38" s="105">
        <f>J36+J37</f>
        <v>45</v>
      </c>
      <c r="K38" s="105">
        <f>K36+K37</f>
        <v>41</v>
      </c>
      <c r="L38" s="810"/>
      <c r="M38" s="105" t="s">
        <v>710</v>
      </c>
      <c r="N38" s="105">
        <f>H43</f>
        <v>45</v>
      </c>
    </row>
    <row r="39" spans="1:14" ht="18.600000000000001" thickBot="1" x14ac:dyDescent="0.4">
      <c r="A39" s="176" t="s">
        <v>711</v>
      </c>
      <c r="B39" s="177"/>
      <c r="C39" s="177"/>
      <c r="D39" s="825"/>
      <c r="E39" s="826"/>
      <c r="F39" s="177"/>
      <c r="G39" s="104" t="s">
        <v>712</v>
      </c>
      <c r="H39" s="104">
        <f>H38</f>
        <v>45</v>
      </c>
      <c r="I39" s="104">
        <f>I38</f>
        <v>45</v>
      </c>
      <c r="J39" s="104">
        <f>J38</f>
        <v>45</v>
      </c>
      <c r="K39" s="104">
        <f>K35+K36+K37</f>
        <v>45</v>
      </c>
      <c r="L39" s="87"/>
      <c r="M39" s="106" t="s">
        <v>713</v>
      </c>
      <c r="N39" s="106">
        <v>45</v>
      </c>
    </row>
    <row r="40" spans="1:14" x14ac:dyDescent="0.35">
      <c r="A40" s="176" t="s">
        <v>714</v>
      </c>
      <c r="B40" s="177"/>
      <c r="C40" s="177"/>
      <c r="D40" s="811" t="s">
        <v>715</v>
      </c>
      <c r="E40" s="812"/>
      <c r="F40" s="177"/>
      <c r="G40" s="87" t="s">
        <v>3</v>
      </c>
    </row>
    <row r="41" spans="1:14" ht="18.600000000000001" thickBot="1" x14ac:dyDescent="0.4">
      <c r="A41" s="178" t="s">
        <v>681</v>
      </c>
      <c r="B41" s="178">
        <v>50</v>
      </c>
      <c r="C41" s="179"/>
      <c r="D41" s="813"/>
      <c r="E41" s="814"/>
      <c r="F41" s="177"/>
      <c r="G41" s="81" t="s">
        <v>673</v>
      </c>
      <c r="H41" s="81">
        <f>C42</f>
        <v>50</v>
      </c>
    </row>
    <row r="42" spans="1:14" x14ac:dyDescent="0.35">
      <c r="A42" s="180" t="s">
        <v>683</v>
      </c>
      <c r="B42" s="178"/>
      <c r="C42" s="179">
        <v>50</v>
      </c>
      <c r="D42" s="815" t="s">
        <v>716</v>
      </c>
      <c r="E42" s="816"/>
      <c r="F42" s="177"/>
      <c r="G42" s="81" t="s">
        <v>717</v>
      </c>
      <c r="H42" s="81">
        <f>-B43</f>
        <v>-5</v>
      </c>
    </row>
    <row r="43" spans="1:14" ht="18.600000000000001" thickBot="1" x14ac:dyDescent="0.4">
      <c r="A43" s="94" t="s">
        <v>685</v>
      </c>
      <c r="B43" s="95">
        <v>5</v>
      </c>
      <c r="C43" s="99"/>
      <c r="D43" s="817"/>
      <c r="E43" s="818"/>
      <c r="F43" s="177"/>
      <c r="G43" s="87" t="s">
        <v>598</v>
      </c>
      <c r="H43" s="87">
        <f>H41+H42</f>
        <v>45</v>
      </c>
    </row>
    <row r="44" spans="1:14" x14ac:dyDescent="0.35">
      <c r="A44" s="96" t="s">
        <v>686</v>
      </c>
      <c r="B44" s="95"/>
      <c r="C44" s="99">
        <v>5</v>
      </c>
      <c r="D44" s="819" t="s">
        <v>718</v>
      </c>
      <c r="E44" s="820"/>
      <c r="F44" s="177"/>
    </row>
    <row r="45" spans="1:14" ht="18.600000000000001" thickBot="1" x14ac:dyDescent="0.4">
      <c r="A45" s="182" t="s">
        <v>686</v>
      </c>
      <c r="B45" s="183">
        <v>4</v>
      </c>
      <c r="C45" s="184"/>
      <c r="D45" s="821"/>
      <c r="E45" s="822"/>
      <c r="F45" s="177"/>
    </row>
    <row r="46" spans="1:14" x14ac:dyDescent="0.35">
      <c r="A46" s="185" t="str">
        <f>A41</f>
        <v>Cuentas por cobrar</v>
      </c>
      <c r="B46" s="183"/>
      <c r="C46" s="184">
        <v>4</v>
      </c>
    </row>
    <row r="47" spans="1:14" x14ac:dyDescent="0.35">
      <c r="A47" s="97" t="s">
        <v>719</v>
      </c>
      <c r="B47" s="98">
        <v>4</v>
      </c>
      <c r="C47" s="102"/>
    </row>
    <row r="48" spans="1:14" x14ac:dyDescent="0.35">
      <c r="A48" s="100" t="s">
        <v>686</v>
      </c>
      <c r="B48" s="101"/>
      <c r="C48" s="102">
        <v>4</v>
      </c>
    </row>
    <row r="49" spans="1:5" x14ac:dyDescent="0.35">
      <c r="A49" s="181" t="s">
        <v>144</v>
      </c>
      <c r="B49" s="178">
        <v>4</v>
      </c>
      <c r="C49" s="179"/>
      <c r="E49" s="81">
        <v>5</v>
      </c>
    </row>
    <row r="50" spans="1:5" x14ac:dyDescent="0.35">
      <c r="A50" s="162" t="str">
        <f>A47</f>
        <v>CxC vieja que habia castigado anteriormente</v>
      </c>
      <c r="B50" s="98"/>
      <c r="C50" s="186">
        <v>4</v>
      </c>
      <c r="E50" s="81">
        <v>-4</v>
      </c>
    </row>
    <row r="51" spans="1:5" x14ac:dyDescent="0.35">
      <c r="A51" s="82"/>
    </row>
    <row r="52" spans="1:5" x14ac:dyDescent="0.35">
      <c r="B52" s="809" t="s">
        <v>720</v>
      </c>
      <c r="C52" s="809"/>
      <c r="E52" s="81">
        <v>4</v>
      </c>
    </row>
    <row r="53" spans="1:5" x14ac:dyDescent="0.35">
      <c r="A53" s="82"/>
      <c r="B53" s="81" t="s">
        <v>414</v>
      </c>
      <c r="C53" s="81" t="s">
        <v>721</v>
      </c>
      <c r="E53" s="81">
        <f>5</f>
        <v>5</v>
      </c>
    </row>
    <row r="54" spans="1:5" x14ac:dyDescent="0.35">
      <c r="C54" s="81">
        <v>5</v>
      </c>
    </row>
    <row r="55" spans="1:5" ht="18.600000000000001" thickBot="1" x14ac:dyDescent="0.4">
      <c r="B55" s="103">
        <v>4</v>
      </c>
      <c r="C55" s="103"/>
    </row>
    <row r="56" spans="1:5" x14ac:dyDescent="0.35">
      <c r="C56" s="81">
        <v>1</v>
      </c>
    </row>
    <row r="57" spans="1:5" ht="18.600000000000001" thickBot="1" x14ac:dyDescent="0.4">
      <c r="B57" s="103"/>
      <c r="C57" s="103">
        <v>4</v>
      </c>
    </row>
    <row r="58" spans="1:5" x14ac:dyDescent="0.35">
      <c r="C58" s="81">
        <f>C56+C57</f>
        <v>5</v>
      </c>
    </row>
  </sheetData>
  <mergeCells count="9">
    <mergeCell ref="M35:N35"/>
    <mergeCell ref="L35:L38"/>
    <mergeCell ref="B52:C52"/>
    <mergeCell ref="G34:H34"/>
    <mergeCell ref="D40:E41"/>
    <mergeCell ref="D42:E43"/>
    <mergeCell ref="D44:E45"/>
    <mergeCell ref="D38:E39"/>
    <mergeCell ref="D36:E37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K9"/>
  <sheetViews>
    <sheetView workbookViewId="0">
      <selection activeCell="A5" sqref="A5"/>
    </sheetView>
  </sheetViews>
  <sheetFormatPr baseColWidth="10" defaultColWidth="11.44140625" defaultRowHeight="14.4" x14ac:dyDescent="0.3"/>
  <cols>
    <col min="1" max="1" width="28.44140625" customWidth="1"/>
    <col min="3" max="3" width="12" bestFit="1" customWidth="1"/>
    <col min="7" max="8" width="12" bestFit="1" customWidth="1"/>
    <col min="11" max="11" width="12" bestFit="1" customWidth="1"/>
  </cols>
  <sheetData>
    <row r="2" spans="1:11" x14ac:dyDescent="0.3">
      <c r="A2" t="s">
        <v>722</v>
      </c>
      <c r="C2" s="107">
        <v>6000000</v>
      </c>
      <c r="D2" t="s">
        <v>723</v>
      </c>
      <c r="G2" s="107">
        <v>1000000</v>
      </c>
      <c r="H2" t="s">
        <v>724</v>
      </c>
    </row>
    <row r="3" spans="1:11" x14ac:dyDescent="0.3">
      <c r="G3" s="107"/>
    </row>
    <row r="4" spans="1:11" x14ac:dyDescent="0.3">
      <c r="A4" s="831" t="s">
        <v>725</v>
      </c>
      <c r="B4" s="831"/>
      <c r="C4" s="831"/>
      <c r="D4" s="831"/>
      <c r="E4" s="831"/>
      <c r="F4" s="831"/>
      <c r="G4" s="107">
        <v>6000000</v>
      </c>
      <c r="J4" t="s">
        <v>726</v>
      </c>
      <c r="K4" s="108">
        <f>G4</f>
        <v>6000000</v>
      </c>
    </row>
    <row r="5" spans="1:11" x14ac:dyDescent="0.3">
      <c r="A5" t="s">
        <v>727</v>
      </c>
      <c r="C5" s="832" t="s">
        <v>144</v>
      </c>
      <c r="D5" s="832"/>
      <c r="E5" s="832"/>
      <c r="F5" s="832"/>
      <c r="G5" s="107"/>
      <c r="H5" s="107">
        <f>G4</f>
        <v>6000000</v>
      </c>
    </row>
    <row r="8" spans="1:11" x14ac:dyDescent="0.3">
      <c r="A8" t="s">
        <v>728</v>
      </c>
      <c r="C8" s="831" t="s">
        <v>729</v>
      </c>
      <c r="D8" s="831"/>
      <c r="E8" s="831"/>
      <c r="F8" s="831"/>
      <c r="G8" s="107">
        <v>500000</v>
      </c>
      <c r="H8" s="107"/>
    </row>
    <row r="9" spans="1:11" x14ac:dyDescent="0.3">
      <c r="D9" s="832" t="str">
        <f>A4</f>
        <v>ACT: Arrendamientos pagados por anticipado: Activo diferido arredamiento</v>
      </c>
      <c r="E9" s="832"/>
      <c r="F9" s="832"/>
      <c r="G9" s="832"/>
      <c r="H9" s="107">
        <f>G8</f>
        <v>500000</v>
      </c>
      <c r="J9" t="str">
        <f>J4</f>
        <v>activo</v>
      </c>
      <c r="K9" s="108">
        <f>K4-H9</f>
        <v>5500000</v>
      </c>
    </row>
  </sheetData>
  <mergeCells count="4">
    <mergeCell ref="A4:F4"/>
    <mergeCell ref="C5:F5"/>
    <mergeCell ref="C8:F8"/>
    <mergeCell ref="D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zoomScaleNormal="100" workbookViewId="0">
      <selection activeCell="N10" sqref="N10"/>
    </sheetView>
  </sheetViews>
  <sheetFormatPr baseColWidth="10" defaultColWidth="11.44140625" defaultRowHeight="14.4" x14ac:dyDescent="0.3"/>
  <cols>
    <col min="1" max="1" width="30.5546875" customWidth="1"/>
    <col min="2" max="2" width="13.109375" customWidth="1"/>
    <col min="3" max="3" width="3.88671875" style="200" customWidth="1"/>
    <col min="4" max="4" width="27.88671875" customWidth="1"/>
    <col min="5" max="5" width="11.109375" customWidth="1"/>
    <col min="6" max="7" width="9.33203125" style="148" hidden="1" customWidth="1"/>
    <col min="8" max="8" width="7.44140625" hidden="1" customWidth="1"/>
    <col min="9" max="9" width="31.44140625" customWidth="1"/>
    <col min="11" max="11" width="0" hidden="1" customWidth="1"/>
    <col min="12" max="12" width="6.6640625" hidden="1" customWidth="1"/>
    <col min="13" max="13" width="15.88671875" customWidth="1"/>
    <col min="14" max="14" width="8.44140625" bestFit="1" customWidth="1"/>
  </cols>
  <sheetData>
    <row r="1" spans="1:14" x14ac:dyDescent="0.3">
      <c r="A1" s="765" t="s">
        <v>0</v>
      </c>
      <c r="B1" s="765"/>
      <c r="C1" s="765"/>
      <c r="D1" s="765"/>
      <c r="E1" s="765"/>
      <c r="I1" s="765" t="s">
        <v>1</v>
      </c>
      <c r="J1" s="765"/>
      <c r="K1" s="765"/>
      <c r="L1" s="765"/>
    </row>
    <row r="2" spans="1:14" x14ac:dyDescent="0.3">
      <c r="A2" s="765" t="s">
        <v>2</v>
      </c>
      <c r="B2" s="765"/>
      <c r="C2" s="765"/>
      <c r="D2" s="765"/>
      <c r="E2" s="765"/>
      <c r="I2" s="765" t="s">
        <v>3</v>
      </c>
      <c r="J2" s="765"/>
      <c r="K2" s="765"/>
      <c r="L2" s="765"/>
    </row>
    <row r="3" spans="1:14" x14ac:dyDescent="0.3">
      <c r="A3" s="766" t="s">
        <v>1123</v>
      </c>
      <c r="B3" s="766"/>
      <c r="C3" s="766"/>
      <c r="D3" s="766"/>
      <c r="E3" s="766"/>
      <c r="I3" s="765" t="s">
        <v>1124</v>
      </c>
      <c r="J3" s="765"/>
      <c r="K3" s="765"/>
      <c r="L3" s="765"/>
    </row>
    <row r="4" spans="1:14" x14ac:dyDescent="0.3">
      <c r="A4" s="766" t="s">
        <v>4</v>
      </c>
      <c r="B4" s="766"/>
      <c r="C4" s="199"/>
      <c r="D4" s="766" t="s">
        <v>5</v>
      </c>
      <c r="E4" s="766"/>
      <c r="J4" t="s">
        <v>6</v>
      </c>
      <c r="M4" t="s">
        <v>7</v>
      </c>
    </row>
    <row r="5" spans="1:14" x14ac:dyDescent="0.3">
      <c r="A5" s="46" t="s">
        <v>8</v>
      </c>
      <c r="B5" s="79">
        <v>0</v>
      </c>
      <c r="C5" s="769" t="s">
        <v>9</v>
      </c>
      <c r="D5" t="s">
        <v>10</v>
      </c>
      <c r="E5">
        <v>0</v>
      </c>
      <c r="I5" t="s">
        <v>11</v>
      </c>
      <c r="M5" s="80" t="s">
        <v>12</v>
      </c>
      <c r="N5" s="80">
        <f>B5</f>
        <v>0</v>
      </c>
    </row>
    <row r="6" spans="1:14" x14ac:dyDescent="0.3">
      <c r="A6" t="s">
        <v>13</v>
      </c>
      <c r="B6">
        <v>0</v>
      </c>
      <c r="C6" s="769"/>
      <c r="D6" t="s">
        <v>14</v>
      </c>
      <c r="E6">
        <v>0</v>
      </c>
      <c r="I6" s="78" t="s">
        <v>15</v>
      </c>
      <c r="J6" s="78"/>
      <c r="M6" s="8" t="s">
        <v>16</v>
      </c>
      <c r="N6" s="8"/>
    </row>
    <row r="7" spans="1:14" x14ac:dyDescent="0.3">
      <c r="A7" t="s">
        <v>17</v>
      </c>
      <c r="B7">
        <v>0</v>
      </c>
      <c r="C7" s="769"/>
      <c r="D7" t="s">
        <v>18</v>
      </c>
      <c r="I7" s="48" t="s">
        <v>19</v>
      </c>
      <c r="J7" s="48"/>
      <c r="M7" s="8" t="s">
        <v>20</v>
      </c>
      <c r="N7" s="8"/>
    </row>
    <row r="8" spans="1:14" x14ac:dyDescent="0.3">
      <c r="A8" t="s">
        <v>21</v>
      </c>
      <c r="B8">
        <v>0</v>
      </c>
      <c r="C8" s="769"/>
      <c r="D8" t="s">
        <v>22</v>
      </c>
      <c r="I8" s="111" t="s">
        <v>23</v>
      </c>
      <c r="J8" s="111"/>
      <c r="L8">
        <f>J10-J8</f>
        <v>0</v>
      </c>
      <c r="M8" s="8" t="s">
        <v>24</v>
      </c>
      <c r="N8" s="8">
        <v>0</v>
      </c>
    </row>
    <row r="9" spans="1:14" x14ac:dyDescent="0.3">
      <c r="A9" s="71" t="s">
        <v>25</v>
      </c>
      <c r="B9" s="71">
        <f>7-7</f>
        <v>0</v>
      </c>
      <c r="C9" s="769"/>
      <c r="I9" t="s">
        <v>26</v>
      </c>
      <c r="M9" s="8" t="s">
        <v>27</v>
      </c>
      <c r="N9" s="8"/>
    </row>
    <row r="10" spans="1:14" x14ac:dyDescent="0.3">
      <c r="A10" t="s">
        <v>28</v>
      </c>
      <c r="B10">
        <f>7-7</f>
        <v>0</v>
      </c>
      <c r="C10" s="769"/>
      <c r="I10" s="30" t="s">
        <v>29</v>
      </c>
      <c r="J10" s="30">
        <f>SUM(J5:J9)</f>
        <v>0</v>
      </c>
      <c r="M10" s="255" t="s">
        <v>30</v>
      </c>
      <c r="N10" s="659"/>
    </row>
    <row r="11" spans="1:14" ht="15" thickBot="1" x14ac:dyDescent="0.35">
      <c r="A11" t="s">
        <v>31</v>
      </c>
      <c r="D11" s="30" t="s">
        <v>32</v>
      </c>
      <c r="E11" s="30">
        <f>SUM(E5:E10)</f>
        <v>0</v>
      </c>
      <c r="F11" s="148" t="e">
        <f>E11/E22</f>
        <v>#DIV/0!</v>
      </c>
      <c r="G11" s="148">
        <f>A41</f>
        <v>0.1</v>
      </c>
      <c r="H11" s="149" t="e">
        <f>F11*G11</f>
        <v>#DIV/0!</v>
      </c>
      <c r="I11" t="s">
        <v>33</v>
      </c>
      <c r="M11" s="8"/>
      <c r="N11" s="8">
        <f>N5+N6+N7+N8+N9+N10</f>
        <v>0</v>
      </c>
    </row>
    <row r="12" spans="1:14" ht="15.75" customHeight="1" thickBot="1" x14ac:dyDescent="0.35">
      <c r="A12" s="30" t="s">
        <v>34</v>
      </c>
      <c r="B12" s="30">
        <f>SUM(B5:B11)</f>
        <v>0</v>
      </c>
      <c r="C12" s="198" t="s">
        <v>35</v>
      </c>
      <c r="I12" s="661" t="s">
        <v>36</v>
      </c>
      <c r="J12" s="661">
        <f>J10+J11</f>
        <v>0</v>
      </c>
      <c r="L12" s="71">
        <f>L10+L11</f>
        <v>0</v>
      </c>
    </row>
    <row r="13" spans="1:14" ht="15" customHeight="1" x14ac:dyDescent="0.3">
      <c r="A13" t="s">
        <v>37</v>
      </c>
      <c r="C13" s="770" t="s">
        <v>38</v>
      </c>
      <c r="I13" t="s">
        <v>39</v>
      </c>
    </row>
    <row r="14" spans="1:14" ht="15" customHeight="1" x14ac:dyDescent="0.3">
      <c r="A14" t="s">
        <v>40</v>
      </c>
      <c r="B14">
        <v>0</v>
      </c>
      <c r="C14" s="770"/>
      <c r="D14" s="765" t="s">
        <v>41</v>
      </c>
      <c r="E14" s="765"/>
      <c r="I14" s="30" t="s">
        <v>42</v>
      </c>
      <c r="J14">
        <f>J12+J13</f>
        <v>0</v>
      </c>
    </row>
    <row r="15" spans="1:14" ht="15" customHeight="1" x14ac:dyDescent="0.3">
      <c r="A15" t="s">
        <v>43</v>
      </c>
      <c r="B15">
        <v>0</v>
      </c>
      <c r="C15" s="770"/>
      <c r="D15" s="46" t="s">
        <v>44</v>
      </c>
      <c r="E15" s="46">
        <v>0</v>
      </c>
      <c r="K15" s="228"/>
      <c r="L15" s="228"/>
    </row>
    <row r="16" spans="1:14" ht="15" customHeight="1" x14ac:dyDescent="0.3">
      <c r="A16" s="111" t="s">
        <v>45</v>
      </c>
      <c r="B16" s="111">
        <v>0</v>
      </c>
      <c r="C16" s="770"/>
      <c r="D16" t="s">
        <v>46</v>
      </c>
      <c r="I16" s="660" t="s">
        <v>47</v>
      </c>
      <c r="J16" s="660">
        <f>J10-J8</f>
        <v>0</v>
      </c>
    </row>
    <row r="17" spans="1:15" ht="15" customHeight="1" x14ac:dyDescent="0.3">
      <c r="A17" s="30" t="s">
        <v>48</v>
      </c>
      <c r="B17" s="30">
        <v>0</v>
      </c>
      <c r="C17" s="770"/>
      <c r="D17" t="s">
        <v>49</v>
      </c>
      <c r="E17">
        <v>0</v>
      </c>
      <c r="I17" t="s">
        <v>50</v>
      </c>
    </row>
    <row r="18" spans="1:15" x14ac:dyDescent="0.3">
      <c r="A18" t="s">
        <v>51</v>
      </c>
      <c r="B18">
        <v>0</v>
      </c>
      <c r="C18" s="770"/>
      <c r="D18" t="s">
        <v>52</v>
      </c>
      <c r="E18">
        <v>0</v>
      </c>
      <c r="I18" s="228" t="s">
        <v>53</v>
      </c>
      <c r="J18" s="228"/>
    </row>
    <row r="19" spans="1:15" x14ac:dyDescent="0.3">
      <c r="A19" t="s">
        <v>54</v>
      </c>
      <c r="B19">
        <v>0</v>
      </c>
      <c r="C19" s="770"/>
      <c r="D19" t="s">
        <v>55</v>
      </c>
      <c r="I19" t="s">
        <v>49</v>
      </c>
      <c r="J19" s="45">
        <v>0.1</v>
      </c>
    </row>
    <row r="20" spans="1:15" x14ac:dyDescent="0.3">
      <c r="C20" s="770"/>
      <c r="D20" s="662" t="s">
        <v>56</v>
      </c>
      <c r="E20" s="662">
        <v>0</v>
      </c>
      <c r="I20" t="s">
        <v>57</v>
      </c>
      <c r="J20" s="45">
        <v>0.2</v>
      </c>
    </row>
    <row r="21" spans="1:15" x14ac:dyDescent="0.3">
      <c r="A21" s="30" t="s">
        <v>58</v>
      </c>
      <c r="B21" s="30">
        <f>SUM(B13:B20)</f>
        <v>0</v>
      </c>
      <c r="C21" s="201"/>
      <c r="D21" t="s">
        <v>59</v>
      </c>
      <c r="E21">
        <f>SUM(E15:E20)</f>
        <v>0</v>
      </c>
      <c r="F21" s="148" t="e">
        <f>E21/E22</f>
        <v>#DIV/0!</v>
      </c>
      <c r="G21" s="148">
        <f>A39</f>
        <v>0.15</v>
      </c>
      <c r="H21" s="149" t="e">
        <f>F21*G21</f>
        <v>#DIV/0!</v>
      </c>
      <c r="I21" t="s">
        <v>60</v>
      </c>
      <c r="J21" s="45">
        <v>0.3</v>
      </c>
    </row>
    <row r="22" spans="1:15" x14ac:dyDescent="0.3">
      <c r="A22" s="261" t="s">
        <v>61</v>
      </c>
      <c r="B22" s="261">
        <f>B12+B21</f>
        <v>0</v>
      </c>
      <c r="D22" s="261" t="s">
        <v>62</v>
      </c>
      <c r="E22" s="261">
        <f>E11+E21</f>
        <v>0</v>
      </c>
      <c r="F22" s="148" t="e">
        <f>F11+F21</f>
        <v>#DIV/0!</v>
      </c>
      <c r="H22" s="149" t="e">
        <f>H11+H21</f>
        <v>#DIV/0!</v>
      </c>
      <c r="I22" t="s">
        <v>63</v>
      </c>
      <c r="J22" s="45">
        <v>0.4</v>
      </c>
      <c r="L22">
        <f>J5</f>
        <v>0</v>
      </c>
      <c r="M22" t="s">
        <v>64</v>
      </c>
      <c r="N22" s="252" t="e">
        <f>L22/L23</f>
        <v>#DIV/0!</v>
      </c>
    </row>
    <row r="23" spans="1:15" ht="23.4" x14ac:dyDescent="0.45">
      <c r="A23" t="s">
        <v>65</v>
      </c>
      <c r="C23" s="251"/>
      <c r="F23"/>
      <c r="H23" s="149"/>
      <c r="L23">
        <f>B22</f>
        <v>0</v>
      </c>
    </row>
    <row r="24" spans="1:15" x14ac:dyDescent="0.3">
      <c r="A24" s="30" t="s">
        <v>66</v>
      </c>
    </row>
    <row r="25" spans="1:15" x14ac:dyDescent="0.3">
      <c r="A25" s="30"/>
      <c r="I25" t="s">
        <v>67</v>
      </c>
      <c r="J25" t="s">
        <v>11</v>
      </c>
      <c r="L25">
        <f>J12</f>
        <v>0</v>
      </c>
      <c r="M25" t="s">
        <v>68</v>
      </c>
      <c r="N25" s="260" t="e">
        <f>L25/L26</f>
        <v>#DIV/0!</v>
      </c>
    </row>
    <row r="26" spans="1:15" x14ac:dyDescent="0.3">
      <c r="A26" s="30" t="s">
        <v>69</v>
      </c>
      <c r="J26" t="s">
        <v>70</v>
      </c>
      <c r="L26">
        <f>B22</f>
        <v>0</v>
      </c>
    </row>
    <row r="27" spans="1:15" x14ac:dyDescent="0.3">
      <c r="A27" s="30" t="s">
        <v>71</v>
      </c>
    </row>
    <row r="28" spans="1:15" x14ac:dyDescent="0.3">
      <c r="A28" s="30" t="s">
        <v>72</v>
      </c>
      <c r="I28" t="s">
        <v>73</v>
      </c>
      <c r="J28" t="s">
        <v>74</v>
      </c>
      <c r="L28" t="s">
        <v>74</v>
      </c>
      <c r="M28">
        <f>L25</f>
        <v>0</v>
      </c>
      <c r="N28" t="s">
        <v>75</v>
      </c>
      <c r="O28" s="148" t="e">
        <f>M28/M29</f>
        <v>#DIV/0!</v>
      </c>
    </row>
    <row r="29" spans="1:15" x14ac:dyDescent="0.3">
      <c r="A29" s="30" t="s">
        <v>76</v>
      </c>
      <c r="J29" t="s">
        <v>77</v>
      </c>
      <c r="L29" t="s">
        <v>11</v>
      </c>
      <c r="M29">
        <f>J5</f>
        <v>0</v>
      </c>
    </row>
    <row r="30" spans="1:15" x14ac:dyDescent="0.3">
      <c r="A30" s="30" t="s">
        <v>78</v>
      </c>
      <c r="D30" t="s">
        <v>79</v>
      </c>
      <c r="E30">
        <v>76</v>
      </c>
    </row>
    <row r="31" spans="1:15" x14ac:dyDescent="0.3">
      <c r="A31" s="30" t="s">
        <v>80</v>
      </c>
      <c r="D31" t="s">
        <v>81</v>
      </c>
      <c r="E31">
        <v>7</v>
      </c>
      <c r="J31" t="s">
        <v>82</v>
      </c>
    </row>
    <row r="32" spans="1:15" x14ac:dyDescent="0.3">
      <c r="A32" s="30"/>
      <c r="D32" t="s">
        <v>83</v>
      </c>
      <c r="M32" t="s">
        <v>84</v>
      </c>
    </row>
    <row r="33" spans="1:10" x14ac:dyDescent="0.3">
      <c r="A33" s="30" t="s">
        <v>85</v>
      </c>
      <c r="D33" t="s">
        <v>86</v>
      </c>
      <c r="I33">
        <v>80</v>
      </c>
    </row>
    <row r="34" spans="1:10" x14ac:dyDescent="0.3">
      <c r="A34" s="30" t="s">
        <v>87</v>
      </c>
      <c r="D34" t="s">
        <v>88</v>
      </c>
      <c r="I34">
        <v>3</v>
      </c>
    </row>
    <row r="35" spans="1:10" x14ac:dyDescent="0.3">
      <c r="A35" s="30"/>
    </row>
    <row r="36" spans="1:10" x14ac:dyDescent="0.3">
      <c r="A36" s="30"/>
    </row>
    <row r="37" spans="1:10" ht="15" thickBot="1" x14ac:dyDescent="0.35">
      <c r="A37" s="30"/>
    </row>
    <row r="38" spans="1:10" ht="15" thickBot="1" x14ac:dyDescent="0.35">
      <c r="A38" s="767" t="s">
        <v>89</v>
      </c>
      <c r="B38" s="768"/>
    </row>
    <row r="39" spans="1:10" x14ac:dyDescent="0.3">
      <c r="A39" s="652">
        <v>0.15</v>
      </c>
      <c r="B39" s="656" t="s">
        <v>90</v>
      </c>
      <c r="C39" s="199"/>
      <c r="E39" t="s">
        <v>91</v>
      </c>
      <c r="I39" t="s">
        <v>92</v>
      </c>
      <c r="J39" t="s">
        <v>93</v>
      </c>
    </row>
    <row r="40" spans="1:10" x14ac:dyDescent="0.3">
      <c r="A40" s="197" t="e">
        <f>H22</f>
        <v>#DIV/0!</v>
      </c>
      <c r="B40" s="150" t="s">
        <v>94</v>
      </c>
      <c r="E40" t="s">
        <v>95</v>
      </c>
      <c r="J40" t="s">
        <v>96</v>
      </c>
    </row>
    <row r="41" spans="1:10" x14ac:dyDescent="0.3">
      <c r="A41" s="653">
        <v>0.1</v>
      </c>
      <c r="B41" s="150" t="s">
        <v>97</v>
      </c>
      <c r="E41" t="s">
        <v>98</v>
      </c>
    </row>
    <row r="42" spans="1:10" ht="15" thickBot="1" x14ac:dyDescent="0.35">
      <c r="A42" s="654">
        <v>0.05</v>
      </c>
      <c r="B42" s="657" t="s">
        <v>99</v>
      </c>
      <c r="E42" t="s">
        <v>100</v>
      </c>
    </row>
    <row r="43" spans="1:10" x14ac:dyDescent="0.3">
      <c r="A43" s="655">
        <v>0.06</v>
      </c>
      <c r="B43" s="658" t="s">
        <v>101</v>
      </c>
    </row>
    <row r="46" spans="1:10" x14ac:dyDescent="0.3">
      <c r="A46" s="8" t="s">
        <v>102</v>
      </c>
      <c r="B46" s="8" t="s">
        <v>103</v>
      </c>
    </row>
    <row r="47" spans="1:10" x14ac:dyDescent="0.3">
      <c r="A47" s="8"/>
      <c r="B47" s="8" t="s">
        <v>104</v>
      </c>
    </row>
    <row r="48" spans="1:10" x14ac:dyDescent="0.3">
      <c r="A48" s="8"/>
      <c r="B48" s="8" t="s">
        <v>105</v>
      </c>
    </row>
    <row r="49" spans="1:3" x14ac:dyDescent="0.3">
      <c r="A49" s="8"/>
      <c r="B49" s="8" t="s">
        <v>106</v>
      </c>
      <c r="C49" s="377" t="s">
        <v>107</v>
      </c>
    </row>
  </sheetData>
  <mergeCells count="12">
    <mergeCell ref="D14:E14"/>
    <mergeCell ref="A4:B4"/>
    <mergeCell ref="D4:E4"/>
    <mergeCell ref="A38:B38"/>
    <mergeCell ref="C5:C10"/>
    <mergeCell ref="C13:C20"/>
    <mergeCell ref="A2:E2"/>
    <mergeCell ref="A1:E1"/>
    <mergeCell ref="A3:E3"/>
    <mergeCell ref="I1:L1"/>
    <mergeCell ref="I2:L2"/>
    <mergeCell ref="I3:L3"/>
  </mergeCells>
  <pageMargins left="0.7" right="0.7" top="0.75" bottom="0.75" header="0.3" footer="0.3"/>
  <pageSetup orientation="portrait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3"/>
  <sheetViews>
    <sheetView topLeftCell="A5" zoomScale="120" zoomScaleNormal="120" workbookViewId="0">
      <selection activeCell="A7" sqref="A7"/>
    </sheetView>
  </sheetViews>
  <sheetFormatPr baseColWidth="10" defaultColWidth="11.44140625" defaultRowHeight="14.4" x14ac:dyDescent="0.3"/>
  <cols>
    <col min="1" max="1" width="30.33203125" customWidth="1"/>
    <col min="2" max="2" width="62.6640625" customWidth="1"/>
    <col min="3" max="3" width="14.88671875" customWidth="1"/>
    <col min="4" max="4" width="16.33203125" customWidth="1"/>
  </cols>
  <sheetData>
    <row r="1" spans="1:8" ht="55.5" customHeight="1" x14ac:dyDescent="0.3">
      <c r="A1" s="833" t="s">
        <v>730</v>
      </c>
      <c r="B1" s="833"/>
      <c r="C1" s="833"/>
      <c r="D1" s="833"/>
    </row>
    <row r="2" spans="1:8" ht="21" x14ac:dyDescent="0.4">
      <c r="A2" s="834" t="s">
        <v>731</v>
      </c>
      <c r="B2" s="835"/>
      <c r="C2" s="835"/>
      <c r="D2" s="836"/>
      <c r="E2" s="8"/>
      <c r="F2" s="8"/>
      <c r="G2" s="8"/>
      <c r="H2" s="8"/>
    </row>
    <row r="3" spans="1:8" ht="43.2" x14ac:dyDescent="0.3">
      <c r="A3" s="378" t="s">
        <v>732</v>
      </c>
      <c r="B3" s="379" t="s">
        <v>733</v>
      </c>
      <c r="C3" s="380" t="s">
        <v>734</v>
      </c>
      <c r="D3" s="8"/>
      <c r="E3" s="254">
        <v>1</v>
      </c>
      <c r="F3" s="8" t="s">
        <v>732</v>
      </c>
      <c r="G3" s="8"/>
      <c r="H3" s="8"/>
    </row>
    <row r="4" spans="1:8" ht="72" x14ac:dyDescent="0.3">
      <c r="A4" s="378" t="s">
        <v>735</v>
      </c>
      <c r="B4" s="380" t="s">
        <v>736</v>
      </c>
      <c r="C4" s="380" t="s">
        <v>46</v>
      </c>
      <c r="D4" s="379" t="s">
        <v>737</v>
      </c>
      <c r="E4" s="254">
        <v>7</v>
      </c>
      <c r="F4" s="8" t="s">
        <v>735</v>
      </c>
      <c r="G4" s="254">
        <f>E4-E3</f>
        <v>6</v>
      </c>
      <c r="H4" s="8" t="s">
        <v>46</v>
      </c>
    </row>
    <row r="5" spans="1:8" ht="115.2" x14ac:dyDescent="0.3">
      <c r="A5" s="381" t="s">
        <v>738</v>
      </c>
      <c r="B5" s="380" t="s">
        <v>739</v>
      </c>
      <c r="C5" s="379" t="s">
        <v>740</v>
      </c>
      <c r="D5" s="8"/>
      <c r="E5" s="8"/>
      <c r="F5" s="8"/>
      <c r="G5" s="8"/>
      <c r="H5" s="8"/>
    </row>
    <row r="6" spans="1:8" ht="36.75" customHeight="1" x14ac:dyDescent="0.3">
      <c r="A6" s="378" t="s">
        <v>741</v>
      </c>
      <c r="B6" s="380" t="s">
        <v>742</v>
      </c>
      <c r="C6" s="8"/>
      <c r="D6" s="8"/>
      <c r="E6" s="8"/>
      <c r="F6" s="8"/>
      <c r="G6" s="8"/>
      <c r="H6" s="8"/>
    </row>
    <row r="7" spans="1:8" ht="57.6" x14ac:dyDescent="0.3">
      <c r="A7" s="378" t="s">
        <v>743</v>
      </c>
      <c r="B7" s="380" t="s">
        <v>744</v>
      </c>
      <c r="C7" s="8"/>
      <c r="D7" s="8"/>
      <c r="E7" s="8"/>
      <c r="F7" s="8"/>
      <c r="G7" s="8"/>
      <c r="H7" s="8"/>
    </row>
    <row r="8" spans="1:8" ht="18.600000000000001" thickBot="1" x14ac:dyDescent="0.4">
      <c r="A8" s="837" t="s">
        <v>745</v>
      </c>
      <c r="B8" s="837"/>
      <c r="C8" s="837"/>
    </row>
    <row r="9" spans="1:8" ht="87" thickBot="1" x14ac:dyDescent="0.35">
      <c r="A9" s="382" t="s">
        <v>746</v>
      </c>
      <c r="B9" s="383" t="s">
        <v>747</v>
      </c>
      <c r="C9" s="384" t="s">
        <v>748</v>
      </c>
    </row>
    <row r="10" spans="1:8" ht="87" thickBot="1" x14ac:dyDescent="0.35">
      <c r="A10" s="385" t="s">
        <v>749</v>
      </c>
      <c r="B10" s="386" t="s">
        <v>750</v>
      </c>
      <c r="C10" s="387" t="s">
        <v>751</v>
      </c>
    </row>
    <row r="11" spans="1:8" ht="58.2" thickBot="1" x14ac:dyDescent="0.35">
      <c r="A11" s="388" t="s">
        <v>752</v>
      </c>
      <c r="B11" s="383" t="s">
        <v>753</v>
      </c>
      <c r="C11" s="389" t="s">
        <v>754</v>
      </c>
    </row>
    <row r="12" spans="1:8" ht="43.8" thickBot="1" x14ac:dyDescent="0.35">
      <c r="A12" s="390" t="s">
        <v>755</v>
      </c>
      <c r="B12" s="383" t="s">
        <v>756</v>
      </c>
      <c r="C12" s="391"/>
    </row>
    <row r="13" spans="1:8" x14ac:dyDescent="0.3">
      <c r="A13" s="256"/>
    </row>
  </sheetData>
  <mergeCells count="3">
    <mergeCell ref="A1:D1"/>
    <mergeCell ref="A2:D2"/>
    <mergeCell ref="A8:C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11"/>
  <sheetViews>
    <sheetView topLeftCell="B1" zoomScale="130" zoomScaleNormal="130" workbookViewId="0">
      <selection activeCell="E12" sqref="E12"/>
    </sheetView>
  </sheetViews>
  <sheetFormatPr baseColWidth="10" defaultColWidth="11.44140625" defaultRowHeight="14.4" x14ac:dyDescent="0.3"/>
  <cols>
    <col min="1" max="1" width="55.88671875" bestFit="1" customWidth="1"/>
    <col min="2" max="2" width="13.33203125" customWidth="1"/>
    <col min="3" max="3" width="22.33203125" customWidth="1"/>
    <col min="4" max="4" width="8.5546875" bestFit="1" customWidth="1"/>
    <col min="5" max="5" width="15" bestFit="1" customWidth="1"/>
    <col min="6" max="6" width="16.33203125" bestFit="1" customWidth="1"/>
    <col min="7" max="8" width="7.5546875" customWidth="1"/>
    <col min="9" max="9" width="26.6640625" customWidth="1"/>
  </cols>
  <sheetData>
    <row r="1" spans="1:10" ht="43.5" customHeight="1" x14ac:dyDescent="0.3">
      <c r="F1" s="67" t="s">
        <v>757</v>
      </c>
      <c r="G1" s="67"/>
      <c r="H1" s="67"/>
      <c r="I1" s="67" t="s">
        <v>758</v>
      </c>
    </row>
    <row r="2" spans="1:10" x14ac:dyDescent="0.3">
      <c r="A2" t="s">
        <v>759</v>
      </c>
      <c r="B2" t="s">
        <v>760</v>
      </c>
      <c r="C2" s="2">
        <v>600000000</v>
      </c>
      <c r="D2" t="s">
        <v>761</v>
      </c>
      <c r="E2" s="66">
        <v>49</v>
      </c>
      <c r="F2" s="65">
        <f>C2*E2</f>
        <v>29400000000</v>
      </c>
      <c r="H2" t="s">
        <v>761</v>
      </c>
      <c r="I2" s="65">
        <f>G2*E2</f>
        <v>0</v>
      </c>
    </row>
    <row r="3" spans="1:10" x14ac:dyDescent="0.3">
      <c r="A3" s="257" t="s">
        <v>762</v>
      </c>
      <c r="B3" s="257" t="s">
        <v>760</v>
      </c>
      <c r="C3" s="258">
        <f>C2-C4</f>
        <v>211971767</v>
      </c>
      <c r="D3" s="257" t="s">
        <v>761</v>
      </c>
      <c r="E3" s="259">
        <v>49</v>
      </c>
      <c r="F3" s="259">
        <f>C3*E3</f>
        <v>10386616583</v>
      </c>
      <c r="H3" t="s">
        <v>761</v>
      </c>
      <c r="I3" s="65">
        <f>G3*E3</f>
        <v>0</v>
      </c>
    </row>
    <row r="4" spans="1:10" s="50" customFormat="1" ht="15" thickBot="1" x14ac:dyDescent="0.35">
      <c r="A4" s="246" t="s">
        <v>763</v>
      </c>
      <c r="B4" s="246" t="s">
        <v>760</v>
      </c>
      <c r="C4" s="247">
        <v>388028233</v>
      </c>
      <c r="D4" s="246" t="s">
        <v>761</v>
      </c>
      <c r="E4" s="248">
        <v>49</v>
      </c>
      <c r="F4" s="248">
        <f>C4*E4</f>
        <v>19013383417</v>
      </c>
      <c r="G4" s="246"/>
      <c r="H4" s="246" t="s">
        <v>761</v>
      </c>
      <c r="I4" s="249">
        <f>G4*E4</f>
        <v>0</v>
      </c>
    </row>
    <row r="5" spans="1:10" ht="15" thickTop="1" x14ac:dyDescent="0.3">
      <c r="A5" s="71" t="s">
        <v>764</v>
      </c>
      <c r="B5" s="71"/>
      <c r="C5" s="71"/>
      <c r="D5" s="71"/>
      <c r="E5" s="68">
        <v>1</v>
      </c>
      <c r="F5" s="68"/>
      <c r="G5" s="71"/>
      <c r="H5" s="71" t="s">
        <v>761</v>
      </c>
      <c r="I5" s="65">
        <v>0</v>
      </c>
    </row>
    <row r="7" spans="1:10" x14ac:dyDescent="0.3">
      <c r="A7" t="s">
        <v>765</v>
      </c>
      <c r="C7">
        <v>1</v>
      </c>
      <c r="E7">
        <f>5000-49</f>
        <v>4951</v>
      </c>
      <c r="F7">
        <f>C7*E7</f>
        <v>4951</v>
      </c>
      <c r="H7" t="s">
        <v>761</v>
      </c>
      <c r="I7">
        <f>G7*(5-1)</f>
        <v>0</v>
      </c>
    </row>
    <row r="8" spans="1:10" x14ac:dyDescent="0.3">
      <c r="A8" t="s">
        <v>766</v>
      </c>
      <c r="H8" t="s">
        <v>767</v>
      </c>
      <c r="I8">
        <f>G8*(8-7)</f>
        <v>0</v>
      </c>
    </row>
    <row r="9" spans="1:10" x14ac:dyDescent="0.3">
      <c r="A9" t="s">
        <v>768</v>
      </c>
      <c r="F9" s="65"/>
      <c r="I9" s="75">
        <v>65</v>
      </c>
    </row>
    <row r="10" spans="1:10" ht="15" thickBot="1" x14ac:dyDescent="0.35">
      <c r="A10" s="70" t="s">
        <v>769</v>
      </c>
      <c r="B10" s="70"/>
      <c r="C10" s="70"/>
      <c r="D10" s="70"/>
      <c r="E10" s="70"/>
      <c r="F10" s="70"/>
      <c r="G10" s="70"/>
      <c r="H10" s="70"/>
      <c r="I10" s="69">
        <f>I7+I8+I9</f>
        <v>65</v>
      </c>
    </row>
    <row r="11" spans="1:10" ht="15" thickTop="1" x14ac:dyDescent="0.3"/>
    <row r="12" spans="1:10" x14ac:dyDescent="0.3">
      <c r="A12" t="s">
        <v>770</v>
      </c>
      <c r="C12" s="107">
        <v>424943000000</v>
      </c>
      <c r="D12">
        <f>C12/C4</f>
        <v>1095.1342295755062</v>
      </c>
      <c r="I12">
        <v>405</v>
      </c>
      <c r="J12" t="s">
        <v>771</v>
      </c>
    </row>
    <row r="13" spans="1:10" x14ac:dyDescent="0.3">
      <c r="A13" s="46" t="s">
        <v>772</v>
      </c>
      <c r="I13">
        <v>600</v>
      </c>
    </row>
    <row r="14" spans="1:10" x14ac:dyDescent="0.3">
      <c r="A14" t="s">
        <v>773</v>
      </c>
      <c r="C14">
        <f>70-40</f>
        <v>30</v>
      </c>
      <c r="D14" t="s">
        <v>761</v>
      </c>
      <c r="E14" s="65">
        <v>7</v>
      </c>
      <c r="I14" s="65">
        <f>-(C14*E14)</f>
        <v>-210</v>
      </c>
    </row>
    <row r="17" spans="1:12" ht="15" thickBot="1" x14ac:dyDescent="0.35">
      <c r="A17" s="70" t="s">
        <v>774</v>
      </c>
      <c r="B17" s="70"/>
      <c r="C17" s="70"/>
      <c r="D17" s="70"/>
      <c r="E17" s="70"/>
      <c r="F17" s="70"/>
      <c r="G17" s="70"/>
      <c r="H17" s="70"/>
      <c r="I17" s="69">
        <f>I13+I14+I15+I16</f>
        <v>390</v>
      </c>
    </row>
    <row r="18" spans="1:12" ht="15" thickTop="1" x14ac:dyDescent="0.3"/>
    <row r="21" spans="1:12" x14ac:dyDescent="0.3">
      <c r="A21" t="s">
        <v>775</v>
      </c>
      <c r="I21">
        <f>750-600-75</f>
        <v>75</v>
      </c>
      <c r="K21">
        <f>I21/2</f>
        <v>37.5</v>
      </c>
      <c r="L21" t="s">
        <v>776</v>
      </c>
    </row>
    <row r="22" spans="1:12" x14ac:dyDescent="0.3">
      <c r="A22" t="s">
        <v>777</v>
      </c>
      <c r="K22">
        <v>7.5</v>
      </c>
      <c r="L22" t="s">
        <v>778</v>
      </c>
    </row>
    <row r="24" spans="1:12" x14ac:dyDescent="0.3">
      <c r="A24" t="s">
        <v>779</v>
      </c>
      <c r="K24">
        <f>K21/K22</f>
        <v>5</v>
      </c>
      <c r="L24" t="s">
        <v>780</v>
      </c>
    </row>
    <row r="25" spans="1:12" x14ac:dyDescent="0.3">
      <c r="K25">
        <v>1</v>
      </c>
      <c r="L25" t="s">
        <v>732</v>
      </c>
    </row>
    <row r="26" spans="1:12" x14ac:dyDescent="0.3">
      <c r="K26">
        <f>K22</f>
        <v>7.5</v>
      </c>
      <c r="L26" t="s">
        <v>781</v>
      </c>
    </row>
    <row r="27" spans="1:12" x14ac:dyDescent="0.3">
      <c r="B27" t="s">
        <v>782</v>
      </c>
      <c r="C27" s="2">
        <v>10000000</v>
      </c>
      <c r="D27">
        <v>500</v>
      </c>
      <c r="E27" s="11">
        <f>C27*D27</f>
        <v>5000000000</v>
      </c>
      <c r="F27" s="2">
        <f>C27*49</f>
        <v>490000000</v>
      </c>
      <c r="G27" t="s">
        <v>783</v>
      </c>
    </row>
    <row r="28" spans="1:12" x14ac:dyDescent="0.3">
      <c r="D28">
        <v>560</v>
      </c>
      <c r="F28" s="2">
        <f>C27*(D27-49)</f>
        <v>4510000000</v>
      </c>
      <c r="G28" t="s">
        <v>784</v>
      </c>
    </row>
    <row r="29" spans="1:12" x14ac:dyDescent="0.3">
      <c r="F29" s="2">
        <f>SUM(F27:F28)</f>
        <v>5000000000</v>
      </c>
    </row>
    <row r="31" spans="1:12" x14ac:dyDescent="0.3">
      <c r="G31">
        <v>49</v>
      </c>
    </row>
    <row r="32" spans="1:12" x14ac:dyDescent="0.3">
      <c r="G32">
        <v>500</v>
      </c>
      <c r="I32" s="8" t="s">
        <v>785</v>
      </c>
      <c r="J32" s="250" t="s">
        <v>786</v>
      </c>
    </row>
    <row r="33" spans="1:11" x14ac:dyDescent="0.3">
      <c r="A33" t="s">
        <v>787</v>
      </c>
      <c r="G33">
        <v>575</v>
      </c>
      <c r="I33" s="8" t="s">
        <v>788</v>
      </c>
      <c r="J33" s="8" t="s">
        <v>788</v>
      </c>
    </row>
    <row r="35" spans="1:11" x14ac:dyDescent="0.3">
      <c r="I35" t="s">
        <v>789</v>
      </c>
      <c r="J35">
        <v>4</v>
      </c>
      <c r="K35" s="45">
        <v>1</v>
      </c>
    </row>
    <row r="36" spans="1:11" x14ac:dyDescent="0.3">
      <c r="A36" t="s">
        <v>790</v>
      </c>
    </row>
    <row r="37" spans="1:11" x14ac:dyDescent="0.3">
      <c r="A37" s="46" t="s">
        <v>791</v>
      </c>
      <c r="B37" s="46"/>
    </row>
    <row r="38" spans="1:11" x14ac:dyDescent="0.3">
      <c r="A38" s="57" t="s">
        <v>792</v>
      </c>
      <c r="B38" s="46"/>
    </row>
    <row r="40" spans="1:11" x14ac:dyDescent="0.3">
      <c r="A40" t="s">
        <v>793</v>
      </c>
    </row>
    <row r="41" spans="1:11" x14ac:dyDescent="0.3">
      <c r="A41" s="46" t="s">
        <v>791</v>
      </c>
      <c r="B41" s="46"/>
    </row>
    <row r="42" spans="1:11" x14ac:dyDescent="0.3">
      <c r="A42" s="57" t="s">
        <v>792</v>
      </c>
      <c r="B42" s="46"/>
    </row>
    <row r="43" spans="1:11" x14ac:dyDescent="0.3">
      <c r="A43" s="57" t="s">
        <v>794</v>
      </c>
      <c r="B43" s="46"/>
    </row>
    <row r="44" spans="1:11" x14ac:dyDescent="0.3">
      <c r="A44" s="56"/>
    </row>
    <row r="45" spans="1:11" x14ac:dyDescent="0.3">
      <c r="A45" t="s">
        <v>795</v>
      </c>
    </row>
    <row r="46" spans="1:11" x14ac:dyDescent="0.3">
      <c r="A46" s="46" t="s">
        <v>796</v>
      </c>
      <c r="B46" s="46"/>
    </row>
    <row r="47" spans="1:11" x14ac:dyDescent="0.3">
      <c r="A47" s="57" t="s">
        <v>797</v>
      </c>
      <c r="B47" s="46"/>
    </row>
    <row r="49" spans="1:3" x14ac:dyDescent="0.3">
      <c r="A49" t="s">
        <v>798</v>
      </c>
    </row>
    <row r="50" spans="1:3" x14ac:dyDescent="0.3">
      <c r="A50" s="46" t="s">
        <v>799</v>
      </c>
      <c r="B50" s="46"/>
    </row>
    <row r="51" spans="1:3" x14ac:dyDescent="0.3">
      <c r="A51" s="57" t="s">
        <v>800</v>
      </c>
      <c r="B51" s="46"/>
    </row>
    <row r="53" spans="1:3" x14ac:dyDescent="0.3">
      <c r="A53" t="s">
        <v>801</v>
      </c>
    </row>
    <row r="54" spans="1:3" x14ac:dyDescent="0.3">
      <c r="A54" s="46" t="s">
        <v>802</v>
      </c>
      <c r="B54" s="46">
        <f>40*8</f>
        <v>320</v>
      </c>
      <c r="C54" s="46"/>
    </row>
    <row r="55" spans="1:3" x14ac:dyDescent="0.3">
      <c r="A55" s="57" t="s">
        <v>803</v>
      </c>
      <c r="B55" s="46"/>
      <c r="C55" s="46">
        <f>40*7</f>
        <v>280</v>
      </c>
    </row>
    <row r="56" spans="1:3" x14ac:dyDescent="0.3">
      <c r="A56" s="57" t="s">
        <v>804</v>
      </c>
      <c r="B56" s="46"/>
      <c r="C56" s="46">
        <f>40*(8-7)</f>
        <v>40</v>
      </c>
    </row>
    <row r="58" spans="1:3" x14ac:dyDescent="0.3">
      <c r="A58" t="s">
        <v>805</v>
      </c>
    </row>
    <row r="59" spans="1:3" x14ac:dyDescent="0.3">
      <c r="A59" s="46" t="s">
        <v>806</v>
      </c>
      <c r="B59" s="46">
        <v>75</v>
      </c>
      <c r="C59" s="46"/>
    </row>
    <row r="60" spans="1:3" x14ac:dyDescent="0.3">
      <c r="A60" s="57" t="s">
        <v>807</v>
      </c>
      <c r="B60" s="46"/>
      <c r="C60" s="46">
        <f>10*1</f>
        <v>10</v>
      </c>
    </row>
    <row r="61" spans="1:3" x14ac:dyDescent="0.3">
      <c r="A61" s="57" t="s">
        <v>808</v>
      </c>
      <c r="B61" s="46"/>
      <c r="C61" s="46">
        <f>10*(7.5-1)</f>
        <v>65</v>
      </c>
    </row>
    <row r="63" spans="1:3" x14ac:dyDescent="0.3">
      <c r="A63" t="s">
        <v>809</v>
      </c>
    </row>
    <row r="64" spans="1:3" x14ac:dyDescent="0.3">
      <c r="A64" s="72" t="s">
        <v>810</v>
      </c>
      <c r="B64" s="46">
        <f>C60</f>
        <v>10</v>
      </c>
      <c r="C64" s="46"/>
    </row>
    <row r="65" spans="1:3" x14ac:dyDescent="0.3">
      <c r="A65" s="72" t="s">
        <v>811</v>
      </c>
      <c r="B65" s="46"/>
      <c r="C65" s="46">
        <f>B64</f>
        <v>10</v>
      </c>
    </row>
    <row r="67" spans="1:3" x14ac:dyDescent="0.3">
      <c r="A67" t="s">
        <v>812</v>
      </c>
    </row>
    <row r="68" spans="1:3" x14ac:dyDescent="0.3">
      <c r="A68" s="49" t="s">
        <v>806</v>
      </c>
      <c r="B68" s="49">
        <v>75</v>
      </c>
      <c r="C68" s="49"/>
    </row>
    <row r="69" spans="1:3" x14ac:dyDescent="0.3">
      <c r="A69" s="73" t="s">
        <v>813</v>
      </c>
      <c r="B69" s="49"/>
      <c r="C69" s="49">
        <v>75</v>
      </c>
    </row>
    <row r="71" spans="1:3" x14ac:dyDescent="0.3">
      <c r="A71" t="s">
        <v>814</v>
      </c>
    </row>
    <row r="72" spans="1:3" x14ac:dyDescent="0.3">
      <c r="A72" s="74" t="s">
        <v>815</v>
      </c>
      <c r="B72" s="49">
        <f>C69</f>
        <v>75</v>
      </c>
      <c r="C72" s="49"/>
    </row>
    <row r="73" spans="1:3" x14ac:dyDescent="0.3">
      <c r="A73" s="73" t="s">
        <v>816</v>
      </c>
      <c r="B73" s="49"/>
      <c r="C73" s="49">
        <f>B72</f>
        <v>75</v>
      </c>
    </row>
    <row r="108" spans="1:3" x14ac:dyDescent="0.3">
      <c r="A108" s="46" t="s">
        <v>12</v>
      </c>
      <c r="B108" s="46">
        <v>5000</v>
      </c>
    </row>
    <row r="110" spans="1:3" x14ac:dyDescent="0.3">
      <c r="A110" s="257" t="s">
        <v>817</v>
      </c>
      <c r="B110" s="257"/>
      <c r="C110" s="257">
        <v>49</v>
      </c>
    </row>
    <row r="111" spans="1:3" x14ac:dyDescent="0.3">
      <c r="A111" s="257" t="s">
        <v>818</v>
      </c>
      <c r="B111" s="257"/>
      <c r="C111" s="257">
        <f>B108-C110</f>
        <v>4951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2"/>
  <sheetViews>
    <sheetView workbookViewId="0">
      <selection activeCell="B32" sqref="B32"/>
    </sheetView>
  </sheetViews>
  <sheetFormatPr baseColWidth="10" defaultColWidth="11.44140625" defaultRowHeight="14.4" x14ac:dyDescent="0.3"/>
  <cols>
    <col min="1" max="1" width="25" bestFit="1" customWidth="1"/>
    <col min="2" max="2" width="44.109375" bestFit="1" customWidth="1"/>
    <col min="5" max="5" width="3.5546875" customWidth="1"/>
    <col min="6" max="6" width="3.109375" customWidth="1"/>
    <col min="7" max="7" width="18.44140625" customWidth="1"/>
    <col min="11" max="11" width="18.88671875" customWidth="1"/>
  </cols>
  <sheetData>
    <row r="1" spans="1:14" x14ac:dyDescent="0.3">
      <c r="G1" s="45">
        <v>0.8</v>
      </c>
      <c r="K1" s="45" t="s">
        <v>819</v>
      </c>
      <c r="L1" t="s">
        <v>820</v>
      </c>
    </row>
    <row r="2" spans="1:14" x14ac:dyDescent="0.3">
      <c r="B2" s="46" t="s">
        <v>821</v>
      </c>
      <c r="G2" t="s">
        <v>822</v>
      </c>
      <c r="K2" s="45" t="s">
        <v>823</v>
      </c>
      <c r="L2" t="s">
        <v>824</v>
      </c>
    </row>
    <row r="3" spans="1:14" ht="15" thickBot="1" x14ac:dyDescent="0.35">
      <c r="B3" s="76" t="s">
        <v>825</v>
      </c>
      <c r="G3" t="s">
        <v>826</v>
      </c>
      <c r="K3" t="s">
        <v>827</v>
      </c>
      <c r="L3" s="46" t="s">
        <v>828</v>
      </c>
      <c r="N3" s="45">
        <v>0.1</v>
      </c>
    </row>
    <row r="4" spans="1:14" ht="15" thickBot="1" x14ac:dyDescent="0.35">
      <c r="A4" t="s">
        <v>829</v>
      </c>
      <c r="B4" t="s">
        <v>830</v>
      </c>
      <c r="C4" s="58">
        <v>100</v>
      </c>
      <c r="G4" s="53" t="s">
        <v>144</v>
      </c>
      <c r="H4" s="53">
        <v>100</v>
      </c>
      <c r="I4" s="53"/>
      <c r="K4" t="s">
        <v>144</v>
      </c>
      <c r="L4">
        <v>100</v>
      </c>
    </row>
    <row r="5" spans="1:14" x14ac:dyDescent="0.3">
      <c r="B5" s="56" t="s">
        <v>144</v>
      </c>
      <c r="D5">
        <v>100</v>
      </c>
      <c r="G5" s="53" t="s">
        <v>831</v>
      </c>
      <c r="H5" s="53"/>
      <c r="I5" s="53">
        <v>40</v>
      </c>
      <c r="K5" t="s">
        <v>831</v>
      </c>
      <c r="M5">
        <v>40</v>
      </c>
    </row>
    <row r="6" spans="1:14" x14ac:dyDescent="0.3">
      <c r="A6" t="s">
        <v>832</v>
      </c>
      <c r="B6" t="s">
        <v>833</v>
      </c>
      <c r="C6">
        <v>100</v>
      </c>
      <c r="G6" s="53" t="s">
        <v>46</v>
      </c>
      <c r="H6" s="53"/>
      <c r="I6" s="53">
        <v>60</v>
      </c>
      <c r="K6" t="s">
        <v>46</v>
      </c>
      <c r="M6">
        <v>60</v>
      </c>
    </row>
    <row r="7" spans="1:14" ht="15" thickBot="1" x14ac:dyDescent="0.35">
      <c r="B7" s="56" t="s">
        <v>144</v>
      </c>
      <c r="D7">
        <v>100</v>
      </c>
    </row>
    <row r="8" spans="1:14" ht="15" thickBot="1" x14ac:dyDescent="0.35">
      <c r="A8" t="s">
        <v>834</v>
      </c>
      <c r="B8" s="46" t="s">
        <v>830</v>
      </c>
      <c r="C8" s="58">
        <f>H8*G1</f>
        <v>40</v>
      </c>
      <c r="D8" s="46"/>
      <c r="G8" t="s">
        <v>835</v>
      </c>
      <c r="H8">
        <v>50</v>
      </c>
      <c r="I8">
        <v>50</v>
      </c>
      <c r="K8" t="s">
        <v>836</v>
      </c>
      <c r="L8">
        <v>30</v>
      </c>
    </row>
    <row r="9" spans="1:14" x14ac:dyDescent="0.3">
      <c r="A9" t="s">
        <v>837</v>
      </c>
      <c r="B9" s="57" t="s">
        <v>838</v>
      </c>
      <c r="C9" s="46"/>
      <c r="D9" s="46">
        <f>C8</f>
        <v>40</v>
      </c>
      <c r="G9" t="s">
        <v>839</v>
      </c>
      <c r="I9">
        <f>I8-I10</f>
        <v>30</v>
      </c>
      <c r="K9" t="s">
        <v>840</v>
      </c>
    </row>
    <row r="10" spans="1:14" x14ac:dyDescent="0.3">
      <c r="G10" t="s">
        <v>841</v>
      </c>
      <c r="I10" s="48">
        <v>20</v>
      </c>
      <c r="K10" t="s">
        <v>842</v>
      </c>
    </row>
    <row r="11" spans="1:14" x14ac:dyDescent="0.3">
      <c r="K11" s="59" t="s">
        <v>843</v>
      </c>
      <c r="L11" s="59">
        <v>18</v>
      </c>
      <c r="M11" s="59"/>
    </row>
    <row r="12" spans="1:14" ht="15" thickBot="1" x14ac:dyDescent="0.35">
      <c r="A12" t="s">
        <v>844</v>
      </c>
      <c r="B12" s="51" t="s">
        <v>845</v>
      </c>
      <c r="C12" s="50">
        <f>I10*G1</f>
        <v>16</v>
      </c>
      <c r="D12" s="50"/>
      <c r="G12" s="50" t="s">
        <v>843</v>
      </c>
      <c r="H12" s="50">
        <f>I10</f>
        <v>20</v>
      </c>
      <c r="I12" s="50"/>
      <c r="K12" s="59" t="s">
        <v>846</v>
      </c>
      <c r="L12" s="59"/>
      <c r="M12" s="59">
        <f>L11</f>
        <v>18</v>
      </c>
    </row>
    <row r="13" spans="1:14" ht="15" thickBot="1" x14ac:dyDescent="0.35">
      <c r="B13" s="50" t="s">
        <v>830</v>
      </c>
      <c r="C13" s="50"/>
      <c r="D13" s="58">
        <f>C12</f>
        <v>16</v>
      </c>
      <c r="G13" s="50" t="s">
        <v>846</v>
      </c>
      <c r="H13" s="50"/>
      <c r="I13" s="50">
        <f>H12</f>
        <v>20</v>
      </c>
      <c r="K13" s="50" t="s">
        <v>846</v>
      </c>
      <c r="L13" s="50">
        <f>M12</f>
        <v>18</v>
      </c>
      <c r="M13" s="50"/>
    </row>
    <row r="14" spans="1:14" x14ac:dyDescent="0.3">
      <c r="K14" s="52" t="s">
        <v>144</v>
      </c>
      <c r="L14" s="50"/>
      <c r="M14" s="50">
        <f>L13</f>
        <v>18</v>
      </c>
    </row>
    <row r="15" spans="1:14" x14ac:dyDescent="0.3">
      <c r="A15" t="s">
        <v>847</v>
      </c>
      <c r="B15" s="54" t="s">
        <v>144</v>
      </c>
      <c r="C15" s="54">
        <f>C12</f>
        <v>16</v>
      </c>
      <c r="D15" s="54"/>
      <c r="G15" s="50" t="s">
        <v>846</v>
      </c>
      <c r="H15" s="50">
        <f>I13</f>
        <v>20</v>
      </c>
      <c r="I15" s="50"/>
      <c r="K15" t="s">
        <v>848</v>
      </c>
    </row>
    <row r="16" spans="1:14" x14ac:dyDescent="0.3">
      <c r="B16" s="55" t="s">
        <v>845</v>
      </c>
      <c r="C16" s="54"/>
      <c r="D16" s="54">
        <f>C15</f>
        <v>16</v>
      </c>
      <c r="G16" s="52" t="s">
        <v>144</v>
      </c>
      <c r="H16" s="50"/>
      <c r="I16" s="50">
        <f>H15</f>
        <v>20</v>
      </c>
      <c r="K16" t="s">
        <v>849</v>
      </c>
      <c r="M16" t="s">
        <v>850</v>
      </c>
    </row>
    <row r="19" spans="1:9" x14ac:dyDescent="0.3">
      <c r="B19" s="46" t="s">
        <v>830</v>
      </c>
      <c r="C19" s="46">
        <f>H19*G1</f>
        <v>8</v>
      </c>
      <c r="D19" s="46"/>
      <c r="G19" t="s">
        <v>851</v>
      </c>
      <c r="H19">
        <v>10</v>
      </c>
    </row>
    <row r="20" spans="1:9" x14ac:dyDescent="0.3">
      <c r="B20" s="46" t="s">
        <v>852</v>
      </c>
      <c r="C20" s="46"/>
      <c r="D20" s="46">
        <f>C19</f>
        <v>8</v>
      </c>
      <c r="G20" t="s">
        <v>853</v>
      </c>
      <c r="I20">
        <v>10</v>
      </c>
    </row>
    <row r="21" spans="1:9" x14ac:dyDescent="0.3">
      <c r="A21" t="s">
        <v>854</v>
      </c>
    </row>
    <row r="23" spans="1:9" x14ac:dyDescent="0.3">
      <c r="A23" t="s">
        <v>855</v>
      </c>
    </row>
    <row r="24" spans="1:9" x14ac:dyDescent="0.3">
      <c r="B24" t="s">
        <v>856</v>
      </c>
      <c r="C24">
        <f>C4+C8-D13</f>
        <v>124</v>
      </c>
    </row>
    <row r="26" spans="1:9" x14ac:dyDescent="0.3">
      <c r="A26" t="s">
        <v>857</v>
      </c>
      <c r="B26" t="s">
        <v>858</v>
      </c>
    </row>
    <row r="28" spans="1:9" x14ac:dyDescent="0.3">
      <c r="B28" s="59" t="s">
        <v>859</v>
      </c>
      <c r="C28" s="59">
        <f>L11*N3</f>
        <v>1.8</v>
      </c>
      <c r="D28" s="59"/>
    </row>
    <row r="29" spans="1:9" x14ac:dyDescent="0.3">
      <c r="B29" s="60" t="s">
        <v>860</v>
      </c>
      <c r="C29" s="59"/>
      <c r="D29" s="59">
        <f>C28</f>
        <v>1.8</v>
      </c>
    </row>
    <row r="31" spans="1:9" x14ac:dyDescent="0.3">
      <c r="B31" s="47" t="s">
        <v>144</v>
      </c>
      <c r="C31" s="47">
        <f>D29</f>
        <v>1.8</v>
      </c>
      <c r="D31" s="47"/>
    </row>
    <row r="32" spans="1:9" x14ac:dyDescent="0.3">
      <c r="B32" s="61" t="str">
        <f>B28</f>
        <v>Dividendo por cobrar en C</v>
      </c>
      <c r="C32" s="47"/>
      <c r="D32" s="47">
        <f>C31</f>
        <v>1.8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H158"/>
  <sheetViews>
    <sheetView topLeftCell="A21" workbookViewId="0">
      <selection activeCell="M30" sqref="M30"/>
    </sheetView>
  </sheetViews>
  <sheetFormatPr baseColWidth="10" defaultColWidth="11.44140625" defaultRowHeight="14.4" x14ac:dyDescent="0.3"/>
  <cols>
    <col min="1" max="1" width="3.33203125" style="400" customWidth="1"/>
    <col min="2" max="2" width="51.109375" style="400" customWidth="1"/>
    <col min="3" max="3" width="12.44140625" style="397" customWidth="1"/>
    <col min="4" max="4" width="12.44140625" style="398" customWidth="1"/>
    <col min="5" max="5" width="15.109375" style="399" customWidth="1"/>
    <col min="6" max="6" width="2.44140625" style="398" customWidth="1"/>
    <col min="7" max="7" width="13.109375" style="400" customWidth="1"/>
    <col min="8" max="8" width="24.5546875" style="400" customWidth="1"/>
    <col min="9" max="9" width="14" style="400" customWidth="1"/>
    <col min="10" max="10" width="2.44140625" style="400" customWidth="1"/>
    <col min="11" max="11" width="12.5546875" style="400" customWidth="1"/>
    <col min="12" max="12" width="12.6640625" style="400" bestFit="1" customWidth="1"/>
    <col min="13" max="13" width="16.44140625" style="400" customWidth="1"/>
    <col min="14" max="14" width="12.88671875" style="400" bestFit="1" customWidth="1"/>
    <col min="15" max="16" width="11.44140625" style="400"/>
    <col min="17" max="17" width="13.44140625" style="400" bestFit="1" customWidth="1"/>
    <col min="18" max="21" width="11.44140625" style="400"/>
    <col min="22" max="22" width="19.6640625" style="400" customWidth="1"/>
    <col min="23" max="16384" width="11.44140625" style="400"/>
  </cols>
  <sheetData>
    <row r="1" spans="2:34" x14ac:dyDescent="0.3">
      <c r="B1" s="472" t="s">
        <v>861</v>
      </c>
    </row>
    <row r="2" spans="2:34" x14ac:dyDescent="0.3">
      <c r="B2" s="574" t="s">
        <v>18</v>
      </c>
      <c r="C2" s="575">
        <v>125000</v>
      </c>
      <c r="D2" s="575"/>
      <c r="E2" s="576"/>
      <c r="F2" s="575"/>
      <c r="G2" s="574"/>
      <c r="H2" s="574"/>
      <c r="M2" s="575">
        <f>C2+D79</f>
        <v>20651000</v>
      </c>
    </row>
    <row r="3" spans="2:34" x14ac:dyDescent="0.3">
      <c r="B3" s="400" t="s">
        <v>862</v>
      </c>
      <c r="C3" s="397" t="s">
        <v>863</v>
      </c>
      <c r="F3" s="398" t="s">
        <v>864</v>
      </c>
      <c r="I3" s="397"/>
      <c r="J3" s="400" t="s">
        <v>761</v>
      </c>
      <c r="M3" s="401"/>
    </row>
    <row r="4" spans="2:34" x14ac:dyDescent="0.3">
      <c r="F4" s="398" t="s">
        <v>865</v>
      </c>
      <c r="M4" s="401"/>
    </row>
    <row r="5" spans="2:34" x14ac:dyDescent="0.3">
      <c r="M5" s="401"/>
    </row>
    <row r="6" spans="2:34" x14ac:dyDescent="0.3">
      <c r="M6" s="401"/>
    </row>
    <row r="8" spans="2:34" x14ac:dyDescent="0.3">
      <c r="B8" s="851" t="s">
        <v>866</v>
      </c>
      <c r="C8" s="851"/>
      <c r="D8" s="851"/>
      <c r="E8" s="851"/>
      <c r="F8" s="851"/>
      <c r="G8" s="851"/>
      <c r="H8" s="851"/>
      <c r="I8" s="851"/>
      <c r="J8" s="851"/>
      <c r="K8" s="851"/>
      <c r="L8" s="851"/>
      <c r="M8" s="851"/>
      <c r="N8" s="402"/>
      <c r="O8" s="402"/>
      <c r="P8" s="402"/>
      <c r="Q8" s="402"/>
      <c r="R8" s="402"/>
      <c r="S8" s="402"/>
      <c r="T8" s="402"/>
      <c r="U8" s="402"/>
      <c r="V8" s="402"/>
      <c r="W8" s="402"/>
      <c r="X8" s="402"/>
      <c r="Y8" s="402"/>
      <c r="Z8" s="402"/>
      <c r="AA8" s="402"/>
      <c r="AB8" s="402"/>
      <c r="AC8" s="402"/>
      <c r="AD8" s="402"/>
      <c r="AE8" s="402"/>
      <c r="AF8" s="402"/>
      <c r="AG8" s="402"/>
      <c r="AH8" s="402"/>
    </row>
    <row r="9" spans="2:34" ht="15" thickBot="1" x14ac:dyDescent="0.35">
      <c r="B9" s="851" t="s">
        <v>867</v>
      </c>
      <c r="C9" s="851"/>
      <c r="D9" s="851"/>
      <c r="E9" s="851"/>
      <c r="F9" s="851"/>
      <c r="G9" s="851"/>
      <c r="H9" s="851"/>
      <c r="I9" s="851"/>
      <c r="J9" s="851"/>
      <c r="K9" s="851"/>
      <c r="L9" s="851"/>
      <c r="M9" s="851"/>
      <c r="N9" s="402"/>
      <c r="O9" s="402"/>
      <c r="P9" s="402"/>
      <c r="Q9" s="402"/>
      <c r="R9" s="402"/>
      <c r="S9" s="402"/>
      <c r="T9" s="402"/>
      <c r="U9" s="402"/>
      <c r="V9" s="402"/>
      <c r="W9" s="402"/>
      <c r="X9" s="402"/>
      <c r="Y9" s="402"/>
      <c r="Z9" s="402"/>
      <c r="AA9" s="402"/>
      <c r="AB9" s="402"/>
      <c r="AC9" s="402"/>
      <c r="AD9" s="402"/>
      <c r="AE9" s="402"/>
      <c r="AF9" s="402"/>
      <c r="AG9" s="402"/>
      <c r="AH9" s="402"/>
    </row>
    <row r="10" spans="2:34" ht="15" thickBot="1" x14ac:dyDescent="0.35">
      <c r="C10" s="851" t="s">
        <v>868</v>
      </c>
      <c r="D10" s="851"/>
      <c r="E10" s="851"/>
      <c r="F10" s="403"/>
      <c r="G10" s="851" t="s">
        <v>869</v>
      </c>
      <c r="H10" s="851"/>
      <c r="I10" s="851"/>
      <c r="J10" s="402"/>
      <c r="K10" s="852" t="s">
        <v>870</v>
      </c>
      <c r="L10" s="853"/>
      <c r="M10" s="854"/>
      <c r="N10" s="402"/>
      <c r="O10" s="402"/>
      <c r="P10" s="402"/>
      <c r="Q10" s="402"/>
      <c r="R10" s="402"/>
      <c r="S10" s="402"/>
      <c r="T10" s="402"/>
      <c r="U10" s="402"/>
      <c r="V10" s="402"/>
      <c r="W10" s="402"/>
      <c r="X10" s="402"/>
      <c r="Y10" s="402"/>
      <c r="Z10" s="402"/>
      <c r="AA10" s="402"/>
      <c r="AB10" s="402"/>
      <c r="AC10" s="402"/>
      <c r="AD10" s="402"/>
      <c r="AE10" s="402"/>
      <c r="AF10" s="402"/>
      <c r="AG10" s="402"/>
      <c r="AH10" s="402"/>
    </row>
    <row r="11" spans="2:34" x14ac:dyDescent="0.3">
      <c r="B11" s="722"/>
      <c r="C11" s="722"/>
      <c r="D11" s="722"/>
      <c r="E11" s="722"/>
      <c r="F11" s="722"/>
      <c r="G11" s="722"/>
      <c r="H11" s="722"/>
      <c r="I11" s="722"/>
      <c r="J11" s="402"/>
      <c r="K11" s="722"/>
      <c r="L11" s="722"/>
      <c r="M11" s="722"/>
      <c r="N11" s="402"/>
      <c r="O11" s="402"/>
      <c r="P11" s="402"/>
      <c r="Q11" s="402"/>
      <c r="R11" s="402"/>
      <c r="S11" s="402"/>
      <c r="T11" s="402"/>
      <c r="U11" s="402"/>
      <c r="V11" s="402"/>
      <c r="W11" s="402"/>
      <c r="X11" s="402"/>
      <c r="Y11" s="402"/>
      <c r="Z11" s="402"/>
      <c r="AA11" s="402"/>
      <c r="AB11" s="402"/>
      <c r="AC11" s="402"/>
      <c r="AD11" s="402"/>
      <c r="AE11" s="402"/>
      <c r="AF11" s="402"/>
      <c r="AG11" s="402"/>
      <c r="AH11" s="402"/>
    </row>
    <row r="12" spans="2:34" x14ac:dyDescent="0.3">
      <c r="B12" s="475"/>
      <c r="C12" s="476" t="s">
        <v>871</v>
      </c>
      <c r="D12" s="477" t="s">
        <v>872</v>
      </c>
      <c r="E12" s="478" t="s">
        <v>873</v>
      </c>
      <c r="F12" s="479"/>
      <c r="G12" s="476" t="s">
        <v>871</v>
      </c>
      <c r="H12" s="477" t="s">
        <v>872</v>
      </c>
      <c r="I12" s="478" t="s">
        <v>874</v>
      </c>
      <c r="J12" s="480"/>
      <c r="K12" s="557" t="s">
        <v>871</v>
      </c>
      <c r="L12" s="558" t="s">
        <v>872</v>
      </c>
      <c r="M12" s="559" t="s">
        <v>875</v>
      </c>
      <c r="N12" s="402"/>
      <c r="O12" s="402"/>
      <c r="P12" s="402"/>
      <c r="Q12" s="402"/>
      <c r="R12" s="402"/>
      <c r="S12" s="402"/>
      <c r="T12" s="402"/>
      <c r="U12" s="402"/>
      <c r="V12" s="402"/>
      <c r="W12" s="402"/>
      <c r="X12" s="402"/>
      <c r="Y12" s="402"/>
      <c r="Z12" s="402"/>
      <c r="AA12" s="402"/>
      <c r="AB12" s="402"/>
      <c r="AC12" s="402"/>
      <c r="AD12" s="402"/>
      <c r="AE12" s="402"/>
      <c r="AF12" s="402"/>
      <c r="AG12" s="402"/>
      <c r="AH12" s="402"/>
    </row>
    <row r="13" spans="2:34" x14ac:dyDescent="0.3">
      <c r="B13" s="475" t="s">
        <v>759</v>
      </c>
      <c r="C13" s="476">
        <v>800000</v>
      </c>
      <c r="D13" s="477">
        <v>25</v>
      </c>
      <c r="E13" s="481">
        <f>C13*D13</f>
        <v>20000000</v>
      </c>
      <c r="F13" s="477"/>
      <c r="G13" s="476">
        <v>800000</v>
      </c>
      <c r="H13" s="477">
        <v>25</v>
      </c>
      <c r="I13" s="481">
        <f>G13*H13</f>
        <v>20000000</v>
      </c>
      <c r="J13" s="480"/>
      <c r="K13" s="557">
        <f>G13</f>
        <v>800000</v>
      </c>
      <c r="L13" s="558">
        <f>H13</f>
        <v>25</v>
      </c>
      <c r="M13" s="560">
        <f>K13*L13</f>
        <v>20000000</v>
      </c>
      <c r="N13" s="402"/>
      <c r="O13" s="402"/>
      <c r="S13" s="402"/>
      <c r="T13" s="402"/>
      <c r="U13" s="402"/>
      <c r="V13" s="402" t="s">
        <v>876</v>
      </c>
      <c r="W13" s="402">
        <v>25</v>
      </c>
      <c r="X13" s="402"/>
      <c r="Y13" s="402"/>
      <c r="Z13" s="402"/>
      <c r="AA13" s="402"/>
      <c r="AB13" s="402"/>
      <c r="AC13" s="402"/>
      <c r="AD13" s="402"/>
      <c r="AE13" s="402"/>
      <c r="AF13" s="402"/>
      <c r="AG13" s="402"/>
      <c r="AH13" s="402"/>
    </row>
    <row r="14" spans="2:34" x14ac:dyDescent="0.3">
      <c r="B14" s="482" t="s">
        <v>877</v>
      </c>
      <c r="C14" s="483">
        <f>C13-C15</f>
        <v>240000</v>
      </c>
      <c r="D14" s="484">
        <v>25</v>
      </c>
      <c r="E14" s="485">
        <f>C14*D14</f>
        <v>6000000</v>
      </c>
      <c r="F14" s="477"/>
      <c r="G14" s="476">
        <f>240000-30000-42000</f>
        <v>168000</v>
      </c>
      <c r="H14" s="477">
        <v>25</v>
      </c>
      <c r="I14" s="481">
        <f>G14*H14</f>
        <v>4200000</v>
      </c>
      <c r="J14" s="480"/>
      <c r="K14" s="557">
        <f>G14</f>
        <v>168000</v>
      </c>
      <c r="L14" s="558">
        <f>H14</f>
        <v>25</v>
      </c>
      <c r="M14" s="560">
        <f>K14*L14</f>
        <v>4200000</v>
      </c>
      <c r="N14" s="402"/>
      <c r="O14" s="402"/>
      <c r="S14" s="402"/>
      <c r="T14" s="402"/>
      <c r="U14" s="402"/>
      <c r="V14" s="402" t="s">
        <v>878</v>
      </c>
      <c r="W14" s="402">
        <v>60</v>
      </c>
      <c r="X14" s="402">
        <f>W14-W13</f>
        <v>35</v>
      </c>
      <c r="Y14" s="402" t="s">
        <v>879</v>
      </c>
      <c r="Z14" s="402"/>
      <c r="AA14" s="402"/>
      <c r="AB14" s="402"/>
      <c r="AC14" s="402"/>
      <c r="AD14" s="402"/>
      <c r="AE14" s="402"/>
      <c r="AF14" s="402"/>
      <c r="AG14" s="402"/>
      <c r="AH14" s="402"/>
    </row>
    <row r="15" spans="2:34" ht="15" thickBot="1" x14ac:dyDescent="0.35">
      <c r="B15" s="486" t="s">
        <v>880</v>
      </c>
      <c r="C15" s="487">
        <v>560000</v>
      </c>
      <c r="D15" s="488">
        <v>25</v>
      </c>
      <c r="E15" s="488">
        <f>C15*D15</f>
        <v>14000000</v>
      </c>
      <c r="F15" s="477"/>
      <c r="G15" s="489">
        <f>560000+30000+42000</f>
        <v>632000</v>
      </c>
      <c r="H15" s="490">
        <f>H14</f>
        <v>25</v>
      </c>
      <c r="I15" s="490">
        <f>G15*H15</f>
        <v>15800000</v>
      </c>
      <c r="J15" s="491"/>
      <c r="K15" s="561">
        <f>G15</f>
        <v>632000</v>
      </c>
      <c r="L15" s="562">
        <f>L14</f>
        <v>25</v>
      </c>
      <c r="M15" s="562">
        <f>K15*L15</f>
        <v>15800000</v>
      </c>
      <c r="N15" s="402"/>
      <c r="O15" s="402"/>
      <c r="S15" s="402"/>
      <c r="T15" s="402"/>
      <c r="U15" s="402"/>
      <c r="V15" s="402" t="s">
        <v>881</v>
      </c>
      <c r="W15" s="402">
        <v>90</v>
      </c>
      <c r="X15" s="402">
        <f>W15-W14</f>
        <v>30</v>
      </c>
      <c r="Y15" s="402" t="s">
        <v>882</v>
      </c>
      <c r="Z15" s="409" t="s">
        <v>883</v>
      </c>
      <c r="AA15" s="402" t="s">
        <v>884</v>
      </c>
      <c r="AB15" s="402"/>
      <c r="AC15" s="402"/>
      <c r="AD15" s="402"/>
      <c r="AE15" s="402"/>
      <c r="AF15" s="402"/>
      <c r="AG15" s="402"/>
      <c r="AH15" s="402"/>
    </row>
    <row r="16" spans="2:34" ht="15" thickTop="1" x14ac:dyDescent="0.3">
      <c r="B16" s="475" t="s">
        <v>764</v>
      </c>
      <c r="C16" s="492">
        <v>30000</v>
      </c>
      <c r="D16" s="493">
        <v>25</v>
      </c>
      <c r="E16" s="493">
        <f>C16*D16</f>
        <v>750000</v>
      </c>
      <c r="F16" s="477"/>
      <c r="G16" s="494">
        <f>30000-30000</f>
        <v>0</v>
      </c>
      <c r="H16" s="495">
        <f>H15</f>
        <v>25</v>
      </c>
      <c r="I16" s="495">
        <f>G16*H16</f>
        <v>0</v>
      </c>
      <c r="J16" s="480"/>
      <c r="K16" s="563"/>
      <c r="L16" s="563"/>
      <c r="M16" s="564">
        <f>I16</f>
        <v>0</v>
      </c>
      <c r="N16" s="402"/>
      <c r="O16" s="402"/>
      <c r="S16" s="402"/>
      <c r="T16" s="402"/>
      <c r="U16" s="402"/>
      <c r="V16" s="402" t="s">
        <v>885</v>
      </c>
      <c r="W16" s="402">
        <v>96</v>
      </c>
      <c r="X16" s="402">
        <f>W16-W15</f>
        <v>6</v>
      </c>
      <c r="Y16" s="402" t="s">
        <v>886</v>
      </c>
      <c r="Z16" s="402"/>
      <c r="AA16" s="402"/>
      <c r="AB16" s="402"/>
      <c r="AC16" s="402"/>
      <c r="AD16" s="402"/>
      <c r="AE16" s="402"/>
      <c r="AF16" s="402"/>
      <c r="AG16" s="402"/>
      <c r="AH16" s="402"/>
    </row>
    <row r="17" spans="2:34" x14ac:dyDescent="0.3">
      <c r="B17" s="413"/>
      <c r="C17" s="414"/>
      <c r="D17" s="415"/>
      <c r="E17" s="415"/>
      <c r="F17" s="406"/>
      <c r="G17" s="404"/>
      <c r="H17" s="404"/>
      <c r="I17" s="404"/>
      <c r="J17" s="407"/>
      <c r="K17" s="404"/>
      <c r="L17" s="404"/>
      <c r="M17" s="404"/>
      <c r="N17" s="402"/>
      <c r="O17" s="402"/>
      <c r="S17" s="402"/>
      <c r="T17" s="402"/>
      <c r="U17" s="402"/>
      <c r="V17" s="402"/>
      <c r="W17" s="402"/>
      <c r="X17" s="402"/>
      <c r="Y17" s="402"/>
      <c r="Z17" s="402"/>
      <c r="AA17" s="402"/>
      <c r="AB17" s="402"/>
      <c r="AC17" s="402"/>
      <c r="AD17" s="402"/>
      <c r="AE17" s="402"/>
      <c r="AF17" s="402"/>
      <c r="AG17" s="402"/>
      <c r="AH17" s="402"/>
    </row>
    <row r="18" spans="2:34" x14ac:dyDescent="0.3">
      <c r="B18" s="475" t="s">
        <v>784</v>
      </c>
      <c r="C18" s="476"/>
      <c r="D18" s="476"/>
      <c r="E18" s="481">
        <v>70000</v>
      </c>
      <c r="F18" s="477"/>
      <c r="G18" s="475"/>
      <c r="H18" s="475"/>
      <c r="I18" s="495">
        <f>E18+D73</f>
        <v>2884000</v>
      </c>
      <c r="J18" s="491"/>
      <c r="K18" s="563"/>
      <c r="L18" s="563"/>
      <c r="M18" s="564">
        <f>I18</f>
        <v>2884000</v>
      </c>
      <c r="N18" s="402"/>
      <c r="O18" s="402"/>
      <c r="S18" s="402"/>
      <c r="T18" s="402"/>
      <c r="U18" s="402"/>
      <c r="V18" s="402"/>
      <c r="W18" s="402"/>
      <c r="X18" s="402"/>
      <c r="Y18" s="402"/>
      <c r="Z18" s="402"/>
      <c r="AA18" s="402"/>
      <c r="AB18" s="402"/>
      <c r="AC18" s="402"/>
      <c r="AD18" s="402"/>
      <c r="AE18" s="402"/>
      <c r="AF18" s="402"/>
      <c r="AG18" s="402"/>
      <c r="AH18" s="402"/>
    </row>
    <row r="19" spans="2:34" x14ac:dyDescent="0.3">
      <c r="B19" s="475" t="s">
        <v>887</v>
      </c>
      <c r="C19" s="476"/>
      <c r="D19" s="477"/>
      <c r="E19" s="481">
        <v>234000</v>
      </c>
      <c r="F19" s="477"/>
      <c r="G19" s="475"/>
      <c r="H19" s="475"/>
      <c r="I19" s="495">
        <f>E19</f>
        <v>234000</v>
      </c>
      <c r="J19" s="491"/>
      <c r="K19" s="563"/>
      <c r="L19" s="563"/>
      <c r="M19" s="564">
        <f>I19+D86</f>
        <v>249000</v>
      </c>
      <c r="N19" s="402"/>
      <c r="O19" s="402"/>
      <c r="Q19" s="400">
        <v>95</v>
      </c>
      <c r="R19" s="400" t="s">
        <v>888</v>
      </c>
      <c r="S19" s="402"/>
      <c r="T19" s="402" t="s">
        <v>889</v>
      </c>
      <c r="U19" s="402"/>
      <c r="V19" s="402"/>
      <c r="W19" s="402"/>
      <c r="X19" s="402"/>
      <c r="Y19" s="402"/>
      <c r="Z19" s="402"/>
      <c r="AA19" s="402"/>
      <c r="AB19" s="402"/>
      <c r="AC19" s="402"/>
      <c r="AD19" s="402"/>
      <c r="AE19" s="402"/>
      <c r="AF19" s="402"/>
      <c r="AG19" s="402"/>
      <c r="AH19" s="402"/>
    </row>
    <row r="20" spans="2:34" x14ac:dyDescent="0.3">
      <c r="B20" s="475" t="s">
        <v>768</v>
      </c>
      <c r="C20" s="476"/>
      <c r="D20" s="477"/>
      <c r="E20" s="481">
        <v>2010000</v>
      </c>
      <c r="F20" s="477"/>
      <c r="G20" s="475"/>
      <c r="H20" s="475"/>
      <c r="I20" s="495">
        <f>E20</f>
        <v>2010000</v>
      </c>
      <c r="J20" s="491"/>
      <c r="K20" s="563"/>
      <c r="L20" s="563"/>
      <c r="M20" s="564">
        <f>E20</f>
        <v>2010000</v>
      </c>
      <c r="N20" s="402"/>
      <c r="O20" s="402"/>
      <c r="Q20" s="400">
        <v>92</v>
      </c>
      <c r="S20" s="402"/>
      <c r="T20" s="402"/>
      <c r="U20" s="402"/>
      <c r="V20" s="402"/>
      <c r="W20" s="402"/>
      <c r="X20" s="402"/>
      <c r="Y20" s="402"/>
      <c r="Z20" s="402"/>
      <c r="AA20" s="402"/>
      <c r="AB20" s="402"/>
      <c r="AC20" s="402"/>
      <c r="AD20" s="402"/>
      <c r="AE20" s="402"/>
      <c r="AF20" s="402"/>
      <c r="AG20" s="402"/>
      <c r="AH20" s="402"/>
    </row>
    <row r="21" spans="2:34" ht="15" thickBot="1" x14ac:dyDescent="0.35">
      <c r="B21" s="496" t="s">
        <v>890</v>
      </c>
      <c r="C21" s="489"/>
      <c r="D21" s="490"/>
      <c r="E21" s="490">
        <f>SUM(E18:E20)</f>
        <v>2314000</v>
      </c>
      <c r="F21" s="481"/>
      <c r="G21" s="496"/>
      <c r="H21" s="496"/>
      <c r="I21" s="497">
        <f>SUM(I18:I20)</f>
        <v>5128000</v>
      </c>
      <c r="J21" s="480"/>
      <c r="K21" s="565"/>
      <c r="L21" s="565"/>
      <c r="M21" s="566">
        <f>SUM(M18:M20)</f>
        <v>5143000</v>
      </c>
      <c r="N21" s="402"/>
      <c r="O21" s="402"/>
      <c r="Q21" s="417" t="s">
        <v>891</v>
      </c>
      <c r="R21" s="417">
        <v>1</v>
      </c>
      <c r="S21" s="418">
        <v>1</v>
      </c>
      <c r="T21" s="402"/>
      <c r="U21" s="402"/>
      <c r="V21" s="402"/>
      <c r="W21" s="402"/>
      <c r="X21" s="402"/>
      <c r="Y21" s="402"/>
      <c r="Z21" s="402"/>
      <c r="AA21" s="402"/>
      <c r="AB21" s="402"/>
      <c r="AC21" s="402"/>
      <c r="AD21" s="402"/>
      <c r="AE21" s="402"/>
      <c r="AF21" s="402"/>
      <c r="AG21" s="402"/>
      <c r="AH21" s="402"/>
    </row>
    <row r="22" spans="2:34" ht="15" thickTop="1" x14ac:dyDescent="0.3">
      <c r="B22" s="404"/>
      <c r="C22" s="405"/>
      <c r="D22" s="406"/>
      <c r="E22" s="408"/>
      <c r="F22" s="406"/>
      <c r="G22" s="404"/>
      <c r="H22" s="404"/>
      <c r="I22" s="404"/>
      <c r="J22" s="407"/>
      <c r="K22" s="404"/>
      <c r="L22" s="404"/>
      <c r="M22" s="404"/>
      <c r="N22" s="402"/>
      <c r="O22" s="402"/>
      <c r="Q22" s="417">
        <v>1</v>
      </c>
      <c r="R22" s="417">
        <v>1</v>
      </c>
      <c r="S22" s="402"/>
      <c r="T22" s="402"/>
      <c r="U22" s="402"/>
      <c r="V22" s="402"/>
      <c r="W22" s="402"/>
      <c r="X22" s="402"/>
      <c r="Y22" s="402"/>
      <c r="Z22" s="402"/>
      <c r="AA22" s="402"/>
      <c r="AB22" s="402"/>
      <c r="AC22" s="402"/>
      <c r="AD22" s="402"/>
      <c r="AE22" s="402"/>
      <c r="AF22" s="402"/>
      <c r="AG22" s="402"/>
      <c r="AH22" s="402"/>
    </row>
    <row r="23" spans="2:34" x14ac:dyDescent="0.3">
      <c r="B23" s="419" t="s">
        <v>49</v>
      </c>
      <c r="C23" s="404"/>
      <c r="D23" s="404"/>
      <c r="E23" s="420">
        <v>230000</v>
      </c>
      <c r="F23" s="421"/>
      <c r="G23" s="404"/>
      <c r="H23" s="404"/>
      <c r="I23" s="412">
        <f>E23</f>
        <v>230000</v>
      </c>
      <c r="J23" s="407"/>
      <c r="K23" s="563"/>
      <c r="L23" s="563"/>
      <c r="M23" s="564">
        <f>I23+D77</f>
        <v>4080000</v>
      </c>
      <c r="N23" s="402"/>
      <c r="O23" s="402"/>
      <c r="S23" s="402"/>
      <c r="T23" s="402"/>
      <c r="U23" s="402"/>
      <c r="V23" s="402"/>
      <c r="W23" s="402"/>
      <c r="X23" s="402"/>
      <c r="Y23" s="402"/>
      <c r="Z23" s="402"/>
      <c r="AA23" s="402"/>
      <c r="AB23" s="402"/>
      <c r="AC23" s="402"/>
      <c r="AD23" s="402"/>
      <c r="AE23" s="402"/>
      <c r="AF23" s="402"/>
      <c r="AG23" s="402"/>
      <c r="AH23" s="402"/>
    </row>
    <row r="24" spans="2:34" ht="14.25" customHeight="1" x14ac:dyDescent="0.3">
      <c r="B24" s="422" t="s">
        <v>892</v>
      </c>
      <c r="C24" s="423"/>
      <c r="D24" s="424"/>
      <c r="E24" s="424">
        <v>989000</v>
      </c>
      <c r="F24" s="406"/>
      <c r="G24" s="404"/>
      <c r="H24" s="425"/>
      <c r="I24" s="412">
        <f>E24</f>
        <v>989000</v>
      </c>
      <c r="J24" s="426"/>
      <c r="K24" s="563"/>
      <c r="L24" s="563"/>
      <c r="M24" s="564">
        <f>I24</f>
        <v>989000</v>
      </c>
      <c r="N24" s="402"/>
      <c r="O24" s="402"/>
      <c r="Q24" s="417" t="s">
        <v>893</v>
      </c>
      <c r="S24" s="402"/>
      <c r="T24" s="402"/>
      <c r="U24" s="402"/>
      <c r="V24" s="402"/>
      <c r="W24" s="402"/>
      <c r="X24" s="402"/>
      <c r="Y24" s="402"/>
      <c r="Z24" s="402"/>
      <c r="AA24" s="402"/>
      <c r="AB24" s="402"/>
      <c r="AC24" s="402"/>
      <c r="AD24" s="402"/>
      <c r="AE24" s="402"/>
      <c r="AF24" s="402"/>
      <c r="AG24" s="402"/>
      <c r="AH24" s="402"/>
    </row>
    <row r="25" spans="2:34" ht="14.25" customHeight="1" x14ac:dyDescent="0.3">
      <c r="B25" s="427" t="s">
        <v>894</v>
      </c>
      <c r="C25" s="428">
        <v>10000</v>
      </c>
      <c r="D25" s="429">
        <v>90</v>
      </c>
      <c r="E25" s="429">
        <f>-C25*D25</f>
        <v>-900000</v>
      </c>
      <c r="F25" s="430"/>
      <c r="G25" s="431">
        <f>C25</f>
        <v>10000</v>
      </c>
      <c r="H25" s="432">
        <f>D25</f>
        <v>90</v>
      </c>
      <c r="I25" s="433">
        <f>-(G25*H25)</f>
        <v>-900000</v>
      </c>
      <c r="J25" s="426"/>
      <c r="K25" s="567">
        <f>G25-3000</f>
        <v>7000</v>
      </c>
      <c r="L25" s="568">
        <f>H25</f>
        <v>90</v>
      </c>
      <c r="M25" s="569">
        <f>-(K25*L25)</f>
        <v>-630000</v>
      </c>
      <c r="N25" s="402"/>
      <c r="O25" s="402"/>
      <c r="Q25" s="417">
        <v>1</v>
      </c>
      <c r="S25" s="402"/>
      <c r="T25" s="402"/>
      <c r="U25" s="402"/>
      <c r="V25" s="402"/>
      <c r="W25" s="402"/>
      <c r="X25" s="402"/>
      <c r="Y25" s="402"/>
      <c r="Z25" s="402"/>
      <c r="AA25" s="402"/>
      <c r="AB25" s="402"/>
      <c r="AC25" s="402"/>
      <c r="AD25" s="402"/>
      <c r="AE25" s="402"/>
      <c r="AF25" s="402"/>
      <c r="AG25" s="402"/>
      <c r="AH25" s="402"/>
    </row>
    <row r="26" spans="2:34" x14ac:dyDescent="0.3">
      <c r="B26" s="419" t="s">
        <v>895</v>
      </c>
      <c r="C26" s="434"/>
      <c r="D26" s="430"/>
      <c r="E26" s="406"/>
      <c r="F26" s="406"/>
      <c r="G26" s="404"/>
      <c r="H26" s="404"/>
      <c r="I26" s="412">
        <f>E26</f>
        <v>0</v>
      </c>
      <c r="J26" s="426"/>
      <c r="K26" s="563"/>
      <c r="L26" s="563"/>
      <c r="M26" s="564">
        <v>0</v>
      </c>
      <c r="N26" s="402"/>
      <c r="O26" s="402"/>
      <c r="P26" s="435"/>
      <c r="Q26" s="436">
        <v>1</v>
      </c>
      <c r="R26" s="402"/>
      <c r="S26" s="402"/>
      <c r="T26" s="402"/>
      <c r="U26" s="402"/>
      <c r="V26" s="402"/>
      <c r="W26" s="402"/>
      <c r="X26" s="402"/>
      <c r="Y26" s="402"/>
      <c r="Z26" s="402"/>
      <c r="AA26" s="402"/>
      <c r="AB26" s="402"/>
      <c r="AC26" s="402"/>
      <c r="AD26" s="402"/>
      <c r="AE26" s="402"/>
      <c r="AF26" s="402"/>
      <c r="AG26" s="402"/>
      <c r="AH26" s="402"/>
    </row>
    <row r="27" spans="2:34" x14ac:dyDescent="0.3">
      <c r="B27" s="526" t="s">
        <v>896</v>
      </c>
      <c r="C27" s="527"/>
      <c r="D27" s="528"/>
      <c r="E27" s="529"/>
      <c r="F27" s="430"/>
      <c r="G27" s="437"/>
      <c r="H27" s="430">
        <v>120000</v>
      </c>
      <c r="I27" s="412"/>
      <c r="J27" s="426"/>
      <c r="K27" s="563"/>
      <c r="L27" s="570">
        <f>H27</f>
        <v>120000</v>
      </c>
      <c r="M27" s="564"/>
      <c r="N27" s="402"/>
      <c r="O27" s="402"/>
      <c r="P27" s="402"/>
      <c r="Q27" s="435"/>
      <c r="R27" s="402"/>
      <c r="S27" s="402"/>
      <c r="T27" s="402"/>
      <c r="U27" s="402"/>
      <c r="V27" s="402"/>
      <c r="W27" s="402"/>
      <c r="X27" s="402"/>
      <c r="Y27" s="402"/>
      <c r="Z27" s="402"/>
      <c r="AA27" s="402"/>
      <c r="AB27" s="402"/>
      <c r="AC27" s="402"/>
      <c r="AD27" s="402"/>
      <c r="AE27" s="402"/>
      <c r="AF27" s="402"/>
      <c r="AG27" s="402"/>
      <c r="AH27" s="402"/>
    </row>
    <row r="28" spans="2:34" x14ac:dyDescent="0.3">
      <c r="B28" s="526" t="s">
        <v>897</v>
      </c>
      <c r="C28" s="527"/>
      <c r="D28" s="528"/>
      <c r="E28" s="529"/>
      <c r="F28" s="430"/>
      <c r="G28" s="437"/>
      <c r="H28" s="430">
        <v>60000</v>
      </c>
      <c r="I28" s="412"/>
      <c r="J28" s="426"/>
      <c r="K28" s="563"/>
      <c r="L28" s="570">
        <f>H28</f>
        <v>60000</v>
      </c>
      <c r="M28" s="564"/>
      <c r="N28" s="402"/>
      <c r="O28" s="402"/>
      <c r="P28" s="402"/>
      <c r="Q28" s="435"/>
      <c r="R28" s="402"/>
      <c r="S28" s="402"/>
      <c r="T28" s="402"/>
      <c r="U28" s="402"/>
      <c r="V28" s="402"/>
      <c r="W28" s="402"/>
      <c r="X28" s="402"/>
      <c r="Y28" s="402"/>
      <c r="Z28" s="402"/>
      <c r="AA28" s="402"/>
      <c r="AB28" s="402"/>
      <c r="AC28" s="402"/>
      <c r="AD28" s="402"/>
      <c r="AE28" s="402"/>
      <c r="AF28" s="402"/>
      <c r="AG28" s="402"/>
      <c r="AH28" s="402"/>
    </row>
    <row r="29" spans="2:34" ht="23.25" customHeight="1" x14ac:dyDescent="0.3">
      <c r="B29" s="422" t="s">
        <v>898</v>
      </c>
      <c r="C29" s="524"/>
      <c r="D29" s="525"/>
      <c r="E29" s="424">
        <v>180000</v>
      </c>
      <c r="F29" s="406"/>
      <c r="G29" s="404"/>
      <c r="H29" s="404"/>
      <c r="I29" s="530">
        <f>H27+H28</f>
        <v>180000</v>
      </c>
      <c r="J29" s="426"/>
      <c r="K29" s="563"/>
      <c r="L29" s="563"/>
      <c r="M29" s="564">
        <f>L27+L28+D78</f>
        <v>9805000</v>
      </c>
      <c r="N29" s="438"/>
      <c r="O29" s="402"/>
      <c r="P29" s="402"/>
      <c r="Q29" s="402"/>
      <c r="R29" s="402"/>
      <c r="S29" s="402"/>
      <c r="T29" s="402"/>
      <c r="U29" s="402"/>
      <c r="V29" s="402"/>
      <c r="W29" s="402"/>
      <c r="X29" s="402"/>
      <c r="Y29" s="402"/>
      <c r="Z29" s="402"/>
      <c r="AA29" s="402"/>
      <c r="AB29" s="402"/>
      <c r="AC29" s="402"/>
      <c r="AD29" s="402"/>
      <c r="AE29" s="402"/>
      <c r="AF29" s="402"/>
      <c r="AG29" s="402"/>
      <c r="AH29" s="402"/>
    </row>
    <row r="30" spans="2:34" ht="15" thickBot="1" x14ac:dyDescent="0.35">
      <c r="B30" s="439" t="s">
        <v>899</v>
      </c>
      <c r="C30" s="440"/>
      <c r="D30" s="441"/>
      <c r="E30" s="411">
        <f>E23+E24+E25+E29</f>
        <v>499000</v>
      </c>
      <c r="F30" s="408"/>
      <c r="G30" s="416"/>
      <c r="H30" s="416"/>
      <c r="I30" s="442">
        <f>I23+I24+I25+I29</f>
        <v>499000</v>
      </c>
      <c r="J30" s="426"/>
      <c r="K30" s="565"/>
      <c r="L30" s="565"/>
      <c r="M30" s="566">
        <f>M23+M24+M25+M29</f>
        <v>14244000</v>
      </c>
      <c r="N30" s="402"/>
      <c r="O30" s="402"/>
      <c r="P30" s="402"/>
      <c r="Q30" s="402"/>
      <c r="R30" s="402"/>
      <c r="S30" s="402"/>
      <c r="T30" s="402"/>
      <c r="U30" s="402"/>
      <c r="V30" s="402"/>
      <c r="W30" s="402"/>
      <c r="X30" s="402"/>
      <c r="Y30" s="402"/>
      <c r="Z30" s="402"/>
      <c r="AA30" s="402"/>
      <c r="AB30" s="402"/>
      <c r="AC30" s="402"/>
      <c r="AD30" s="402"/>
      <c r="AE30" s="402"/>
      <c r="AF30" s="402"/>
      <c r="AG30" s="402"/>
      <c r="AH30" s="402"/>
    </row>
    <row r="31" spans="2:34" ht="15" thickTop="1" x14ac:dyDescent="0.3">
      <c r="B31" s="404"/>
      <c r="C31" s="405"/>
      <c r="D31" s="406"/>
      <c r="E31" s="420"/>
      <c r="F31" s="406"/>
      <c r="G31" s="404"/>
      <c r="H31" s="404"/>
      <c r="I31" s="404"/>
      <c r="J31" s="426"/>
      <c r="K31" s="404"/>
      <c r="L31" s="404"/>
      <c r="M31" s="404"/>
      <c r="N31" s="402"/>
      <c r="O31" s="402"/>
      <c r="P31" s="402"/>
      <c r="Q31" s="402"/>
      <c r="R31" s="402"/>
      <c r="S31" s="402"/>
      <c r="T31" s="402"/>
      <c r="U31" s="402"/>
      <c r="V31" s="402"/>
      <c r="W31" s="402"/>
      <c r="X31" s="402"/>
      <c r="Y31" s="402"/>
      <c r="Z31" s="402"/>
      <c r="AA31" s="402"/>
      <c r="AB31" s="402"/>
      <c r="AC31" s="402"/>
      <c r="AD31" s="402"/>
      <c r="AE31" s="402"/>
      <c r="AF31" s="402"/>
      <c r="AG31" s="402"/>
      <c r="AH31" s="402"/>
    </row>
    <row r="32" spans="2:34" x14ac:dyDescent="0.3">
      <c r="B32" s="419" t="s">
        <v>900</v>
      </c>
      <c r="C32" s="405"/>
      <c r="D32" s="406"/>
      <c r="E32" s="406">
        <v>0</v>
      </c>
      <c r="F32" s="406"/>
      <c r="G32" s="404"/>
      <c r="H32" s="404"/>
      <c r="I32" s="408">
        <v>38500000</v>
      </c>
      <c r="J32" s="426"/>
      <c r="K32" s="563"/>
      <c r="L32" s="563"/>
      <c r="M32" s="558">
        <f>I32-C76</f>
        <v>0</v>
      </c>
      <c r="N32" s="402"/>
      <c r="O32" s="402"/>
      <c r="P32" s="402"/>
      <c r="Q32" s="402"/>
      <c r="R32" s="402"/>
      <c r="S32" s="402"/>
      <c r="T32" s="402"/>
      <c r="U32" s="402"/>
      <c r="V32" s="402"/>
      <c r="W32" s="402"/>
      <c r="X32" s="402"/>
      <c r="Y32" s="402"/>
      <c r="Z32" s="402"/>
      <c r="AA32" s="402"/>
      <c r="AB32" s="402"/>
      <c r="AC32" s="402"/>
      <c r="AD32" s="402"/>
      <c r="AE32" s="402"/>
      <c r="AF32" s="402"/>
      <c r="AG32" s="402"/>
      <c r="AH32" s="402"/>
    </row>
    <row r="33" spans="1:34" ht="27.6" x14ac:dyDescent="0.3">
      <c r="B33" s="419" t="s">
        <v>901</v>
      </c>
      <c r="C33" s="405"/>
      <c r="D33" s="406"/>
      <c r="E33" s="406">
        <v>450000</v>
      </c>
      <c r="F33" s="406"/>
      <c r="G33" s="404"/>
      <c r="H33" s="404"/>
      <c r="I33" s="412">
        <f>E33</f>
        <v>450000</v>
      </c>
      <c r="J33" s="426"/>
      <c r="K33" s="563"/>
      <c r="L33" s="563"/>
      <c r="M33" s="564">
        <f>I33+D80</f>
        <v>4949000</v>
      </c>
      <c r="N33" s="402"/>
      <c r="O33" s="402"/>
      <c r="P33" s="402"/>
      <c r="Q33" s="402"/>
      <c r="R33" s="402"/>
      <c r="S33" s="402"/>
      <c r="T33" s="402"/>
      <c r="U33" s="402"/>
      <c r="V33" s="402"/>
      <c r="W33" s="402"/>
      <c r="X33" s="402"/>
      <c r="Y33" s="402"/>
      <c r="Z33" s="402"/>
      <c r="AA33" s="402"/>
      <c r="AB33" s="402"/>
      <c r="AC33" s="402"/>
      <c r="AD33" s="402"/>
      <c r="AE33" s="402"/>
      <c r="AF33" s="402"/>
      <c r="AG33" s="402"/>
      <c r="AH33" s="402"/>
    </row>
    <row r="34" spans="1:34" ht="15" thickBot="1" x14ac:dyDescent="0.35">
      <c r="B34" s="439" t="s">
        <v>902</v>
      </c>
      <c r="C34" s="410"/>
      <c r="D34" s="411"/>
      <c r="E34" s="411">
        <f>E32+E33</f>
        <v>450000</v>
      </c>
      <c r="F34" s="408"/>
      <c r="G34" s="416"/>
      <c r="H34" s="416"/>
      <c r="I34" s="442">
        <f>I32+I33</f>
        <v>38950000</v>
      </c>
      <c r="J34" s="426"/>
      <c r="K34" s="565"/>
      <c r="L34" s="565"/>
      <c r="M34" s="566">
        <f>M32+M33</f>
        <v>4949000</v>
      </c>
      <c r="N34" s="402"/>
      <c r="O34" s="402"/>
      <c r="P34" s="402"/>
      <c r="Q34" s="402"/>
      <c r="R34" s="402"/>
      <c r="S34" s="402"/>
      <c r="T34" s="402"/>
      <c r="U34" s="402"/>
      <c r="V34" s="402"/>
      <c r="W34" s="402"/>
      <c r="X34" s="402"/>
      <c r="Y34" s="402"/>
      <c r="Z34" s="402"/>
      <c r="AA34" s="402"/>
      <c r="AB34" s="402"/>
      <c r="AC34" s="402"/>
      <c r="AD34" s="402"/>
      <c r="AE34" s="402"/>
      <c r="AF34" s="402"/>
      <c r="AG34" s="402"/>
      <c r="AH34" s="402"/>
    </row>
    <row r="35" spans="1:34" ht="15" thickTop="1" x14ac:dyDescent="0.3">
      <c r="B35" s="443"/>
      <c r="C35" s="414"/>
      <c r="D35" s="415"/>
      <c r="E35" s="415"/>
      <c r="F35" s="408"/>
      <c r="G35" s="413"/>
      <c r="H35" s="413"/>
      <c r="I35" s="444"/>
      <c r="J35" s="426"/>
      <c r="K35" s="413"/>
      <c r="L35" s="413"/>
      <c r="M35" s="444"/>
      <c r="N35" s="402"/>
      <c r="O35" s="402"/>
      <c r="P35" s="402"/>
      <c r="Q35" s="402"/>
      <c r="R35" s="402"/>
      <c r="S35" s="402"/>
      <c r="T35" s="402"/>
      <c r="U35" s="402"/>
      <c r="V35" s="402"/>
      <c r="W35" s="402"/>
      <c r="X35" s="402"/>
      <c r="Y35" s="402"/>
      <c r="Z35" s="402"/>
      <c r="AA35" s="402"/>
      <c r="AB35" s="402"/>
      <c r="AC35" s="402"/>
      <c r="AD35" s="402"/>
      <c r="AE35" s="402"/>
      <c r="AF35" s="402"/>
      <c r="AG35" s="402"/>
      <c r="AH35" s="402"/>
    </row>
    <row r="36" spans="1:34" ht="15" thickBot="1" x14ac:dyDescent="0.35">
      <c r="B36" s="439" t="s">
        <v>903</v>
      </c>
      <c r="C36" s="410"/>
      <c r="D36" s="411"/>
      <c r="E36" s="411">
        <v>649000</v>
      </c>
      <c r="F36" s="408"/>
      <c r="G36" s="413"/>
      <c r="H36" s="413"/>
      <c r="I36" s="442">
        <f>E36+975000</f>
        <v>1624000</v>
      </c>
      <c r="J36" s="426"/>
      <c r="K36" s="571"/>
      <c r="L36" s="571"/>
      <c r="M36" s="566">
        <f>I36</f>
        <v>1624000</v>
      </c>
      <c r="N36" s="402"/>
      <c r="O36" s="402"/>
      <c r="P36" s="402"/>
      <c r="Q36" s="402"/>
      <c r="R36" s="402"/>
      <c r="S36" s="402"/>
      <c r="T36" s="402"/>
      <c r="U36" s="402"/>
      <c r="V36" s="402"/>
      <c r="W36" s="402"/>
      <c r="X36" s="402"/>
      <c r="Y36" s="402"/>
      <c r="Z36" s="402"/>
      <c r="AA36" s="402"/>
      <c r="AB36" s="402"/>
      <c r="AC36" s="402"/>
      <c r="AD36" s="402"/>
      <c r="AE36" s="402"/>
      <c r="AF36" s="402"/>
      <c r="AG36" s="402"/>
      <c r="AH36" s="402"/>
    </row>
    <row r="37" spans="1:34" ht="15" thickTop="1" x14ac:dyDescent="0.3">
      <c r="B37" s="404"/>
      <c r="C37" s="405"/>
      <c r="D37" s="406"/>
      <c r="E37" s="420"/>
      <c r="F37" s="406"/>
      <c r="G37" s="404"/>
      <c r="H37" s="404"/>
      <c r="I37" s="404"/>
      <c r="J37" s="426"/>
      <c r="K37" s="404"/>
      <c r="L37" s="404"/>
      <c r="M37" s="404"/>
      <c r="N37" s="402"/>
      <c r="O37" s="402"/>
      <c r="P37" s="402"/>
      <c r="Q37" s="402"/>
      <c r="R37" s="402"/>
      <c r="S37" s="402"/>
      <c r="T37" s="402"/>
      <c r="U37" s="402"/>
      <c r="V37" s="402"/>
      <c r="W37" s="402"/>
      <c r="X37" s="402"/>
      <c r="Y37" s="402"/>
      <c r="Z37" s="402"/>
      <c r="AA37" s="402"/>
      <c r="AB37" s="402"/>
      <c r="AC37" s="402"/>
      <c r="AD37" s="402"/>
      <c r="AE37" s="402"/>
      <c r="AF37" s="402"/>
      <c r="AG37" s="402"/>
      <c r="AH37" s="402"/>
    </row>
    <row r="38" spans="1:34" ht="15" thickBot="1" x14ac:dyDescent="0.35">
      <c r="B38" s="499" t="s">
        <v>904</v>
      </c>
      <c r="C38" s="500"/>
      <c r="D38" s="501"/>
      <c r="E38" s="501">
        <f>E15+E16+E21+E30+E34+E36</f>
        <v>18662000</v>
      </c>
      <c r="F38" s="432"/>
      <c r="G38" s="445"/>
      <c r="H38" s="445"/>
      <c r="I38" s="446">
        <f>I15+I21+I30+I34+I36</f>
        <v>62001000</v>
      </c>
      <c r="J38" s="426"/>
      <c r="K38" s="572"/>
      <c r="L38" s="572"/>
      <c r="M38" s="573">
        <f>M15+M21+M30+M34+M36</f>
        <v>41760000</v>
      </c>
      <c r="N38" s="438"/>
      <c r="O38" s="402"/>
      <c r="P38" s="402"/>
      <c r="Q38" s="402"/>
      <c r="R38" s="402"/>
      <c r="S38" s="402"/>
      <c r="T38" s="402"/>
      <c r="U38" s="402"/>
      <c r="V38" s="402"/>
      <c r="W38" s="402"/>
      <c r="X38" s="402"/>
      <c r="Y38" s="402"/>
      <c r="Z38" s="402"/>
      <c r="AA38" s="402"/>
      <c r="AB38" s="402"/>
      <c r="AC38" s="402"/>
      <c r="AD38" s="402"/>
      <c r="AE38" s="402"/>
      <c r="AF38" s="402"/>
      <c r="AG38" s="402"/>
      <c r="AH38" s="402"/>
    </row>
    <row r="39" spans="1:34" ht="15" thickTop="1" x14ac:dyDescent="0.3">
      <c r="B39" s="402"/>
      <c r="C39" s="447"/>
      <c r="D39" s="435"/>
      <c r="E39" s="435"/>
      <c r="F39" s="435"/>
      <c r="G39" s="402"/>
      <c r="H39" s="402"/>
      <c r="I39" s="402"/>
      <c r="J39" s="402"/>
      <c r="K39" s="402"/>
      <c r="L39" s="402"/>
      <c r="M39" s="402"/>
      <c r="N39" s="402"/>
      <c r="O39" s="402"/>
      <c r="P39" s="402"/>
      <c r="Q39" s="402"/>
      <c r="R39" s="402"/>
      <c r="S39" s="402"/>
      <c r="T39" s="402"/>
      <c r="U39" s="402"/>
      <c r="V39" s="402"/>
      <c r="W39" s="402"/>
      <c r="X39" s="402"/>
      <c r="Y39" s="402"/>
      <c r="Z39" s="402"/>
      <c r="AA39" s="402"/>
      <c r="AB39" s="402"/>
      <c r="AC39" s="402"/>
      <c r="AD39" s="402"/>
      <c r="AE39" s="402"/>
      <c r="AF39" s="402"/>
      <c r="AG39" s="402"/>
      <c r="AH39" s="402"/>
    </row>
    <row r="40" spans="1:34" x14ac:dyDescent="0.3">
      <c r="A40" s="502" t="s">
        <v>142</v>
      </c>
      <c r="B40" s="503" t="s">
        <v>905</v>
      </c>
      <c r="C40" s="504">
        <f>C15</f>
        <v>560000</v>
      </c>
      <c r="D40" s="505" t="s">
        <v>761</v>
      </c>
      <c r="E40" s="435"/>
      <c r="F40" s="435"/>
      <c r="G40" s="402"/>
      <c r="H40" s="448">
        <f>G15</f>
        <v>632000</v>
      </c>
      <c r="I40" s="449" t="s">
        <v>761</v>
      </c>
      <c r="J40" s="402"/>
      <c r="K40" s="402"/>
      <c r="L40" s="448">
        <f>K15</f>
        <v>632000</v>
      </c>
      <c r="M40" s="449" t="s">
        <v>761</v>
      </c>
      <c r="N40" s="402"/>
      <c r="O40" s="402"/>
      <c r="P40" s="402"/>
      <c r="Q40" s="402"/>
      <c r="R40" s="402"/>
      <c r="S40" s="402"/>
      <c r="T40" s="402"/>
      <c r="U40" s="402"/>
      <c r="V40" s="402"/>
      <c r="W40" s="402"/>
      <c r="X40" s="402"/>
      <c r="Y40" s="402"/>
      <c r="Z40" s="402"/>
      <c r="AA40" s="402"/>
      <c r="AB40" s="402"/>
      <c r="AC40" s="402"/>
      <c r="AD40" s="402"/>
      <c r="AE40" s="402"/>
      <c r="AF40" s="402"/>
      <c r="AG40" s="402"/>
      <c r="AH40" s="402"/>
    </row>
    <row r="41" spans="1:34" x14ac:dyDescent="0.3">
      <c r="A41" s="502" t="s">
        <v>169</v>
      </c>
      <c r="B41" s="503" t="s">
        <v>906</v>
      </c>
      <c r="C41" s="504">
        <f>C13</f>
        <v>800000</v>
      </c>
      <c r="D41" s="505" t="s">
        <v>761</v>
      </c>
      <c r="E41" s="435"/>
      <c r="F41" s="435"/>
      <c r="G41" s="402"/>
      <c r="H41" s="448">
        <f>G13</f>
        <v>800000</v>
      </c>
      <c r="I41" s="449" t="s">
        <v>761</v>
      </c>
      <c r="J41" s="402"/>
      <c r="K41" s="402"/>
      <c r="L41" s="448">
        <f>K13</f>
        <v>800000</v>
      </c>
      <c r="M41" s="449" t="s">
        <v>761</v>
      </c>
      <c r="N41" s="402"/>
      <c r="O41" s="402"/>
      <c r="P41" s="402"/>
      <c r="Q41" s="402"/>
      <c r="R41" s="402"/>
      <c r="S41" s="402"/>
      <c r="T41" s="402"/>
      <c r="U41" s="402"/>
      <c r="V41" s="402"/>
      <c r="W41" s="402"/>
      <c r="X41" s="402"/>
      <c r="Y41" s="402"/>
      <c r="Z41" s="402"/>
      <c r="AA41" s="402"/>
      <c r="AB41" s="402"/>
      <c r="AC41" s="402"/>
      <c r="AD41" s="402"/>
      <c r="AE41" s="402"/>
      <c r="AF41" s="402"/>
      <c r="AG41" s="402"/>
      <c r="AH41" s="402"/>
    </row>
    <row r="42" spans="1:34" x14ac:dyDescent="0.3">
      <c r="A42" s="502" t="s">
        <v>113</v>
      </c>
      <c r="B42" s="503" t="s">
        <v>907</v>
      </c>
      <c r="C42" s="504">
        <f>C25</f>
        <v>10000</v>
      </c>
      <c r="D42" s="505" t="s">
        <v>761</v>
      </c>
      <c r="E42" s="450"/>
      <c r="F42" s="435"/>
      <c r="G42" s="402"/>
      <c r="H42" s="448">
        <f>G25</f>
        <v>10000</v>
      </c>
      <c r="I42" s="449" t="s">
        <v>761</v>
      </c>
      <c r="J42" s="402"/>
      <c r="K42" s="402"/>
      <c r="L42" s="448">
        <f>K25</f>
        <v>7000</v>
      </c>
      <c r="M42" s="449" t="s">
        <v>761</v>
      </c>
      <c r="N42" s="402"/>
      <c r="O42" s="402"/>
      <c r="P42" s="402"/>
      <c r="Q42" s="402"/>
      <c r="R42" s="402"/>
      <c r="S42" s="402"/>
      <c r="T42" s="402"/>
      <c r="U42" s="402"/>
      <c r="V42" s="402"/>
      <c r="W42" s="402"/>
      <c r="X42" s="402"/>
      <c r="Y42" s="402"/>
      <c r="Z42" s="402"/>
      <c r="AA42" s="402"/>
      <c r="AB42" s="402"/>
      <c r="AC42" s="402"/>
      <c r="AD42" s="402"/>
      <c r="AE42" s="402"/>
      <c r="AF42" s="402"/>
      <c r="AG42" s="402"/>
      <c r="AH42" s="402"/>
    </row>
    <row r="43" spans="1:34" x14ac:dyDescent="0.3">
      <c r="A43" s="502" t="s">
        <v>115</v>
      </c>
      <c r="B43" s="503" t="s">
        <v>908</v>
      </c>
      <c r="C43" s="504">
        <f>C40-C42</f>
        <v>550000</v>
      </c>
      <c r="D43" s="505" t="s">
        <v>761</v>
      </c>
      <c r="E43" s="450"/>
      <c r="F43" s="435"/>
      <c r="G43" s="402"/>
      <c r="H43" s="448">
        <f>H40-H42</f>
        <v>622000</v>
      </c>
      <c r="I43" s="449" t="s">
        <v>761</v>
      </c>
      <c r="J43" s="402"/>
      <c r="K43" s="402"/>
      <c r="L43" s="448">
        <f>K15-K25</f>
        <v>625000</v>
      </c>
      <c r="M43" s="449" t="s">
        <v>761</v>
      </c>
      <c r="N43" s="402"/>
      <c r="O43" s="402"/>
      <c r="P43" s="402"/>
      <c r="Q43" s="402"/>
      <c r="R43" s="402"/>
      <c r="S43" s="402"/>
      <c r="T43" s="402"/>
      <c r="U43" s="402"/>
      <c r="V43" s="402"/>
      <c r="W43" s="402"/>
      <c r="X43" s="402"/>
      <c r="Y43" s="402"/>
      <c r="Z43" s="402"/>
      <c r="AA43" s="402"/>
      <c r="AB43" s="402"/>
      <c r="AC43" s="402"/>
      <c r="AD43" s="402"/>
      <c r="AE43" s="402"/>
      <c r="AF43" s="402"/>
      <c r="AG43" s="402"/>
      <c r="AH43" s="402"/>
    </row>
    <row r="44" spans="1:34" x14ac:dyDescent="0.3">
      <c r="A44" s="502" t="s">
        <v>117</v>
      </c>
      <c r="B44" s="503" t="s">
        <v>909</v>
      </c>
      <c r="C44" s="506">
        <f>E23</f>
        <v>230000</v>
      </c>
      <c r="D44" s="505" t="s">
        <v>910</v>
      </c>
      <c r="E44" s="450"/>
      <c r="F44" s="435"/>
      <c r="G44" s="402"/>
      <c r="H44" s="451">
        <f>I23</f>
        <v>230000</v>
      </c>
      <c r="I44" s="449" t="s">
        <v>910</v>
      </c>
      <c r="J44" s="402"/>
      <c r="K44" s="402"/>
      <c r="L44" s="451">
        <f>M23</f>
        <v>4080000</v>
      </c>
      <c r="M44" s="449" t="s">
        <v>910</v>
      </c>
      <c r="N44" s="402"/>
      <c r="O44" s="402"/>
      <c r="P44" s="402"/>
      <c r="Q44" s="402"/>
      <c r="R44" s="402"/>
      <c r="S44" s="402"/>
      <c r="T44" s="402"/>
      <c r="U44" s="402"/>
      <c r="V44" s="402"/>
      <c r="W44" s="402"/>
      <c r="X44" s="402"/>
      <c r="Y44" s="402"/>
      <c r="Z44" s="402"/>
      <c r="AA44" s="402"/>
      <c r="AB44" s="402"/>
      <c r="AC44" s="402"/>
      <c r="AD44" s="402"/>
      <c r="AE44" s="402"/>
      <c r="AF44" s="402"/>
      <c r="AG44" s="402"/>
      <c r="AH44" s="402"/>
    </row>
    <row r="45" spans="1:34" x14ac:dyDescent="0.3">
      <c r="A45" s="502" t="s">
        <v>119</v>
      </c>
      <c r="B45" s="503" t="s">
        <v>911</v>
      </c>
      <c r="C45" s="506">
        <f>E18</f>
        <v>70000</v>
      </c>
      <c r="D45" s="505" t="s">
        <v>910</v>
      </c>
      <c r="E45" s="450"/>
      <c r="F45" s="435"/>
      <c r="G45" s="402"/>
      <c r="H45" s="451">
        <f>I18</f>
        <v>2884000</v>
      </c>
      <c r="I45" s="449" t="s">
        <v>910</v>
      </c>
      <c r="J45" s="402"/>
      <c r="K45" s="402"/>
      <c r="L45" s="451">
        <f>M18</f>
        <v>2884000</v>
      </c>
      <c r="M45" s="449" t="s">
        <v>910</v>
      </c>
      <c r="N45" s="402"/>
      <c r="O45" s="402"/>
      <c r="P45" s="402"/>
      <c r="Q45" s="402"/>
      <c r="R45" s="402"/>
      <c r="S45" s="402"/>
      <c r="T45" s="402"/>
      <c r="U45" s="402"/>
      <c r="V45" s="402"/>
      <c r="W45" s="402"/>
      <c r="X45" s="402"/>
      <c r="Y45" s="402"/>
      <c r="Z45" s="402"/>
      <c r="AA45" s="402"/>
      <c r="AB45" s="402"/>
      <c r="AC45" s="402"/>
      <c r="AD45" s="402"/>
      <c r="AE45" s="402"/>
      <c r="AF45" s="402"/>
      <c r="AG45" s="402"/>
      <c r="AH45" s="402"/>
    </row>
    <row r="46" spans="1:34" x14ac:dyDescent="0.3">
      <c r="A46" s="502" t="s">
        <v>121</v>
      </c>
      <c r="B46" s="507" t="s">
        <v>912</v>
      </c>
      <c r="C46" s="855" t="s">
        <v>884</v>
      </c>
      <c r="D46" s="856"/>
      <c r="E46" s="450"/>
      <c r="F46" s="435"/>
      <c r="G46" s="402"/>
      <c r="H46" s="857" t="s">
        <v>884</v>
      </c>
      <c r="I46" s="858"/>
      <c r="J46" s="402"/>
      <c r="K46" s="402"/>
      <c r="L46" s="857" t="s">
        <v>884</v>
      </c>
      <c r="M46" s="858"/>
      <c r="N46" s="402"/>
      <c r="O46" s="402"/>
      <c r="P46" s="402"/>
      <c r="Q46" s="402"/>
      <c r="R46" s="402"/>
      <c r="S46" s="402"/>
      <c r="T46" s="402"/>
      <c r="U46" s="402"/>
      <c r="V46" s="402"/>
      <c r="W46" s="402"/>
      <c r="X46" s="402"/>
      <c r="Y46" s="402"/>
      <c r="Z46" s="402"/>
      <c r="AA46" s="402"/>
      <c r="AB46" s="402"/>
      <c r="AC46" s="402"/>
      <c r="AD46" s="402"/>
      <c r="AE46" s="402"/>
      <c r="AF46" s="402"/>
      <c r="AG46" s="402"/>
      <c r="AH46" s="402"/>
    </row>
    <row r="47" spans="1:34" x14ac:dyDescent="0.3">
      <c r="A47" s="502" t="s">
        <v>123</v>
      </c>
      <c r="B47" s="503" t="s">
        <v>913</v>
      </c>
      <c r="C47" s="506">
        <f>E19</f>
        <v>234000</v>
      </c>
      <c r="D47" s="505" t="s">
        <v>910</v>
      </c>
      <c r="E47" s="450"/>
      <c r="F47" s="435"/>
      <c r="G47" s="402"/>
      <c r="H47" s="451">
        <f>I19</f>
        <v>234000</v>
      </c>
      <c r="I47" s="449" t="s">
        <v>910</v>
      </c>
      <c r="J47" s="402"/>
      <c r="K47" s="402"/>
      <c r="L47" s="451">
        <f>M19</f>
        <v>249000</v>
      </c>
      <c r="M47" s="449" t="s">
        <v>910</v>
      </c>
      <c r="N47" s="402"/>
      <c r="O47" s="402"/>
      <c r="P47" s="402"/>
      <c r="Q47" s="402"/>
      <c r="R47" s="402"/>
      <c r="S47" s="402"/>
      <c r="T47" s="402"/>
      <c r="U47" s="402"/>
      <c r="V47" s="402"/>
      <c r="W47" s="402"/>
      <c r="X47" s="402"/>
      <c r="Y47" s="402"/>
      <c r="Z47" s="402"/>
      <c r="AA47" s="402"/>
      <c r="AB47" s="402"/>
      <c r="AC47" s="402"/>
      <c r="AD47" s="402"/>
      <c r="AE47" s="402"/>
      <c r="AF47" s="402"/>
      <c r="AG47" s="402"/>
      <c r="AH47" s="402"/>
    </row>
    <row r="48" spans="1:34" s="398" customFormat="1" x14ac:dyDescent="0.3">
      <c r="A48" s="508" t="s">
        <v>914</v>
      </c>
      <c r="B48" s="509" t="s">
        <v>915</v>
      </c>
      <c r="C48" s="504">
        <f>E38</f>
        <v>18662000</v>
      </c>
      <c r="D48" s="505" t="s">
        <v>910</v>
      </c>
      <c r="E48" s="402"/>
      <c r="F48" s="402"/>
      <c r="G48" s="402"/>
      <c r="H48" s="448">
        <f>I38</f>
        <v>62001000</v>
      </c>
      <c r="I48" s="449" t="s">
        <v>910</v>
      </c>
      <c r="J48" s="402"/>
      <c r="K48" s="435"/>
      <c r="L48" s="448">
        <f>M38</f>
        <v>41760000</v>
      </c>
      <c r="M48" s="449" t="s">
        <v>910</v>
      </c>
      <c r="N48" s="435"/>
      <c r="O48" s="435"/>
      <c r="P48" s="435"/>
      <c r="Q48" s="435"/>
      <c r="R48" s="435"/>
      <c r="S48" s="435"/>
      <c r="T48" s="435"/>
      <c r="U48" s="435"/>
      <c r="V48" s="435"/>
      <c r="W48" s="435"/>
      <c r="X48" s="435"/>
      <c r="Y48" s="435"/>
      <c r="Z48" s="435"/>
      <c r="AA48" s="435"/>
      <c r="AB48" s="435"/>
      <c r="AC48" s="435"/>
      <c r="AD48" s="435"/>
      <c r="AE48" s="435"/>
      <c r="AF48" s="435"/>
      <c r="AG48" s="435"/>
      <c r="AH48" s="435"/>
    </row>
    <row r="49" spans="1:34" s="398" customFormat="1" x14ac:dyDescent="0.3">
      <c r="A49" s="508" t="s">
        <v>916</v>
      </c>
      <c r="B49" s="509" t="s">
        <v>917</v>
      </c>
      <c r="C49" s="510">
        <f>E38/C43</f>
        <v>33.93090909090909</v>
      </c>
      <c r="D49" s="505" t="s">
        <v>910</v>
      </c>
      <c r="E49" s="402"/>
      <c r="F49" s="402"/>
      <c r="G49" s="402"/>
      <c r="H49" s="452">
        <f>I38/H43</f>
        <v>99.680064308681679</v>
      </c>
      <c r="I49" s="449" t="s">
        <v>910</v>
      </c>
      <c r="J49" s="402"/>
      <c r="K49" s="435"/>
      <c r="L49" s="452">
        <f>M38/L43</f>
        <v>66.816000000000003</v>
      </c>
      <c r="M49" s="449" t="s">
        <v>910</v>
      </c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5"/>
      <c r="AE49" s="435"/>
      <c r="AF49" s="435"/>
      <c r="AG49" s="435"/>
      <c r="AH49" s="435"/>
    </row>
    <row r="50" spans="1:34" ht="15" thickBot="1" x14ac:dyDescent="0.35">
      <c r="A50" s="508" t="s">
        <v>918</v>
      </c>
      <c r="B50" s="503" t="s">
        <v>919</v>
      </c>
      <c r="C50" s="504">
        <f>E32/C43</f>
        <v>0</v>
      </c>
      <c r="D50" s="505" t="s">
        <v>910</v>
      </c>
      <c r="E50" s="450"/>
      <c r="F50" s="435"/>
      <c r="G50" s="402"/>
      <c r="H50" s="448">
        <f>I32/H43</f>
        <v>61.89710610932476</v>
      </c>
      <c r="I50" s="449" t="s">
        <v>910</v>
      </c>
      <c r="J50" s="402"/>
      <c r="K50" s="402"/>
      <c r="L50" s="436">
        <f>M32/L43</f>
        <v>0</v>
      </c>
      <c r="M50" s="436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402"/>
      <c r="AB50" s="402"/>
      <c r="AC50" s="402"/>
      <c r="AD50" s="402"/>
      <c r="AE50" s="402"/>
      <c r="AF50" s="402"/>
      <c r="AG50" s="402"/>
      <c r="AH50" s="402"/>
    </row>
    <row r="51" spans="1:34" ht="15" thickBot="1" x14ac:dyDescent="0.35">
      <c r="B51" s="454" t="s">
        <v>920</v>
      </c>
      <c r="C51" s="455"/>
      <c r="D51" s="456"/>
      <c r="E51" s="457">
        <f>E20+E16</f>
        <v>2760000</v>
      </c>
      <c r="F51" s="435"/>
      <c r="G51" s="402">
        <f>E51/F53</f>
        <v>110400</v>
      </c>
      <c r="H51" s="435">
        <v>38500000</v>
      </c>
      <c r="I51" s="402" t="s">
        <v>921</v>
      </c>
      <c r="J51" s="402"/>
      <c r="K51" s="402"/>
      <c r="L51" s="402"/>
      <c r="M51" s="402"/>
      <c r="N51" s="402"/>
      <c r="O51" s="402"/>
      <c r="P51" s="402"/>
      <c r="Q51" s="402"/>
      <c r="R51" s="402"/>
      <c r="S51" s="402"/>
      <c r="T51" s="402"/>
      <c r="U51" s="402"/>
      <c r="V51" s="402"/>
      <c r="W51" s="402"/>
      <c r="X51" s="402"/>
      <c r="Y51" s="402"/>
      <c r="Z51" s="402"/>
      <c r="AA51" s="402"/>
      <c r="AB51" s="402"/>
      <c r="AC51" s="402"/>
      <c r="AD51" s="402"/>
      <c r="AE51" s="402"/>
      <c r="AF51" s="402"/>
      <c r="AG51" s="402"/>
      <c r="AH51" s="402"/>
    </row>
    <row r="52" spans="1:34" x14ac:dyDescent="0.3">
      <c r="B52" s="402" t="s">
        <v>922</v>
      </c>
      <c r="C52" s="447"/>
      <c r="D52" s="435"/>
      <c r="E52" s="450">
        <v>92</v>
      </c>
      <c r="F52" s="435"/>
      <c r="G52" s="402"/>
      <c r="H52" s="402"/>
      <c r="I52" s="402" t="s">
        <v>923</v>
      </c>
      <c r="J52" s="402"/>
      <c r="K52" s="402"/>
      <c r="L52" s="402"/>
      <c r="M52" s="402"/>
      <c r="N52" s="402"/>
      <c r="O52" s="402"/>
      <c r="P52" s="402"/>
      <c r="Q52" s="402"/>
      <c r="R52" s="402"/>
      <c r="S52" s="402"/>
      <c r="T52" s="402"/>
      <c r="U52" s="402"/>
      <c r="V52" s="402"/>
      <c r="W52" s="402"/>
      <c r="X52" s="402"/>
      <c r="Y52" s="402"/>
      <c r="Z52" s="402"/>
      <c r="AA52" s="402"/>
      <c r="AB52" s="402"/>
      <c r="AC52" s="402"/>
      <c r="AD52" s="402"/>
      <c r="AE52" s="402"/>
      <c r="AF52" s="402"/>
      <c r="AG52" s="402"/>
      <c r="AH52" s="402"/>
    </row>
    <row r="53" spans="1:34" x14ac:dyDescent="0.3">
      <c r="B53" s="402" t="s">
        <v>924</v>
      </c>
      <c r="C53" s="447"/>
      <c r="D53" s="458" t="s">
        <v>761</v>
      </c>
      <c r="E53" s="498">
        <f>E51/E52</f>
        <v>30000</v>
      </c>
      <c r="F53" s="435">
        <v>25</v>
      </c>
      <c r="G53" s="435">
        <f>E53*25</f>
        <v>750000</v>
      </c>
      <c r="H53" s="438">
        <f>H51*I53</f>
        <v>3850000</v>
      </c>
      <c r="I53" s="418">
        <v>0.1</v>
      </c>
      <c r="J53" s="402" t="s">
        <v>49</v>
      </c>
      <c r="K53" s="402"/>
      <c r="L53" s="402"/>
      <c r="M53" s="402"/>
      <c r="N53" s="402"/>
      <c r="O53" s="402"/>
      <c r="P53" s="402"/>
      <c r="Q53" s="402"/>
      <c r="R53" s="402"/>
      <c r="S53" s="402"/>
      <c r="T53" s="402"/>
      <c r="U53" s="402"/>
      <c r="V53" s="402"/>
      <c r="W53" s="402"/>
      <c r="X53" s="402"/>
      <c r="Y53" s="402"/>
      <c r="Z53" s="402"/>
      <c r="AA53" s="402"/>
      <c r="AB53" s="402"/>
      <c r="AC53" s="402"/>
      <c r="AD53" s="402"/>
      <c r="AE53" s="402"/>
      <c r="AF53" s="402"/>
      <c r="AG53" s="402"/>
      <c r="AH53" s="402"/>
    </row>
    <row r="54" spans="1:34" x14ac:dyDescent="0.3">
      <c r="B54" s="402"/>
      <c r="C54" s="447"/>
      <c r="D54" s="435"/>
      <c r="E54" s="450"/>
      <c r="F54" s="435">
        <f>92-25</f>
        <v>67</v>
      </c>
      <c r="G54" s="435">
        <f>E53*(92-25)</f>
        <v>2010000</v>
      </c>
      <c r="H54" s="438">
        <f>H51*I54</f>
        <v>9625000</v>
      </c>
      <c r="I54" s="418">
        <v>0.25</v>
      </c>
      <c r="J54" s="402" t="s">
        <v>925</v>
      </c>
      <c r="K54" s="402"/>
      <c r="L54" s="402"/>
      <c r="M54" s="402"/>
      <c r="N54" s="402"/>
      <c r="O54" s="402"/>
      <c r="P54" s="402"/>
      <c r="Q54" s="402"/>
      <c r="R54" s="402"/>
      <c r="S54" s="402"/>
      <c r="T54" s="402"/>
      <c r="U54" s="402"/>
      <c r="V54" s="402"/>
      <c r="W54" s="402"/>
      <c r="X54" s="402"/>
      <c r="Y54" s="402"/>
      <c r="Z54" s="402"/>
      <c r="AA54" s="402"/>
      <c r="AB54" s="402"/>
      <c r="AC54" s="402"/>
      <c r="AD54" s="402"/>
      <c r="AE54" s="402"/>
      <c r="AF54" s="402"/>
      <c r="AG54" s="402"/>
      <c r="AH54" s="402"/>
    </row>
    <row r="55" spans="1:34" ht="43.5" customHeight="1" x14ac:dyDescent="0.3">
      <c r="B55" s="436" t="s">
        <v>926</v>
      </c>
      <c r="C55" s="449">
        <f>E51</f>
        <v>2760000</v>
      </c>
      <c r="D55" s="449"/>
      <c r="E55" s="838" t="s">
        <v>927</v>
      </c>
      <c r="F55" s="435"/>
      <c r="G55" s="402"/>
      <c r="H55" s="435">
        <f>I55*3*11</f>
        <v>20526000</v>
      </c>
      <c r="I55" s="447">
        <v>622000</v>
      </c>
      <c r="J55" s="459" t="s">
        <v>789</v>
      </c>
      <c r="K55" s="402" t="s">
        <v>928</v>
      </c>
      <c r="L55" s="402"/>
      <c r="M55" s="402"/>
      <c r="N55" s="402"/>
      <c r="O55" s="402"/>
      <c r="P55" s="402"/>
      <c r="Q55" s="402"/>
      <c r="R55" s="402"/>
      <c r="S55" s="402"/>
      <c r="T55" s="402"/>
      <c r="U55" s="402"/>
      <c r="V55" s="402"/>
      <c r="W55" s="402"/>
      <c r="X55" s="402"/>
      <c r="Y55" s="402"/>
      <c r="Z55" s="402"/>
      <c r="AA55" s="402"/>
      <c r="AB55" s="402"/>
      <c r="AC55" s="402"/>
      <c r="AD55" s="402"/>
      <c r="AE55" s="402"/>
      <c r="AF55" s="402"/>
      <c r="AG55" s="402"/>
      <c r="AH55" s="402"/>
    </row>
    <row r="56" spans="1:34" ht="33" customHeight="1" x14ac:dyDescent="0.3">
      <c r="B56" s="460" t="s">
        <v>810</v>
      </c>
      <c r="C56" s="448"/>
      <c r="D56" s="449">
        <f>E53*D15</f>
        <v>750000</v>
      </c>
      <c r="E56" s="838"/>
      <c r="F56" s="435"/>
      <c r="G56" s="402" t="s">
        <v>929</v>
      </c>
      <c r="H56" s="461">
        <f>SUM(H53:H55)</f>
        <v>34001000</v>
      </c>
      <c r="I56" s="400" t="s">
        <v>930</v>
      </c>
      <c r="J56" s="402"/>
      <c r="K56" s="402"/>
      <c r="L56" s="402"/>
      <c r="M56" s="402"/>
      <c r="N56" s="402"/>
      <c r="O56" s="402"/>
      <c r="P56" s="402"/>
      <c r="Q56" s="402"/>
      <c r="R56" s="402"/>
      <c r="S56" s="402"/>
      <c r="T56" s="402"/>
      <c r="U56" s="402"/>
      <c r="V56" s="402"/>
      <c r="W56" s="402"/>
      <c r="X56" s="402"/>
      <c r="Y56" s="402"/>
      <c r="Z56" s="402"/>
      <c r="AA56" s="402"/>
      <c r="AB56" s="402"/>
      <c r="AC56" s="402"/>
      <c r="AD56" s="402"/>
      <c r="AE56" s="402"/>
      <c r="AF56" s="402"/>
      <c r="AG56" s="402"/>
      <c r="AH56" s="402"/>
    </row>
    <row r="57" spans="1:34" ht="43.5" customHeight="1" x14ac:dyDescent="0.3">
      <c r="B57" s="460" t="s">
        <v>768</v>
      </c>
      <c r="C57" s="448"/>
      <c r="D57" s="449">
        <f>C55-D56</f>
        <v>2010000</v>
      </c>
      <c r="E57" s="838"/>
      <c r="F57" s="435"/>
      <c r="G57" s="402" t="s">
        <v>931</v>
      </c>
      <c r="H57" s="438">
        <f>H51-H56</f>
        <v>4499000</v>
      </c>
      <c r="I57" s="402" t="s">
        <v>63</v>
      </c>
      <c r="J57" s="402"/>
      <c r="K57" s="402"/>
      <c r="L57" s="402"/>
      <c r="M57" s="402"/>
      <c r="N57" s="402"/>
      <c r="O57" s="402"/>
      <c r="P57" s="402"/>
      <c r="Q57" s="402"/>
      <c r="R57" s="402"/>
      <c r="S57" s="402"/>
      <c r="T57" s="402"/>
      <c r="U57" s="402"/>
      <c r="V57" s="402"/>
      <c r="W57" s="402"/>
      <c r="X57" s="402"/>
      <c r="Y57" s="402"/>
      <c r="Z57" s="402"/>
      <c r="AA57" s="402"/>
      <c r="AB57" s="402"/>
      <c r="AC57" s="402"/>
      <c r="AD57" s="402"/>
      <c r="AE57" s="402"/>
      <c r="AF57" s="402"/>
      <c r="AG57" s="402"/>
      <c r="AH57" s="402"/>
    </row>
    <row r="58" spans="1:34" ht="22.5" customHeight="1" x14ac:dyDescent="0.3">
      <c r="B58" s="511" t="s">
        <v>932</v>
      </c>
      <c r="C58" s="512"/>
      <c r="D58" s="513"/>
      <c r="E58" s="450"/>
      <c r="F58" s="435"/>
      <c r="G58" s="402"/>
      <c r="H58" s="402"/>
      <c r="I58" s="402"/>
      <c r="J58" s="402"/>
      <c r="K58" s="402"/>
      <c r="L58" s="402"/>
      <c r="M58" s="402"/>
      <c r="N58" s="402"/>
      <c r="O58" s="402"/>
      <c r="P58" s="402"/>
      <c r="Q58" s="402"/>
      <c r="R58" s="402"/>
      <c r="S58" s="402"/>
      <c r="T58" s="402"/>
      <c r="U58" s="402"/>
      <c r="V58" s="402"/>
      <c r="W58" s="402"/>
      <c r="X58" s="402"/>
      <c r="Y58" s="402"/>
      <c r="Z58" s="402"/>
      <c r="AA58" s="402"/>
      <c r="AB58" s="402"/>
      <c r="AC58" s="402"/>
      <c r="AD58" s="402"/>
      <c r="AE58" s="402"/>
      <c r="AF58" s="402"/>
      <c r="AG58" s="402"/>
      <c r="AH58" s="402"/>
    </row>
    <row r="59" spans="1:34" x14ac:dyDescent="0.3">
      <c r="B59" s="503" t="s">
        <v>933</v>
      </c>
      <c r="C59" s="514" t="s">
        <v>436</v>
      </c>
      <c r="D59" s="515" t="s">
        <v>437</v>
      </c>
      <c r="E59" s="450"/>
      <c r="F59" s="435"/>
      <c r="K59" s="402"/>
      <c r="L59" s="402"/>
      <c r="M59" s="402"/>
      <c r="N59" s="402"/>
      <c r="O59" s="402"/>
      <c r="P59" s="402"/>
      <c r="Q59" s="402"/>
      <c r="R59" s="402"/>
      <c r="S59" s="402"/>
      <c r="T59" s="402"/>
      <c r="U59" s="402"/>
      <c r="V59" s="402"/>
      <c r="W59" s="402"/>
      <c r="X59" s="402"/>
      <c r="Y59" s="402"/>
      <c r="Z59" s="402"/>
      <c r="AA59" s="402"/>
      <c r="AB59" s="402"/>
      <c r="AC59" s="402"/>
      <c r="AD59" s="402"/>
      <c r="AE59" s="402"/>
      <c r="AF59" s="402"/>
      <c r="AG59" s="402"/>
      <c r="AH59" s="402"/>
    </row>
    <row r="60" spans="1:34" x14ac:dyDescent="0.3">
      <c r="B60" s="503" t="s">
        <v>934</v>
      </c>
      <c r="C60" s="504">
        <f>D56</f>
        <v>750000</v>
      </c>
      <c r="D60" s="505"/>
      <c r="E60" s="450"/>
      <c r="F60" s="435"/>
      <c r="K60" s="402" t="s">
        <v>935</v>
      </c>
      <c r="L60" s="402"/>
      <c r="M60" s="402"/>
      <c r="N60" s="402"/>
      <c r="O60" s="402"/>
      <c r="P60" s="402"/>
      <c r="Q60" s="402"/>
      <c r="R60" s="402"/>
      <c r="S60" s="402"/>
      <c r="T60" s="402"/>
      <c r="U60" s="402"/>
      <c r="V60" s="402"/>
      <c r="W60" s="402"/>
      <c r="X60" s="402"/>
      <c r="Y60" s="402"/>
      <c r="Z60" s="402"/>
      <c r="AA60" s="402"/>
      <c r="AB60" s="402"/>
      <c r="AC60" s="402"/>
      <c r="AD60" s="402"/>
      <c r="AE60" s="402"/>
      <c r="AF60" s="402"/>
      <c r="AG60" s="402"/>
      <c r="AH60" s="402"/>
    </row>
    <row r="61" spans="1:34" x14ac:dyDescent="0.3">
      <c r="B61" s="516" t="s">
        <v>936</v>
      </c>
      <c r="C61" s="504"/>
      <c r="D61" s="505">
        <f>C60</f>
        <v>750000</v>
      </c>
      <c r="E61" s="450"/>
      <c r="F61" s="435"/>
      <c r="K61" s="402"/>
      <c r="L61" s="402"/>
      <c r="M61" s="402"/>
      <c r="N61" s="402"/>
      <c r="O61" s="402"/>
      <c r="P61" s="402"/>
      <c r="Q61" s="402"/>
      <c r="R61" s="402"/>
      <c r="S61" s="402"/>
      <c r="T61" s="402"/>
      <c r="U61" s="402"/>
      <c r="V61" s="402"/>
      <c r="W61" s="402"/>
      <c r="X61" s="402"/>
      <c r="Y61" s="402"/>
      <c r="Z61" s="402"/>
      <c r="AA61" s="402"/>
      <c r="AB61" s="402"/>
      <c r="AC61" s="402"/>
      <c r="AD61" s="402"/>
      <c r="AE61" s="402"/>
      <c r="AF61" s="402"/>
      <c r="AG61" s="402"/>
      <c r="AH61" s="402"/>
    </row>
    <row r="62" spans="1:34" ht="15" thickBot="1" x14ac:dyDescent="0.35">
      <c r="B62" s="462"/>
      <c r="C62" s="447"/>
      <c r="D62" s="435"/>
      <c r="E62" s="450"/>
      <c r="F62" s="435"/>
      <c r="K62" s="402" t="s">
        <v>937</v>
      </c>
      <c r="L62" s="402"/>
      <c r="M62" s="402" t="s">
        <v>938</v>
      </c>
      <c r="N62" s="402"/>
      <c r="O62" s="402"/>
      <c r="P62" s="402"/>
      <c r="Q62" s="402"/>
      <c r="R62" s="402"/>
      <c r="S62" s="402"/>
      <c r="T62" s="402"/>
      <c r="U62" s="402"/>
      <c r="V62" s="402"/>
      <c r="W62" s="402"/>
      <c r="X62" s="402"/>
      <c r="Y62" s="402"/>
      <c r="Z62" s="402"/>
      <c r="AA62" s="402"/>
      <c r="AB62" s="402"/>
      <c r="AC62" s="402"/>
      <c r="AD62" s="402"/>
      <c r="AE62" s="402"/>
      <c r="AF62" s="402"/>
      <c r="AG62" s="402"/>
      <c r="AH62" s="402"/>
    </row>
    <row r="63" spans="1:34" x14ac:dyDescent="0.3">
      <c r="B63" s="517" t="s">
        <v>939</v>
      </c>
      <c r="C63" s="518" t="s">
        <v>414</v>
      </c>
      <c r="D63" s="519" t="s">
        <v>721</v>
      </c>
      <c r="E63" s="450"/>
      <c r="F63" s="435"/>
      <c r="K63" s="402"/>
      <c r="L63" s="402"/>
      <c r="M63" s="402"/>
      <c r="N63" s="402"/>
      <c r="O63" s="402"/>
      <c r="P63" s="402"/>
      <c r="Q63" s="402"/>
      <c r="R63" s="402"/>
      <c r="S63" s="402"/>
      <c r="T63" s="402"/>
      <c r="U63" s="402"/>
      <c r="V63" s="402"/>
      <c r="W63" s="402"/>
      <c r="X63" s="402"/>
      <c r="Y63" s="402"/>
      <c r="Z63" s="402"/>
      <c r="AA63" s="402"/>
      <c r="AB63" s="402"/>
      <c r="AC63" s="402"/>
      <c r="AD63" s="402"/>
      <c r="AE63" s="402"/>
      <c r="AF63" s="402"/>
      <c r="AG63" s="402"/>
      <c r="AH63" s="402"/>
    </row>
    <row r="64" spans="1:34" x14ac:dyDescent="0.3">
      <c r="B64" s="520" t="s">
        <v>940</v>
      </c>
      <c r="C64" s="453">
        <v>120000</v>
      </c>
      <c r="D64" s="465"/>
      <c r="E64" s="450"/>
      <c r="F64" s="435"/>
      <c r="G64" s="402"/>
      <c r="H64" s="402"/>
      <c r="I64" s="402"/>
      <c r="J64" s="402"/>
      <c r="K64" s="402"/>
      <c r="L64" s="402"/>
      <c r="M64" s="402"/>
      <c r="N64" s="402"/>
      <c r="O64" s="402"/>
      <c r="P64" s="402"/>
      <c r="Q64" s="402"/>
      <c r="R64" s="402"/>
      <c r="S64" s="402"/>
      <c r="T64" s="402"/>
      <c r="U64" s="402"/>
      <c r="V64" s="402"/>
      <c r="W64" s="402"/>
      <c r="X64" s="402"/>
      <c r="Y64" s="402"/>
      <c r="Z64" s="402"/>
      <c r="AA64" s="402"/>
      <c r="AB64" s="402"/>
      <c r="AC64" s="402"/>
      <c r="AD64" s="402"/>
      <c r="AE64" s="402"/>
      <c r="AF64" s="402"/>
      <c r="AG64" s="402"/>
      <c r="AH64" s="402"/>
    </row>
    <row r="65" spans="2:34" ht="15" thickBot="1" x14ac:dyDescent="0.35">
      <c r="B65" s="521" t="s">
        <v>941</v>
      </c>
      <c r="C65" s="522"/>
      <c r="D65" s="523">
        <v>120000</v>
      </c>
      <c r="E65" s="450"/>
      <c r="F65" s="435"/>
      <c r="G65" s="402"/>
      <c r="H65" s="402"/>
      <c r="I65" s="402"/>
      <c r="J65" s="402"/>
      <c r="K65" s="402"/>
      <c r="L65" s="402"/>
      <c r="M65" s="402"/>
      <c r="N65" s="402"/>
      <c r="O65" s="402"/>
      <c r="P65" s="402"/>
      <c r="Q65" s="402"/>
      <c r="R65" s="402"/>
      <c r="S65" s="402"/>
      <c r="T65" s="402"/>
      <c r="U65" s="402"/>
      <c r="V65" s="402"/>
      <c r="W65" s="402"/>
      <c r="X65" s="402"/>
      <c r="Y65" s="402"/>
      <c r="Z65" s="402"/>
      <c r="AA65" s="402"/>
      <c r="AB65" s="402"/>
      <c r="AC65" s="402"/>
      <c r="AD65" s="402"/>
      <c r="AE65" s="402"/>
      <c r="AF65" s="402"/>
      <c r="AG65" s="402"/>
      <c r="AH65" s="402"/>
    </row>
    <row r="66" spans="2:34" x14ac:dyDescent="0.3">
      <c r="B66" s="462"/>
      <c r="C66" s="447"/>
      <c r="D66" s="435"/>
      <c r="E66" s="450"/>
      <c r="F66" s="435"/>
      <c r="G66" s="402"/>
      <c r="H66" s="402"/>
      <c r="I66" s="402"/>
      <c r="J66" s="402"/>
      <c r="K66" s="402"/>
      <c r="L66" s="402"/>
      <c r="M66" s="402"/>
      <c r="N66" s="402"/>
      <c r="O66" s="402"/>
      <c r="P66" s="402"/>
      <c r="Q66" s="402"/>
      <c r="R66" s="402"/>
      <c r="S66" s="402"/>
      <c r="T66" s="402"/>
      <c r="U66" s="402"/>
      <c r="V66" s="402"/>
      <c r="W66" s="402"/>
      <c r="X66" s="402"/>
      <c r="Y66" s="402"/>
      <c r="Z66" s="402"/>
      <c r="AA66" s="402"/>
      <c r="AB66" s="402"/>
      <c r="AC66" s="402"/>
      <c r="AD66" s="402"/>
      <c r="AE66" s="402"/>
      <c r="AF66" s="402"/>
      <c r="AG66" s="402"/>
      <c r="AH66" s="402"/>
    </row>
    <row r="67" spans="2:34" x14ac:dyDescent="0.3">
      <c r="B67" s="531" t="s">
        <v>942</v>
      </c>
      <c r="C67" s="532" t="s">
        <v>943</v>
      </c>
      <c r="D67" s="533"/>
      <c r="E67" s="450"/>
      <c r="F67" s="435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402"/>
      <c r="V67" s="402"/>
      <c r="W67" s="402"/>
      <c r="X67" s="402"/>
      <c r="Y67" s="402"/>
      <c r="Z67" s="402"/>
      <c r="AA67" s="402"/>
      <c r="AB67" s="402"/>
      <c r="AC67" s="402"/>
      <c r="AD67" s="402"/>
      <c r="AE67" s="402"/>
      <c r="AF67" s="402"/>
      <c r="AG67" s="402"/>
      <c r="AH67" s="402"/>
    </row>
    <row r="68" spans="2:34" x14ac:dyDescent="0.3">
      <c r="B68" s="531" t="s">
        <v>944</v>
      </c>
      <c r="C68" s="532">
        <v>210000</v>
      </c>
      <c r="D68" s="533"/>
      <c r="E68" s="450"/>
      <c r="F68" s="435"/>
      <c r="G68" s="447">
        <v>210000</v>
      </c>
      <c r="H68" s="402" t="s">
        <v>761</v>
      </c>
      <c r="I68" s="402"/>
      <c r="J68" s="402"/>
      <c r="K68" s="402" t="s">
        <v>945</v>
      </c>
      <c r="L68" s="402"/>
      <c r="M68" s="402"/>
      <c r="N68" s="402"/>
      <c r="O68" s="402"/>
      <c r="P68" s="402"/>
      <c r="Q68" s="402"/>
      <c r="R68" s="402"/>
      <c r="S68" s="402"/>
      <c r="T68" s="402"/>
      <c r="U68" s="402"/>
      <c r="V68" s="402"/>
      <c r="W68" s="402"/>
      <c r="X68" s="402"/>
      <c r="Y68" s="402"/>
      <c r="Z68" s="402"/>
      <c r="AA68" s="402"/>
      <c r="AB68" s="402"/>
      <c r="AC68" s="402"/>
      <c r="AD68" s="402"/>
      <c r="AE68" s="402"/>
      <c r="AF68" s="402"/>
      <c r="AG68" s="402"/>
      <c r="AH68" s="402"/>
    </row>
    <row r="69" spans="2:34" ht="15" thickBot="1" x14ac:dyDescent="0.35">
      <c r="B69" s="531" t="s">
        <v>946</v>
      </c>
      <c r="C69" s="534">
        <v>0.2</v>
      </c>
      <c r="D69" s="533"/>
      <c r="E69" s="450"/>
      <c r="F69" s="435"/>
      <c r="G69" s="473">
        <f>G68*0.2</f>
        <v>42000</v>
      </c>
      <c r="H69" s="402" t="s">
        <v>761</v>
      </c>
      <c r="I69" s="402"/>
      <c r="J69" s="402"/>
      <c r="K69" s="436" t="s">
        <v>947</v>
      </c>
      <c r="L69" s="436"/>
      <c r="M69" s="449">
        <f>5000*95</f>
        <v>475000</v>
      </c>
      <c r="N69" s="436"/>
      <c r="O69" s="402"/>
      <c r="P69" s="402"/>
      <c r="Q69" s="402"/>
      <c r="R69" s="402"/>
      <c r="S69" s="402"/>
      <c r="T69" s="402"/>
      <c r="U69" s="402"/>
      <c r="V69" s="402"/>
      <c r="W69" s="402"/>
      <c r="X69" s="402"/>
      <c r="Y69" s="402"/>
      <c r="Z69" s="402"/>
      <c r="AA69" s="402"/>
      <c r="AB69" s="402"/>
      <c r="AC69" s="402"/>
      <c r="AD69" s="402"/>
      <c r="AE69" s="402"/>
      <c r="AF69" s="402"/>
      <c r="AG69" s="402"/>
      <c r="AH69" s="402"/>
    </row>
    <row r="70" spans="2:34" x14ac:dyDescent="0.3">
      <c r="B70" s="535"/>
      <c r="C70" s="536" t="s">
        <v>414</v>
      </c>
      <c r="D70" s="537" t="s">
        <v>721</v>
      </c>
      <c r="E70" s="450"/>
      <c r="F70" s="435"/>
      <c r="G70" s="463">
        <v>92</v>
      </c>
      <c r="H70" s="402" t="s">
        <v>948</v>
      </c>
      <c r="I70" s="402"/>
      <c r="J70" s="402"/>
      <c r="K70" s="839" t="s">
        <v>772</v>
      </c>
      <c r="L70" s="840"/>
      <c r="M70" s="841"/>
      <c r="N70" s="464">
        <f>M69</f>
        <v>475000</v>
      </c>
      <c r="O70" s="402"/>
      <c r="P70" s="402"/>
      <c r="Q70" s="402"/>
      <c r="R70" s="402"/>
      <c r="S70" s="402"/>
      <c r="T70" s="402"/>
      <c r="U70" s="402"/>
      <c r="V70" s="402"/>
      <c r="W70" s="402"/>
      <c r="X70" s="402"/>
      <c r="Y70" s="402"/>
      <c r="Z70" s="402"/>
      <c r="AA70" s="402"/>
      <c r="AB70" s="402"/>
      <c r="AC70" s="402"/>
      <c r="AD70" s="402"/>
      <c r="AE70" s="402"/>
      <c r="AF70" s="402"/>
      <c r="AG70" s="402"/>
      <c r="AH70" s="402"/>
    </row>
    <row r="71" spans="2:34" x14ac:dyDescent="0.3">
      <c r="B71" s="538" t="s">
        <v>144</v>
      </c>
      <c r="C71" s="539">
        <f>G71</f>
        <v>3864000</v>
      </c>
      <c r="D71" s="540"/>
      <c r="E71" s="450"/>
      <c r="F71" s="435"/>
      <c r="G71" s="533">
        <f>G69*G70</f>
        <v>3864000</v>
      </c>
      <c r="H71" s="402"/>
      <c r="I71" s="402"/>
      <c r="J71" s="402"/>
      <c r="K71" s="402"/>
      <c r="L71" s="402"/>
      <c r="M71" s="402"/>
      <c r="N71" s="402"/>
      <c r="O71" s="402"/>
      <c r="P71" s="402"/>
      <c r="Q71" s="402"/>
      <c r="R71" s="402"/>
      <c r="S71" s="402"/>
      <c r="T71" s="402"/>
      <c r="U71" s="402"/>
      <c r="V71" s="402"/>
      <c r="W71" s="402"/>
      <c r="X71" s="402"/>
      <c r="Y71" s="402"/>
      <c r="Z71" s="402"/>
      <c r="AA71" s="402"/>
      <c r="AB71" s="402"/>
      <c r="AC71" s="402"/>
      <c r="AD71" s="402"/>
      <c r="AE71" s="402"/>
      <c r="AF71" s="402"/>
      <c r="AG71" s="402"/>
      <c r="AH71" s="402"/>
    </row>
    <row r="72" spans="2:34" x14ac:dyDescent="0.3">
      <c r="B72" s="541" t="s">
        <v>44</v>
      </c>
      <c r="C72" s="539"/>
      <c r="D72" s="542">
        <f>G69*25</f>
        <v>1050000</v>
      </c>
      <c r="E72" s="450"/>
      <c r="F72" s="435"/>
      <c r="G72" s="402"/>
      <c r="H72" s="402"/>
      <c r="I72" s="402"/>
      <c r="J72" s="402"/>
      <c r="K72" s="402" t="s">
        <v>949</v>
      </c>
      <c r="L72" s="402"/>
      <c r="M72" s="438">
        <f>M69</f>
        <v>475000</v>
      </c>
      <c r="N72" s="402"/>
      <c r="O72" s="402"/>
      <c r="P72" s="402"/>
      <c r="Q72" s="402"/>
      <c r="R72" s="402"/>
      <c r="S72" s="402"/>
      <c r="T72" s="402"/>
      <c r="U72" s="402"/>
      <c r="V72" s="402"/>
      <c r="W72" s="402"/>
      <c r="X72" s="402"/>
      <c r="Y72" s="402"/>
      <c r="Z72" s="402"/>
      <c r="AA72" s="402"/>
      <c r="AB72" s="402"/>
      <c r="AC72" s="402"/>
      <c r="AD72" s="402"/>
      <c r="AE72" s="402"/>
      <c r="AF72" s="402"/>
      <c r="AG72" s="402"/>
      <c r="AH72" s="402"/>
    </row>
    <row r="73" spans="2:34" ht="15" thickBot="1" x14ac:dyDescent="0.35">
      <c r="B73" s="543" t="s">
        <v>46</v>
      </c>
      <c r="C73" s="544"/>
      <c r="D73" s="545">
        <f>G69*(G70-25)</f>
        <v>2814000</v>
      </c>
      <c r="E73" s="450"/>
      <c r="F73" s="435"/>
      <c r="G73" s="402"/>
      <c r="H73" s="402"/>
      <c r="I73" s="402"/>
      <c r="J73" s="402"/>
      <c r="K73" s="402"/>
      <c r="L73" s="402" t="s">
        <v>144</v>
      </c>
      <c r="M73" s="402"/>
      <c r="N73" s="438">
        <f>M72</f>
        <v>475000</v>
      </c>
      <c r="O73" s="402"/>
      <c r="P73" s="402"/>
      <c r="Q73" s="402"/>
      <c r="R73" s="402"/>
      <c r="S73" s="402"/>
      <c r="T73" s="402"/>
      <c r="U73" s="402"/>
      <c r="V73" s="402"/>
      <c r="W73" s="402"/>
      <c r="X73" s="402"/>
      <c r="Y73" s="402"/>
      <c r="Z73" s="402"/>
      <c r="AA73" s="402"/>
      <c r="AB73" s="402"/>
      <c r="AC73" s="402"/>
      <c r="AD73" s="402"/>
      <c r="AE73" s="402"/>
      <c r="AF73" s="402"/>
      <c r="AG73" s="402"/>
      <c r="AH73" s="402"/>
    </row>
    <row r="74" spans="2:34" ht="15" thickBot="1" x14ac:dyDescent="0.35">
      <c r="B74" s="402"/>
      <c r="C74" s="447"/>
      <c r="D74" s="435"/>
      <c r="E74" s="450"/>
      <c r="F74" s="435"/>
      <c r="G74" s="402"/>
      <c r="H74" s="402"/>
      <c r="I74" s="402"/>
      <c r="J74" s="402"/>
      <c r="K74" s="402"/>
      <c r="L74" s="402"/>
      <c r="M74" s="402"/>
      <c r="N74" s="402"/>
      <c r="O74" s="402"/>
      <c r="P74" s="402"/>
      <c r="Q74" s="402"/>
      <c r="R74" s="402"/>
      <c r="S74" s="402"/>
      <c r="T74" s="402"/>
      <c r="U74" s="402"/>
      <c r="V74" s="402"/>
      <c r="W74" s="402"/>
      <c r="X74" s="402"/>
      <c r="Y74" s="402"/>
      <c r="Z74" s="402"/>
      <c r="AA74" s="402"/>
      <c r="AB74" s="402"/>
      <c r="AC74" s="402"/>
      <c r="AD74" s="402"/>
      <c r="AE74" s="402"/>
      <c r="AF74" s="402"/>
      <c r="AG74" s="402"/>
      <c r="AH74" s="402"/>
    </row>
    <row r="75" spans="2:34" ht="15" thickBot="1" x14ac:dyDescent="0.35">
      <c r="B75" s="554" t="s">
        <v>950</v>
      </c>
      <c r="C75" s="556" t="s">
        <v>436</v>
      </c>
      <c r="D75" s="555" t="s">
        <v>437</v>
      </c>
      <c r="E75" s="547"/>
      <c r="F75" s="435"/>
      <c r="G75" s="402"/>
      <c r="H75" s="402"/>
      <c r="I75" s="402"/>
      <c r="J75" s="402"/>
      <c r="K75" s="402"/>
      <c r="L75" s="402"/>
      <c r="M75" s="402"/>
      <c r="N75" s="402"/>
      <c r="O75" s="402"/>
      <c r="P75" s="402"/>
      <c r="Q75" s="402"/>
      <c r="R75" s="402"/>
      <c r="S75" s="402"/>
      <c r="T75" s="402"/>
      <c r="U75" s="402"/>
      <c r="V75" s="402"/>
      <c r="W75" s="402"/>
      <c r="X75" s="402"/>
      <c r="Y75" s="402"/>
      <c r="Z75" s="402"/>
      <c r="AA75" s="402"/>
      <c r="AB75" s="402"/>
      <c r="AC75" s="402"/>
      <c r="AD75" s="402"/>
      <c r="AE75" s="402"/>
      <c r="AF75" s="402"/>
      <c r="AG75" s="402"/>
      <c r="AH75" s="402"/>
    </row>
    <row r="76" spans="2:34" x14ac:dyDescent="0.3">
      <c r="B76" s="552" t="s">
        <v>56</v>
      </c>
      <c r="C76" s="553">
        <v>38500000</v>
      </c>
      <c r="D76" s="552"/>
      <c r="E76" s="546"/>
      <c r="F76" s="435"/>
      <c r="G76" s="402"/>
      <c r="H76" s="402"/>
      <c r="I76" s="402"/>
      <c r="J76" s="402"/>
      <c r="K76" s="402"/>
      <c r="L76" s="402"/>
      <c r="M76" s="402"/>
      <c r="N76" s="402"/>
      <c r="O76" s="402"/>
      <c r="P76" s="402"/>
      <c r="Q76" s="402"/>
      <c r="R76" s="402"/>
      <c r="S76" s="402"/>
      <c r="T76" s="402"/>
      <c r="U76" s="402"/>
      <c r="V76" s="402"/>
      <c r="W76" s="402"/>
      <c r="X76" s="402"/>
      <c r="Y76" s="402"/>
      <c r="Z76" s="402"/>
      <c r="AA76" s="402"/>
      <c r="AB76" s="402"/>
      <c r="AC76" s="402"/>
      <c r="AD76" s="402"/>
      <c r="AE76" s="402"/>
      <c r="AF76" s="402"/>
      <c r="AG76" s="402"/>
      <c r="AH76" s="402"/>
    </row>
    <row r="77" spans="2:34" x14ac:dyDescent="0.3">
      <c r="B77" s="549" t="s">
        <v>770</v>
      </c>
      <c r="C77" s="548"/>
      <c r="D77" s="550">
        <f>C76*0.1</f>
        <v>3850000</v>
      </c>
      <c r="E77" s="551" t="s">
        <v>951</v>
      </c>
      <c r="F77" s="435"/>
      <c r="G77" s="402"/>
      <c r="H77" s="402"/>
      <c r="I77" s="402"/>
      <c r="J77" s="402"/>
      <c r="K77" s="402"/>
      <c r="L77" s="402"/>
      <c r="M77" s="402"/>
      <c r="N77" s="402"/>
      <c r="O77" s="402"/>
      <c r="P77" s="402"/>
      <c r="Q77" s="402"/>
      <c r="R77" s="402"/>
      <c r="S77" s="402"/>
      <c r="T77" s="402"/>
      <c r="U77" s="402"/>
      <c r="V77" s="402"/>
      <c r="W77" s="402"/>
      <c r="X77" s="402"/>
      <c r="Y77" s="402"/>
      <c r="Z77" s="402"/>
      <c r="AA77" s="402"/>
      <c r="AB77" s="402"/>
      <c r="AC77" s="402"/>
      <c r="AD77" s="402"/>
      <c r="AE77" s="402"/>
      <c r="AF77" s="402"/>
      <c r="AG77" s="402"/>
      <c r="AH77" s="402"/>
    </row>
    <row r="78" spans="2:34" x14ac:dyDescent="0.3">
      <c r="B78" s="549" t="s">
        <v>925</v>
      </c>
      <c r="C78" s="548"/>
      <c r="D78" s="550">
        <f>C76*0.25</f>
        <v>9625000</v>
      </c>
      <c r="E78" s="551" t="s">
        <v>951</v>
      </c>
      <c r="F78" s="435"/>
      <c r="G78" s="402"/>
      <c r="H78" s="402"/>
      <c r="I78" s="402"/>
      <c r="J78" s="402"/>
      <c r="K78" s="402"/>
      <c r="L78" s="402"/>
      <c r="M78" s="402"/>
      <c r="N78" s="402"/>
      <c r="O78" s="402"/>
      <c r="P78" s="402"/>
      <c r="Q78" s="402"/>
      <c r="R78" s="402"/>
      <c r="S78" s="402"/>
      <c r="T78" s="402"/>
      <c r="U78" s="402"/>
      <c r="V78" s="402"/>
      <c r="W78" s="402"/>
      <c r="X78" s="402"/>
      <c r="Y78" s="402"/>
      <c r="Z78" s="402"/>
      <c r="AA78" s="402"/>
      <c r="AB78" s="402"/>
      <c r="AC78" s="402"/>
      <c r="AD78" s="402"/>
      <c r="AE78" s="402"/>
      <c r="AF78" s="402"/>
      <c r="AG78" s="402"/>
      <c r="AH78" s="402"/>
    </row>
    <row r="79" spans="2:34" x14ac:dyDescent="0.3">
      <c r="B79" s="549" t="s">
        <v>18</v>
      </c>
      <c r="C79" s="548"/>
      <c r="D79" s="550">
        <f>H43*3*11</f>
        <v>20526000</v>
      </c>
      <c r="E79" s="551" t="s">
        <v>952</v>
      </c>
      <c r="F79" s="435"/>
      <c r="G79" s="402"/>
      <c r="H79" s="402"/>
      <c r="I79" s="402"/>
      <c r="J79" s="402"/>
      <c r="K79" s="402"/>
      <c r="L79" s="402"/>
      <c r="M79" s="402"/>
      <c r="N79" s="402"/>
      <c r="O79" s="402"/>
      <c r="P79" s="402"/>
      <c r="Q79" s="402"/>
      <c r="R79" s="402"/>
      <c r="S79" s="402"/>
      <c r="T79" s="402"/>
      <c r="U79" s="402"/>
      <c r="V79" s="402"/>
      <c r="W79" s="402"/>
      <c r="X79" s="402"/>
      <c r="Y79" s="402"/>
      <c r="Z79" s="402"/>
      <c r="AA79" s="402"/>
      <c r="AB79" s="402"/>
      <c r="AC79" s="402"/>
      <c r="AD79" s="402"/>
      <c r="AE79" s="402"/>
      <c r="AF79" s="402"/>
      <c r="AG79" s="402"/>
      <c r="AH79" s="402"/>
    </row>
    <row r="80" spans="2:34" x14ac:dyDescent="0.3">
      <c r="B80" s="549" t="s">
        <v>953</v>
      </c>
      <c r="C80" s="548"/>
      <c r="D80" s="550">
        <f>C76-D77-D78-D79</f>
        <v>4499000</v>
      </c>
      <c r="E80" s="551" t="s">
        <v>951</v>
      </c>
      <c r="F80" s="435"/>
      <c r="G80" s="402"/>
      <c r="H80" s="402"/>
      <c r="I80" s="402"/>
      <c r="J80" s="402"/>
      <c r="K80" s="402"/>
      <c r="L80" s="402"/>
      <c r="M80" s="402"/>
      <c r="N80" s="402"/>
      <c r="O80" s="402"/>
      <c r="P80" s="402"/>
      <c r="Q80" s="402"/>
      <c r="R80" s="402"/>
      <c r="S80" s="402"/>
      <c r="T80" s="402"/>
      <c r="U80" s="402"/>
      <c r="V80" s="402"/>
      <c r="W80" s="402"/>
      <c r="X80" s="402"/>
      <c r="Y80" s="402"/>
      <c r="Z80" s="402"/>
      <c r="AA80" s="402"/>
      <c r="AB80" s="402"/>
      <c r="AC80" s="402"/>
      <c r="AD80" s="402"/>
      <c r="AE80" s="402"/>
      <c r="AF80" s="402"/>
      <c r="AG80" s="402"/>
      <c r="AH80" s="402"/>
    </row>
    <row r="81" spans="2:34" x14ac:dyDescent="0.3">
      <c r="B81" s="402"/>
      <c r="C81" s="447"/>
      <c r="D81" s="435"/>
      <c r="E81" s="450"/>
      <c r="F81" s="435"/>
      <c r="G81" s="402"/>
      <c r="H81" s="402"/>
      <c r="I81" s="402"/>
      <c r="J81" s="402"/>
      <c r="K81" s="402"/>
      <c r="L81" s="402"/>
      <c r="M81" s="402"/>
      <c r="N81" s="402"/>
      <c r="O81" s="402"/>
      <c r="P81" s="402"/>
      <c r="Q81" s="402"/>
      <c r="R81" s="402"/>
      <c r="S81" s="402"/>
      <c r="T81" s="402"/>
      <c r="U81" s="402"/>
      <c r="V81" s="402"/>
      <c r="W81" s="402"/>
      <c r="X81" s="402"/>
      <c r="Y81" s="402"/>
      <c r="Z81" s="402"/>
      <c r="AA81" s="402"/>
      <c r="AB81" s="402"/>
      <c r="AC81" s="402"/>
      <c r="AD81" s="402"/>
      <c r="AE81" s="402"/>
      <c r="AF81" s="402"/>
      <c r="AG81" s="402"/>
      <c r="AH81" s="402"/>
    </row>
    <row r="82" spans="2:34" x14ac:dyDescent="0.3">
      <c r="B82" s="584" t="s">
        <v>954</v>
      </c>
      <c r="C82" s="577"/>
      <c r="D82" s="578"/>
      <c r="E82" s="579"/>
      <c r="F82" s="435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2"/>
      <c r="T82" s="402"/>
      <c r="U82" s="402"/>
      <c r="V82" s="402"/>
      <c r="W82" s="402"/>
      <c r="X82" s="402"/>
      <c r="Y82" s="402"/>
      <c r="Z82" s="402"/>
      <c r="AA82" s="402"/>
      <c r="AB82" s="402"/>
      <c r="AC82" s="402"/>
      <c r="AD82" s="402"/>
      <c r="AE82" s="402"/>
      <c r="AF82" s="402"/>
      <c r="AG82" s="402"/>
      <c r="AH82" s="402"/>
    </row>
    <row r="83" spans="2:34" x14ac:dyDescent="0.3">
      <c r="B83" s="580"/>
      <c r="C83" s="581" t="s">
        <v>414</v>
      </c>
      <c r="D83" s="582" t="s">
        <v>721</v>
      </c>
      <c r="E83" s="579"/>
      <c r="F83" s="435"/>
      <c r="G83" s="402"/>
      <c r="H83" s="402"/>
      <c r="I83" s="402"/>
      <c r="J83" s="402"/>
      <c r="K83" s="402"/>
      <c r="L83" s="402"/>
      <c r="M83" s="402"/>
      <c r="N83" s="402"/>
      <c r="O83" s="402"/>
      <c r="P83" s="402"/>
      <c r="Q83" s="402"/>
      <c r="R83" s="402"/>
      <c r="S83" s="402"/>
      <c r="T83" s="402"/>
      <c r="U83" s="402"/>
      <c r="V83" s="402"/>
      <c r="W83" s="402"/>
      <c r="X83" s="402"/>
      <c r="Y83" s="402"/>
      <c r="Z83" s="402"/>
      <c r="AA83" s="402"/>
      <c r="AB83" s="402"/>
      <c r="AC83" s="402"/>
      <c r="AD83" s="402"/>
      <c r="AE83" s="402"/>
      <c r="AF83" s="402"/>
      <c r="AG83" s="402"/>
      <c r="AH83" s="402"/>
    </row>
    <row r="84" spans="2:34" x14ac:dyDescent="0.3">
      <c r="B84" s="580" t="str">
        <f>B71</f>
        <v>Efectivo</v>
      </c>
      <c r="C84" s="581">
        <f>3000*95</f>
        <v>285000</v>
      </c>
      <c r="D84" s="582"/>
      <c r="E84" s="579"/>
      <c r="F84" s="435"/>
      <c r="G84" s="402"/>
      <c r="H84" s="402"/>
      <c r="I84" s="402"/>
      <c r="J84" s="402"/>
      <c r="K84" s="402"/>
      <c r="L84" s="402"/>
      <c r="M84" s="402"/>
      <c r="N84" s="402"/>
      <c r="O84" s="402"/>
      <c r="P84" s="402"/>
      <c r="Q84" s="402"/>
      <c r="R84" s="402"/>
      <c r="S84" s="402"/>
      <c r="T84" s="402"/>
      <c r="U84" s="402"/>
      <c r="V84" s="402"/>
      <c r="W84" s="402"/>
      <c r="X84" s="402"/>
      <c r="Y84" s="402"/>
      <c r="Z84" s="402"/>
      <c r="AA84" s="402"/>
      <c r="AB84" s="402"/>
      <c r="AC84" s="402"/>
      <c r="AD84" s="402"/>
      <c r="AE84" s="402"/>
      <c r="AF84" s="402"/>
      <c r="AG84" s="402"/>
      <c r="AH84" s="402"/>
    </row>
    <row r="85" spans="2:34" x14ac:dyDescent="0.3">
      <c r="B85" s="583" t="s">
        <v>955</v>
      </c>
      <c r="C85" s="581"/>
      <c r="D85" s="582">
        <f>3000*90</f>
        <v>270000</v>
      </c>
      <c r="E85" s="579"/>
      <c r="F85" s="435"/>
      <c r="G85" s="402"/>
      <c r="H85" s="402"/>
      <c r="I85" s="402"/>
      <c r="J85" s="402"/>
      <c r="K85" s="402"/>
      <c r="L85" s="402"/>
      <c r="M85" s="402"/>
      <c r="N85" s="402"/>
      <c r="O85" s="402"/>
      <c r="P85" s="402"/>
      <c r="Q85" s="402"/>
      <c r="R85" s="402"/>
      <c r="S85" s="402"/>
      <c r="T85" s="402"/>
      <c r="U85" s="402"/>
      <c r="V85" s="402"/>
      <c r="W85" s="402"/>
      <c r="X85" s="402"/>
      <c r="Y85" s="402"/>
      <c r="Z85" s="402"/>
      <c r="AA85" s="402"/>
      <c r="AB85" s="402"/>
      <c r="AC85" s="402"/>
      <c r="AD85" s="402"/>
      <c r="AE85" s="402"/>
      <c r="AF85" s="402"/>
      <c r="AG85" s="402"/>
      <c r="AH85" s="402"/>
    </row>
    <row r="86" spans="2:34" x14ac:dyDescent="0.3">
      <c r="B86" s="583" t="s">
        <v>956</v>
      </c>
      <c r="C86" s="581"/>
      <c r="D86" s="582">
        <f>C84-D85</f>
        <v>15000</v>
      </c>
      <c r="E86" s="579">
        <f>(95-90)*3000</f>
        <v>15000</v>
      </c>
      <c r="F86" s="435"/>
      <c r="G86" s="402"/>
      <c r="H86" s="402"/>
      <c r="I86" s="402"/>
      <c r="J86" s="402"/>
      <c r="K86" s="402"/>
      <c r="L86" s="402"/>
      <c r="M86" s="402"/>
      <c r="N86" s="402"/>
      <c r="O86" s="402"/>
      <c r="P86" s="402"/>
      <c r="Q86" s="402"/>
      <c r="R86" s="402"/>
      <c r="S86" s="402"/>
      <c r="T86" s="402"/>
      <c r="U86" s="402"/>
      <c r="V86" s="402"/>
      <c r="W86" s="402"/>
      <c r="X86" s="402"/>
      <c r="Y86" s="402"/>
      <c r="Z86" s="402"/>
      <c r="AA86" s="402"/>
      <c r="AB86" s="402"/>
      <c r="AC86" s="402"/>
      <c r="AD86" s="402"/>
      <c r="AE86" s="402"/>
      <c r="AF86" s="402"/>
      <c r="AG86" s="402"/>
      <c r="AH86" s="402"/>
    </row>
    <row r="87" spans="2:34" x14ac:dyDescent="0.3">
      <c r="B87" s="402"/>
      <c r="C87" s="447"/>
      <c r="D87" s="435"/>
      <c r="E87" s="450"/>
      <c r="F87" s="435"/>
      <c r="G87" s="402"/>
      <c r="H87" s="402"/>
      <c r="I87" s="402"/>
      <c r="J87" s="402"/>
      <c r="K87" s="402"/>
      <c r="L87" s="402"/>
      <c r="M87" s="402"/>
      <c r="N87" s="402"/>
      <c r="O87" s="402"/>
      <c r="P87" s="402"/>
      <c r="Q87" s="402"/>
      <c r="R87" s="402"/>
      <c r="S87" s="402"/>
      <c r="T87" s="402"/>
      <c r="U87" s="402"/>
      <c r="V87" s="402"/>
      <c r="W87" s="402"/>
      <c r="X87" s="402"/>
      <c r="Y87" s="402"/>
      <c r="Z87" s="402"/>
      <c r="AA87" s="402"/>
      <c r="AB87" s="402"/>
      <c r="AC87" s="402"/>
      <c r="AD87" s="402"/>
      <c r="AE87" s="402"/>
      <c r="AF87" s="402"/>
      <c r="AG87" s="402"/>
      <c r="AH87" s="402"/>
    </row>
    <row r="88" spans="2:34" x14ac:dyDescent="0.3">
      <c r="B88" s="402"/>
      <c r="C88" s="447"/>
      <c r="D88" s="435"/>
      <c r="E88" s="450"/>
      <c r="F88" s="435"/>
      <c r="G88" s="402"/>
      <c r="H88" s="402"/>
      <c r="I88" s="402"/>
      <c r="J88" s="402"/>
      <c r="K88" s="402"/>
      <c r="L88" s="402"/>
      <c r="M88" s="402"/>
      <c r="N88" s="402"/>
      <c r="O88" s="402"/>
      <c r="P88" s="402"/>
      <c r="Q88" s="402"/>
      <c r="R88" s="402"/>
      <c r="S88" s="402"/>
      <c r="T88" s="402"/>
      <c r="U88" s="402"/>
      <c r="V88" s="402"/>
      <c r="W88" s="402"/>
      <c r="X88" s="402"/>
      <c r="Y88" s="402"/>
      <c r="Z88" s="402"/>
      <c r="AA88" s="402"/>
      <c r="AB88" s="402"/>
      <c r="AC88" s="402"/>
      <c r="AD88" s="402"/>
      <c r="AE88" s="402"/>
      <c r="AF88" s="402"/>
      <c r="AG88" s="402"/>
      <c r="AH88" s="402"/>
    </row>
    <row r="89" spans="2:34" x14ac:dyDescent="0.3">
      <c r="B89" s="402"/>
      <c r="C89" s="447"/>
      <c r="D89" s="435"/>
      <c r="E89" s="450" t="s">
        <v>957</v>
      </c>
      <c r="F89" s="435"/>
      <c r="G89" s="402">
        <v>100</v>
      </c>
      <c r="H89" s="402"/>
      <c r="I89" s="402"/>
      <c r="J89" s="402"/>
      <c r="K89" s="402"/>
      <c r="L89" s="402"/>
      <c r="M89" s="402"/>
      <c r="N89" s="402"/>
      <c r="O89" s="402"/>
      <c r="P89" s="402"/>
      <c r="Q89" s="402"/>
      <c r="R89" s="402"/>
      <c r="S89" s="402"/>
      <c r="T89" s="402"/>
      <c r="U89" s="402"/>
      <c r="V89" s="402"/>
      <c r="W89" s="402"/>
      <c r="X89" s="402"/>
      <c r="Y89" s="402"/>
      <c r="Z89" s="402"/>
      <c r="AA89" s="402"/>
      <c r="AB89" s="402"/>
      <c r="AC89" s="402"/>
      <c r="AD89" s="402"/>
      <c r="AE89" s="402"/>
      <c r="AF89" s="402"/>
      <c r="AG89" s="402"/>
      <c r="AH89" s="402"/>
    </row>
    <row r="90" spans="2:34" x14ac:dyDescent="0.3">
      <c r="B90" s="402"/>
      <c r="C90" s="447" t="s">
        <v>958</v>
      </c>
      <c r="D90" s="435"/>
      <c r="E90" s="450" t="s">
        <v>959</v>
      </c>
      <c r="F90" s="435"/>
      <c r="G90" s="402"/>
      <c r="H90" s="402">
        <v>20</v>
      </c>
      <c r="I90" s="402"/>
      <c r="J90" s="402"/>
      <c r="K90" s="402"/>
      <c r="L90" s="402"/>
      <c r="M90" s="402"/>
      <c r="N90" s="402"/>
      <c r="O90" s="402"/>
      <c r="P90" s="402"/>
      <c r="Q90" s="402"/>
      <c r="R90" s="402"/>
      <c r="S90" s="402"/>
      <c r="T90" s="402"/>
      <c r="U90" s="402"/>
      <c r="V90" s="402"/>
      <c r="W90" s="402"/>
      <c r="X90" s="402"/>
      <c r="Y90" s="402"/>
      <c r="Z90" s="402"/>
      <c r="AA90" s="402"/>
      <c r="AB90" s="402"/>
      <c r="AC90" s="402"/>
      <c r="AD90" s="402"/>
      <c r="AE90" s="402"/>
      <c r="AF90" s="402"/>
      <c r="AG90" s="402"/>
      <c r="AH90" s="402"/>
    </row>
    <row r="91" spans="2:34" ht="15" thickBot="1" x14ac:dyDescent="0.35">
      <c r="B91" s="402"/>
      <c r="C91" s="447"/>
      <c r="D91" s="435"/>
      <c r="E91" s="450" t="s">
        <v>960</v>
      </c>
      <c r="F91" s="435"/>
      <c r="G91" s="402"/>
      <c r="H91" s="402">
        <v>80</v>
      </c>
      <c r="I91" s="402"/>
      <c r="J91" s="402"/>
      <c r="K91" s="402"/>
      <c r="L91" s="402"/>
      <c r="M91" s="402"/>
      <c r="N91" s="402"/>
      <c r="O91" s="402"/>
      <c r="P91" s="402"/>
      <c r="Q91" s="402"/>
      <c r="R91" s="402"/>
      <c r="S91" s="402"/>
      <c r="T91" s="402"/>
      <c r="U91" s="402"/>
      <c r="V91" s="402"/>
      <c r="W91" s="402"/>
      <c r="X91" s="402"/>
      <c r="Y91" s="402"/>
      <c r="Z91" s="402"/>
      <c r="AA91" s="402"/>
      <c r="AB91" s="402"/>
      <c r="AC91" s="402"/>
      <c r="AD91" s="402"/>
      <c r="AE91" s="402"/>
      <c r="AF91" s="402"/>
      <c r="AG91" s="402"/>
      <c r="AH91" s="402"/>
    </row>
    <row r="92" spans="2:34" x14ac:dyDescent="0.3">
      <c r="B92" s="842" t="s">
        <v>961</v>
      </c>
      <c r="C92" s="447"/>
      <c r="D92" s="845" t="s">
        <v>962</v>
      </c>
      <c r="E92" s="846"/>
      <c r="F92" s="435"/>
      <c r="G92" s="402"/>
      <c r="H92" s="402"/>
      <c r="I92" s="402"/>
      <c r="J92" s="402"/>
      <c r="K92" s="402"/>
      <c r="L92" s="402"/>
      <c r="M92" s="402"/>
      <c r="N92" s="402"/>
      <c r="O92" s="402"/>
      <c r="P92" s="402"/>
      <c r="Q92" s="402"/>
      <c r="R92" s="402"/>
      <c r="S92" s="402"/>
      <c r="T92" s="402"/>
      <c r="U92" s="402"/>
      <c r="V92" s="402"/>
      <c r="W92" s="402"/>
      <c r="X92" s="402"/>
      <c r="Y92" s="402"/>
      <c r="Z92" s="402"/>
      <c r="AA92" s="402"/>
      <c r="AB92" s="402"/>
      <c r="AC92" s="402"/>
      <c r="AD92" s="402"/>
      <c r="AE92" s="402"/>
      <c r="AF92" s="402"/>
      <c r="AG92" s="402"/>
      <c r="AH92" s="402"/>
    </row>
    <row r="93" spans="2:34" x14ac:dyDescent="0.3">
      <c r="B93" s="843"/>
      <c r="C93" s="447"/>
      <c r="D93" s="847"/>
      <c r="E93" s="848"/>
      <c r="F93" s="435"/>
      <c r="G93" s="402"/>
      <c r="H93" s="402"/>
      <c r="I93" s="402"/>
      <c r="J93" s="402"/>
      <c r="K93" s="402"/>
      <c r="L93" s="402"/>
      <c r="M93" s="402"/>
      <c r="N93" s="402"/>
      <c r="O93" s="402"/>
      <c r="P93" s="402"/>
      <c r="Q93" s="402"/>
      <c r="R93" s="402"/>
      <c r="S93" s="402"/>
      <c r="T93" s="402"/>
      <c r="U93" s="402"/>
      <c r="V93" s="402"/>
      <c r="W93" s="402"/>
      <c r="X93" s="402"/>
      <c r="Y93" s="402"/>
      <c r="Z93" s="402"/>
      <c r="AA93" s="402"/>
      <c r="AB93" s="402"/>
      <c r="AC93" s="402"/>
      <c r="AD93" s="402"/>
      <c r="AE93" s="402"/>
      <c r="AF93" s="402"/>
      <c r="AG93" s="402"/>
      <c r="AH93" s="402"/>
    </row>
    <row r="94" spans="2:34" x14ac:dyDescent="0.3">
      <c r="B94" s="843"/>
      <c r="C94" s="447"/>
      <c r="D94" s="847"/>
      <c r="E94" s="848"/>
      <c r="F94" s="435"/>
      <c r="G94" s="402"/>
      <c r="H94" s="402"/>
      <c r="I94" s="402"/>
      <c r="J94" s="402"/>
      <c r="K94" s="402"/>
      <c r="L94" s="402"/>
      <c r="M94" s="402"/>
      <c r="N94" s="402"/>
      <c r="O94" s="402"/>
      <c r="P94" s="402"/>
      <c r="Q94" s="402"/>
      <c r="R94" s="402"/>
      <c r="S94" s="402"/>
      <c r="T94" s="402"/>
      <c r="U94" s="402"/>
      <c r="V94" s="402"/>
      <c r="W94" s="402"/>
      <c r="X94" s="402"/>
      <c r="Y94" s="402"/>
      <c r="Z94" s="402"/>
      <c r="AA94" s="402"/>
      <c r="AB94" s="402"/>
      <c r="AC94" s="402"/>
      <c r="AD94" s="402"/>
      <c r="AE94" s="402"/>
      <c r="AF94" s="402"/>
      <c r="AG94" s="402"/>
      <c r="AH94" s="402"/>
    </row>
    <row r="95" spans="2:34" x14ac:dyDescent="0.3">
      <c r="B95" s="843"/>
      <c r="C95" s="447"/>
      <c r="D95" s="847"/>
      <c r="E95" s="848"/>
      <c r="F95" s="435"/>
      <c r="G95" s="402"/>
      <c r="H95" s="402"/>
      <c r="I95" s="402"/>
      <c r="J95" s="402"/>
      <c r="K95" s="402"/>
      <c r="L95" s="402"/>
      <c r="M95" s="402"/>
      <c r="N95" s="402"/>
      <c r="O95" s="402"/>
      <c r="P95" s="402"/>
      <c r="Q95" s="402"/>
      <c r="R95" s="402"/>
      <c r="S95" s="402"/>
      <c r="T95" s="402"/>
      <c r="U95" s="402"/>
      <c r="V95" s="402"/>
      <c r="W95" s="402"/>
      <c r="X95" s="402"/>
      <c r="Y95" s="402"/>
      <c r="Z95" s="402"/>
      <c r="AA95" s="402"/>
      <c r="AB95" s="402"/>
      <c r="AC95" s="402"/>
      <c r="AD95" s="402"/>
      <c r="AE95" s="402"/>
      <c r="AF95" s="402"/>
      <c r="AG95" s="402"/>
      <c r="AH95" s="402"/>
    </row>
    <row r="96" spans="2:34" ht="15" thickBot="1" x14ac:dyDescent="0.35">
      <c r="B96" s="844"/>
      <c r="C96" s="447"/>
      <c r="D96" s="849"/>
      <c r="E96" s="850"/>
      <c r="F96" s="435"/>
      <c r="G96" s="402"/>
      <c r="H96" s="402"/>
      <c r="I96" s="402"/>
      <c r="J96" s="402"/>
      <c r="K96" s="402"/>
      <c r="L96" s="402"/>
      <c r="M96" s="402"/>
      <c r="N96" s="402"/>
      <c r="O96" s="402"/>
      <c r="P96" s="402"/>
      <c r="Q96" s="402"/>
      <c r="R96" s="402"/>
      <c r="S96" s="402"/>
      <c r="T96" s="402"/>
      <c r="U96" s="402"/>
      <c r="V96" s="402"/>
      <c r="W96" s="402"/>
      <c r="X96" s="402"/>
      <c r="Y96" s="402"/>
      <c r="Z96" s="402"/>
      <c r="AA96" s="402"/>
      <c r="AB96" s="402"/>
      <c r="AC96" s="402"/>
      <c r="AD96" s="402"/>
      <c r="AE96" s="402"/>
      <c r="AF96" s="402"/>
      <c r="AG96" s="402"/>
      <c r="AH96" s="402"/>
    </row>
    <row r="97" spans="2:34" x14ac:dyDescent="0.3">
      <c r="B97" s="466"/>
      <c r="C97" s="447"/>
      <c r="D97" s="467"/>
      <c r="E97" s="467"/>
      <c r="F97" s="435"/>
      <c r="G97" s="402"/>
      <c r="H97" s="402"/>
      <c r="I97" s="402"/>
      <c r="J97" s="402"/>
      <c r="K97" s="402"/>
      <c r="L97" s="402"/>
      <c r="M97" s="402"/>
      <c r="N97" s="402"/>
      <c r="O97" s="402"/>
      <c r="P97" s="402"/>
      <c r="Q97" s="402"/>
      <c r="R97" s="402"/>
      <c r="S97" s="402"/>
      <c r="T97" s="402"/>
      <c r="U97" s="402"/>
      <c r="V97" s="402"/>
      <c r="W97" s="402"/>
      <c r="X97" s="402"/>
      <c r="Y97" s="402"/>
      <c r="Z97" s="402"/>
      <c r="AA97" s="402"/>
      <c r="AB97" s="402"/>
      <c r="AC97" s="402"/>
      <c r="AD97" s="402"/>
      <c r="AE97" s="402"/>
      <c r="AF97" s="402"/>
      <c r="AG97" s="402"/>
      <c r="AH97" s="402"/>
    </row>
    <row r="98" spans="2:34" ht="27.6" x14ac:dyDescent="0.3">
      <c r="B98" s="466"/>
      <c r="C98" s="447"/>
      <c r="D98" s="467"/>
      <c r="E98" s="467" t="s">
        <v>963</v>
      </c>
      <c r="F98" s="435"/>
      <c r="G98" s="402">
        <v>87</v>
      </c>
      <c r="H98" s="402"/>
      <c r="I98" s="402"/>
      <c r="J98" s="402"/>
      <c r="K98" s="402"/>
      <c r="L98" s="402"/>
      <c r="M98" s="402"/>
      <c r="N98" s="402"/>
      <c r="O98" s="402"/>
      <c r="P98" s="402"/>
      <c r="Q98" s="402"/>
      <c r="R98" s="402"/>
      <c r="S98" s="402"/>
      <c r="T98" s="402"/>
      <c r="U98" s="402"/>
      <c r="V98" s="402"/>
      <c r="W98" s="402"/>
      <c r="X98" s="402"/>
      <c r="Y98" s="402"/>
      <c r="Z98" s="402"/>
      <c r="AA98" s="402"/>
      <c r="AB98" s="402"/>
      <c r="AC98" s="402"/>
      <c r="AD98" s="402"/>
      <c r="AE98" s="402"/>
      <c r="AF98" s="402"/>
      <c r="AG98" s="402"/>
      <c r="AH98" s="402"/>
    </row>
    <row r="99" spans="2:34" ht="55.2" x14ac:dyDescent="0.3">
      <c r="B99" s="466"/>
      <c r="C99" s="447"/>
      <c r="D99" s="467"/>
      <c r="E99" s="467" t="s">
        <v>964</v>
      </c>
      <c r="F99" s="435"/>
      <c r="G99" s="402"/>
      <c r="H99" s="402">
        <v>87</v>
      </c>
      <c r="I99" s="402"/>
      <c r="J99" s="402"/>
      <c r="K99" s="402"/>
      <c r="L99" s="402"/>
      <c r="M99" s="402"/>
      <c r="N99" s="402"/>
      <c r="O99" s="402"/>
      <c r="P99" s="402"/>
      <c r="Q99" s="402"/>
      <c r="R99" s="402"/>
      <c r="S99" s="402"/>
      <c r="T99" s="402"/>
      <c r="U99" s="402"/>
      <c r="V99" s="402"/>
      <c r="W99" s="402"/>
      <c r="X99" s="402"/>
      <c r="Y99" s="402"/>
      <c r="Z99" s="402"/>
      <c r="AA99" s="402"/>
      <c r="AB99" s="402"/>
      <c r="AC99" s="402"/>
      <c r="AD99" s="402"/>
      <c r="AE99" s="402"/>
      <c r="AF99" s="402"/>
      <c r="AG99" s="402"/>
      <c r="AH99" s="402"/>
    </row>
    <row r="100" spans="2:34" x14ac:dyDescent="0.3">
      <c r="B100" s="466"/>
      <c r="C100" s="447" t="s">
        <v>965</v>
      </c>
      <c r="D100" s="467"/>
      <c r="E100" s="467"/>
      <c r="F100" s="435"/>
      <c r="G100" s="402"/>
      <c r="H100" s="402"/>
      <c r="I100" s="402"/>
      <c r="J100" s="402"/>
      <c r="K100" s="402"/>
      <c r="L100" s="402"/>
      <c r="M100" s="402"/>
      <c r="N100" s="402"/>
      <c r="O100" s="402"/>
      <c r="P100" s="402"/>
      <c r="Q100" s="402"/>
      <c r="R100" s="402"/>
      <c r="S100" s="402"/>
      <c r="T100" s="402"/>
      <c r="U100" s="402"/>
      <c r="V100" s="402"/>
      <c r="W100" s="402"/>
      <c r="X100" s="402"/>
      <c r="Y100" s="402"/>
      <c r="Z100" s="402"/>
      <c r="AA100" s="402"/>
      <c r="AB100" s="402"/>
      <c r="AC100" s="402"/>
      <c r="AD100" s="402"/>
      <c r="AE100" s="402"/>
      <c r="AF100" s="402"/>
      <c r="AG100" s="402"/>
      <c r="AH100" s="402"/>
    </row>
    <row r="101" spans="2:34" x14ac:dyDescent="0.3">
      <c r="B101" s="402"/>
      <c r="C101" s="447"/>
      <c r="D101" s="435"/>
      <c r="E101" s="450" t="s">
        <v>966</v>
      </c>
      <c r="F101" s="435"/>
      <c r="G101" s="402">
        <v>84</v>
      </c>
      <c r="H101" s="402"/>
      <c r="I101" s="402"/>
      <c r="J101" s="402"/>
      <c r="K101" s="402"/>
      <c r="L101" s="402"/>
      <c r="M101" s="402"/>
      <c r="N101" s="402"/>
      <c r="O101" s="402"/>
      <c r="P101" s="402"/>
      <c r="Q101" s="402"/>
      <c r="R101" s="402"/>
      <c r="S101" s="402"/>
      <c r="T101" s="402"/>
      <c r="U101" s="402"/>
      <c r="V101" s="402"/>
      <c r="W101" s="402"/>
      <c r="X101" s="402"/>
      <c r="Y101" s="402"/>
      <c r="Z101" s="402"/>
      <c r="AA101" s="402"/>
      <c r="AB101" s="402"/>
      <c r="AC101" s="402"/>
      <c r="AD101" s="402"/>
      <c r="AE101" s="402"/>
      <c r="AF101" s="402"/>
      <c r="AG101" s="402"/>
      <c r="AH101" s="402"/>
    </row>
    <row r="102" spans="2:34" x14ac:dyDescent="0.3">
      <c r="B102" s="402"/>
      <c r="C102" s="447"/>
      <c r="D102" s="435"/>
      <c r="E102" s="450" t="s">
        <v>967</v>
      </c>
      <c r="F102" s="435"/>
      <c r="G102" s="402"/>
      <c r="H102" s="402">
        <v>84</v>
      </c>
      <c r="I102" s="402"/>
      <c r="J102" s="402"/>
      <c r="K102" s="402"/>
      <c r="L102" s="402"/>
      <c r="M102" s="402"/>
      <c r="N102" s="402"/>
      <c r="O102" s="402"/>
      <c r="P102" s="402"/>
      <c r="Q102" s="402"/>
      <c r="R102" s="402"/>
      <c r="S102" s="402"/>
      <c r="T102" s="402"/>
      <c r="U102" s="402"/>
      <c r="V102" s="402"/>
      <c r="W102" s="402"/>
      <c r="X102" s="402"/>
      <c r="Y102" s="402"/>
      <c r="Z102" s="402"/>
      <c r="AA102" s="402"/>
      <c r="AB102" s="402"/>
      <c r="AC102" s="402"/>
      <c r="AD102" s="402"/>
      <c r="AE102" s="402"/>
      <c r="AF102" s="402"/>
      <c r="AG102" s="402"/>
      <c r="AH102" s="402"/>
    </row>
    <row r="103" spans="2:34" x14ac:dyDescent="0.3">
      <c r="B103" s="402"/>
      <c r="C103" s="447"/>
      <c r="D103" s="435"/>
      <c r="E103" s="450"/>
      <c r="F103" s="435"/>
      <c r="G103" s="402"/>
      <c r="H103" s="402"/>
      <c r="I103" s="402"/>
      <c r="J103" s="402"/>
      <c r="K103" s="402"/>
      <c r="L103" s="402"/>
      <c r="M103" s="402"/>
      <c r="N103" s="402"/>
      <c r="O103" s="402"/>
      <c r="P103" s="402"/>
      <c r="Q103" s="402"/>
      <c r="R103" s="402"/>
      <c r="S103" s="402"/>
      <c r="T103" s="402"/>
      <c r="U103" s="402"/>
      <c r="V103" s="402"/>
      <c r="W103" s="402"/>
      <c r="X103" s="402"/>
      <c r="Y103" s="402"/>
      <c r="Z103" s="402"/>
      <c r="AA103" s="402"/>
      <c r="AB103" s="402"/>
      <c r="AC103" s="402"/>
      <c r="AD103" s="402"/>
      <c r="AE103" s="402"/>
      <c r="AF103" s="402"/>
      <c r="AG103" s="402"/>
      <c r="AH103" s="402"/>
    </row>
    <row r="104" spans="2:34" x14ac:dyDescent="0.3">
      <c r="B104" s="402"/>
      <c r="C104" s="447" t="s">
        <v>968</v>
      </c>
      <c r="D104" s="435"/>
      <c r="E104" s="450" t="s">
        <v>969</v>
      </c>
      <c r="F104" s="435"/>
      <c r="G104" s="402">
        <v>93</v>
      </c>
      <c r="H104" s="402"/>
      <c r="I104" s="402"/>
      <c r="J104" s="402"/>
      <c r="K104" s="402"/>
      <c r="L104" s="402"/>
      <c r="M104" s="402"/>
      <c r="N104" s="402"/>
      <c r="O104" s="402"/>
      <c r="P104" s="402"/>
      <c r="Q104" s="402"/>
      <c r="R104" s="402"/>
      <c r="S104" s="402"/>
      <c r="T104" s="402"/>
      <c r="U104" s="402"/>
      <c r="V104" s="402"/>
      <c r="W104" s="402"/>
      <c r="X104" s="402"/>
      <c r="Y104" s="402"/>
      <c r="Z104" s="402"/>
      <c r="AA104" s="402"/>
      <c r="AB104" s="402"/>
      <c r="AC104" s="402"/>
      <c r="AD104" s="402"/>
      <c r="AE104" s="402"/>
      <c r="AF104" s="402"/>
      <c r="AG104" s="402"/>
      <c r="AH104" s="402"/>
    </row>
    <row r="105" spans="2:34" x14ac:dyDescent="0.3">
      <c r="B105" s="402"/>
      <c r="C105" s="447"/>
      <c r="D105" s="435"/>
      <c r="E105" s="450" t="s">
        <v>970</v>
      </c>
      <c r="F105" s="435"/>
      <c r="G105" s="402"/>
      <c r="H105" s="402">
        <v>84</v>
      </c>
      <c r="I105" s="402"/>
      <c r="J105" s="402"/>
      <c r="K105" s="402"/>
      <c r="L105" s="402"/>
      <c r="M105" s="402"/>
      <c r="N105" s="402"/>
      <c r="O105" s="402"/>
      <c r="P105" s="402"/>
      <c r="Q105" s="402"/>
      <c r="R105" s="402"/>
      <c r="S105" s="402"/>
      <c r="T105" s="402"/>
      <c r="U105" s="402"/>
      <c r="V105" s="402"/>
      <c r="W105" s="402"/>
      <c r="X105" s="402"/>
      <c r="Y105" s="402"/>
      <c r="Z105" s="402"/>
      <c r="AA105" s="402"/>
      <c r="AB105" s="402"/>
      <c r="AC105" s="402"/>
      <c r="AD105" s="402"/>
      <c r="AE105" s="402"/>
      <c r="AF105" s="402"/>
      <c r="AG105" s="402"/>
      <c r="AH105" s="402"/>
    </row>
    <row r="106" spans="2:34" x14ac:dyDescent="0.3">
      <c r="B106" s="402"/>
      <c r="C106" s="447"/>
      <c r="D106" s="435"/>
      <c r="E106" s="450" t="s">
        <v>971</v>
      </c>
      <c r="F106" s="435"/>
      <c r="G106" s="402"/>
      <c r="H106" s="402">
        <v>9</v>
      </c>
      <c r="I106" s="402"/>
      <c r="J106" s="402"/>
      <c r="K106" s="402"/>
      <c r="L106" s="402"/>
      <c r="M106" s="402"/>
      <c r="N106" s="402"/>
      <c r="O106" s="402"/>
      <c r="P106" s="402"/>
      <c r="Q106" s="402"/>
      <c r="R106" s="402"/>
      <c r="S106" s="402"/>
      <c r="T106" s="402"/>
      <c r="U106" s="402"/>
      <c r="V106" s="402"/>
      <c r="W106" s="402"/>
      <c r="X106" s="402"/>
      <c r="Y106" s="402"/>
      <c r="Z106" s="402"/>
      <c r="AA106" s="402"/>
      <c r="AB106" s="402"/>
      <c r="AC106" s="402"/>
      <c r="AD106" s="402"/>
      <c r="AE106" s="402"/>
      <c r="AF106" s="402"/>
      <c r="AG106" s="402"/>
      <c r="AH106" s="402"/>
    </row>
    <row r="107" spans="2:34" x14ac:dyDescent="0.3">
      <c r="B107" s="402"/>
      <c r="C107" s="447"/>
      <c r="D107" s="435"/>
      <c r="E107" s="450"/>
      <c r="F107" s="435"/>
      <c r="G107" s="402"/>
      <c r="H107" s="402"/>
      <c r="I107" s="402"/>
      <c r="J107" s="402"/>
      <c r="K107" s="402"/>
      <c r="L107" s="402"/>
      <c r="M107" s="402"/>
      <c r="N107" s="402"/>
      <c r="O107" s="402"/>
      <c r="P107" s="402"/>
      <c r="Q107" s="402"/>
      <c r="R107" s="402"/>
      <c r="S107" s="402"/>
      <c r="T107" s="402"/>
      <c r="U107" s="402"/>
      <c r="V107" s="402"/>
      <c r="W107" s="402"/>
      <c r="X107" s="402"/>
      <c r="Y107" s="402"/>
      <c r="Z107" s="402"/>
      <c r="AA107" s="402"/>
      <c r="AB107" s="402"/>
      <c r="AC107" s="402"/>
      <c r="AD107" s="402"/>
      <c r="AE107" s="402"/>
      <c r="AF107" s="402"/>
      <c r="AG107" s="402"/>
      <c r="AH107" s="402"/>
    </row>
    <row r="108" spans="2:34" x14ac:dyDescent="0.3">
      <c r="B108" s="436" t="s">
        <v>972</v>
      </c>
      <c r="C108" s="448">
        <v>1</v>
      </c>
      <c r="D108" s="468">
        <f>C108/$C$112</f>
        <v>0.25</v>
      </c>
      <c r="E108" s="447">
        <v>1</v>
      </c>
      <c r="F108" s="435"/>
      <c r="G108" s="469">
        <f>E108/E111</f>
        <v>0.33333333333333331</v>
      </c>
      <c r="H108" s="402"/>
      <c r="I108" s="402"/>
      <c r="J108" s="402"/>
      <c r="K108" s="402"/>
      <c r="L108" s="402"/>
      <c r="M108" s="402"/>
      <c r="N108" s="402"/>
      <c r="O108" s="402"/>
      <c r="P108" s="402"/>
      <c r="Q108" s="402"/>
      <c r="R108" s="402"/>
      <c r="S108" s="402"/>
      <c r="T108" s="402"/>
      <c r="U108" s="402"/>
      <c r="V108" s="402"/>
      <c r="W108" s="402"/>
      <c r="X108" s="402"/>
      <c r="Y108" s="402"/>
      <c r="Z108" s="402"/>
      <c r="AA108" s="402"/>
      <c r="AB108" s="402"/>
      <c r="AC108" s="402"/>
      <c r="AD108" s="402"/>
      <c r="AE108" s="402"/>
      <c r="AF108" s="402"/>
      <c r="AG108" s="402"/>
      <c r="AH108" s="402"/>
    </row>
    <row r="109" spans="2:34" x14ac:dyDescent="0.3">
      <c r="B109" s="436" t="s">
        <v>973</v>
      </c>
      <c r="C109" s="448">
        <v>1</v>
      </c>
      <c r="D109" s="468">
        <f>C109/$C$112</f>
        <v>0.25</v>
      </c>
      <c r="E109" s="447">
        <v>1</v>
      </c>
      <c r="F109" s="435"/>
      <c r="G109" s="402"/>
      <c r="H109" s="402"/>
      <c r="I109" s="402"/>
      <c r="J109" s="402"/>
      <c r="K109" s="402"/>
      <c r="L109" s="402"/>
      <c r="M109" s="402"/>
      <c r="N109" s="402"/>
      <c r="O109" s="402"/>
      <c r="P109" s="402"/>
      <c r="Q109" s="402"/>
      <c r="R109" s="402"/>
      <c r="S109" s="402"/>
      <c r="T109" s="402"/>
      <c r="U109" s="402"/>
      <c r="V109" s="402"/>
      <c r="W109" s="402"/>
      <c r="X109" s="402"/>
      <c r="Y109" s="402"/>
      <c r="Z109" s="402"/>
      <c r="AA109" s="402"/>
      <c r="AB109" s="402"/>
      <c r="AC109" s="402"/>
      <c r="AD109" s="402"/>
      <c r="AE109" s="402"/>
      <c r="AF109" s="402"/>
      <c r="AG109" s="402"/>
      <c r="AH109" s="402"/>
    </row>
    <row r="110" spans="2:34" x14ac:dyDescent="0.3">
      <c r="B110" s="436" t="s">
        <v>974</v>
      </c>
      <c r="C110" s="448">
        <v>1</v>
      </c>
      <c r="D110" s="468">
        <f>C110/$C$112</f>
        <v>0.25</v>
      </c>
      <c r="E110" s="447">
        <v>1</v>
      </c>
      <c r="F110" s="435"/>
      <c r="G110" s="402"/>
      <c r="H110" s="402"/>
      <c r="I110" s="402"/>
      <c r="J110" s="402"/>
      <c r="K110" s="402"/>
      <c r="L110" s="402"/>
      <c r="M110" s="402"/>
      <c r="N110" s="402"/>
      <c r="O110" s="402"/>
      <c r="P110" s="402"/>
      <c r="Q110" s="402"/>
      <c r="R110" s="402"/>
      <c r="S110" s="402"/>
      <c r="T110" s="402"/>
      <c r="U110" s="402"/>
      <c r="V110" s="402"/>
      <c r="W110" s="402"/>
      <c r="X110" s="402"/>
      <c r="Y110" s="402"/>
      <c r="Z110" s="402"/>
      <c r="AA110" s="402"/>
      <c r="AB110" s="402"/>
      <c r="AC110" s="402"/>
      <c r="AD110" s="402"/>
      <c r="AE110" s="402"/>
      <c r="AF110" s="402"/>
      <c r="AG110" s="402"/>
      <c r="AH110" s="402"/>
    </row>
    <row r="111" spans="2:34" x14ac:dyDescent="0.3">
      <c r="B111" s="436" t="s">
        <v>975</v>
      </c>
      <c r="C111" s="448">
        <v>1</v>
      </c>
      <c r="D111" s="468">
        <f>C111/$C$112</f>
        <v>0.25</v>
      </c>
      <c r="E111" s="470">
        <f>SUM(E108:E110)</f>
        <v>3</v>
      </c>
      <c r="F111" s="471">
        <v>1</v>
      </c>
      <c r="G111" s="402">
        <v>100</v>
      </c>
      <c r="H111" s="402">
        <f>G111/G112</f>
        <v>25</v>
      </c>
      <c r="I111" s="402"/>
      <c r="J111" s="402"/>
      <c r="K111" s="402"/>
      <c r="L111" s="402"/>
      <c r="M111" s="402"/>
      <c r="N111" s="402"/>
      <c r="O111" s="402"/>
      <c r="P111" s="402"/>
      <c r="Q111" s="402"/>
      <c r="R111" s="402"/>
      <c r="S111" s="402"/>
      <c r="T111" s="402"/>
      <c r="U111" s="402"/>
      <c r="V111" s="402"/>
      <c r="W111" s="402"/>
      <c r="X111" s="402"/>
      <c r="Y111" s="402"/>
      <c r="Z111" s="402"/>
      <c r="AA111" s="402"/>
      <c r="AB111" s="402"/>
      <c r="AC111" s="402"/>
      <c r="AD111" s="402"/>
      <c r="AE111" s="402"/>
      <c r="AF111" s="402"/>
      <c r="AG111" s="402"/>
      <c r="AH111" s="402"/>
    </row>
    <row r="112" spans="2:34" x14ac:dyDescent="0.3">
      <c r="B112" s="436"/>
      <c r="C112" s="448">
        <f>SUM(C108:C111)</f>
        <v>4</v>
      </c>
      <c r="D112" s="474">
        <f>SUM(D108:D111)</f>
        <v>1</v>
      </c>
      <c r="E112" s="450"/>
      <c r="F112" s="435"/>
      <c r="G112" s="402">
        <v>4</v>
      </c>
      <c r="H112" s="402"/>
      <c r="I112" s="402"/>
      <c r="J112" s="402"/>
      <c r="K112" s="402"/>
      <c r="L112" s="402"/>
      <c r="M112" s="402"/>
      <c r="N112" s="402"/>
      <c r="O112" s="402"/>
      <c r="P112" s="402"/>
      <c r="Q112" s="402"/>
      <c r="R112" s="402"/>
      <c r="S112" s="402"/>
      <c r="T112" s="402"/>
      <c r="U112" s="402"/>
      <c r="V112" s="402"/>
      <c r="W112" s="402"/>
      <c r="X112" s="402"/>
      <c r="Y112" s="402"/>
      <c r="Z112" s="402"/>
      <c r="AA112" s="402"/>
      <c r="AB112" s="402"/>
      <c r="AC112" s="402"/>
      <c r="AD112" s="402"/>
      <c r="AE112" s="402"/>
      <c r="AF112" s="402"/>
      <c r="AG112" s="402"/>
      <c r="AH112" s="402"/>
    </row>
    <row r="113" spans="2:34" x14ac:dyDescent="0.3">
      <c r="B113" s="402"/>
      <c r="C113" s="447"/>
      <c r="D113" s="435"/>
      <c r="E113" s="450"/>
      <c r="F113" s="435"/>
      <c r="G113" s="402"/>
      <c r="H113" s="402"/>
      <c r="I113" s="402"/>
      <c r="J113" s="402"/>
      <c r="K113" s="402"/>
      <c r="L113" s="402"/>
      <c r="M113" s="402"/>
      <c r="N113" s="402"/>
      <c r="O113" s="402"/>
      <c r="P113" s="402"/>
      <c r="Q113" s="402"/>
      <c r="R113" s="402"/>
      <c r="S113" s="402"/>
      <c r="T113" s="402"/>
      <c r="U113" s="402"/>
      <c r="V113" s="402"/>
      <c r="W113" s="402"/>
      <c r="X113" s="402"/>
      <c r="Y113" s="402"/>
      <c r="Z113" s="402"/>
      <c r="AA113" s="402"/>
      <c r="AB113" s="402"/>
      <c r="AC113" s="402"/>
      <c r="AD113" s="402"/>
      <c r="AE113" s="402"/>
      <c r="AF113" s="402"/>
      <c r="AG113" s="402"/>
      <c r="AH113" s="402"/>
    </row>
    <row r="114" spans="2:34" x14ac:dyDescent="0.3">
      <c r="B114" s="402"/>
      <c r="C114" s="447"/>
      <c r="D114" s="435"/>
      <c r="E114" s="450"/>
      <c r="F114" s="435"/>
      <c r="G114" s="402"/>
      <c r="H114" s="402"/>
      <c r="I114" s="402"/>
      <c r="J114" s="402"/>
      <c r="K114" s="402"/>
      <c r="L114" s="402"/>
      <c r="M114" s="402"/>
      <c r="N114" s="402"/>
      <c r="O114" s="402"/>
      <c r="P114" s="402"/>
      <c r="Q114" s="402"/>
      <c r="R114" s="402"/>
      <c r="S114" s="402"/>
      <c r="T114" s="402"/>
      <c r="U114" s="402"/>
      <c r="V114" s="402"/>
      <c r="W114" s="402"/>
      <c r="X114" s="402"/>
      <c r="Y114" s="402"/>
      <c r="Z114" s="402"/>
      <c r="AA114" s="402"/>
      <c r="AB114" s="402"/>
      <c r="AC114" s="402"/>
      <c r="AD114" s="402"/>
      <c r="AE114" s="402"/>
      <c r="AF114" s="402"/>
      <c r="AG114" s="402"/>
      <c r="AH114" s="402"/>
    </row>
    <row r="115" spans="2:34" x14ac:dyDescent="0.3">
      <c r="B115" s="402"/>
      <c r="C115" s="447"/>
      <c r="D115" s="435"/>
      <c r="E115" s="450"/>
      <c r="F115" s="435"/>
      <c r="G115" s="402"/>
      <c r="H115" s="402"/>
      <c r="I115" s="402"/>
      <c r="J115" s="402"/>
      <c r="K115" s="402"/>
      <c r="L115" s="402"/>
      <c r="M115" s="402"/>
      <c r="N115" s="402"/>
      <c r="O115" s="402"/>
      <c r="P115" s="402"/>
      <c r="Q115" s="402"/>
      <c r="R115" s="402"/>
      <c r="S115" s="402"/>
      <c r="T115" s="402"/>
      <c r="U115" s="402"/>
      <c r="V115" s="402"/>
      <c r="W115" s="402"/>
      <c r="X115" s="402"/>
      <c r="Y115" s="402"/>
      <c r="Z115" s="402"/>
      <c r="AA115" s="402"/>
      <c r="AB115" s="402"/>
      <c r="AC115" s="402"/>
      <c r="AD115" s="402"/>
      <c r="AE115" s="402"/>
      <c r="AF115" s="402"/>
      <c r="AG115" s="402"/>
      <c r="AH115" s="402"/>
    </row>
    <row r="116" spans="2:34" x14ac:dyDescent="0.3">
      <c r="B116" s="402"/>
      <c r="C116" s="447"/>
      <c r="D116" s="435"/>
      <c r="E116" s="450"/>
      <c r="F116" s="435"/>
      <c r="G116" s="402"/>
      <c r="H116" s="402"/>
      <c r="I116" s="402"/>
      <c r="J116" s="402"/>
      <c r="K116" s="402"/>
      <c r="L116" s="402"/>
      <c r="M116" s="402"/>
      <c r="N116" s="402"/>
      <c r="O116" s="402"/>
      <c r="P116" s="402"/>
      <c r="Q116" s="402"/>
      <c r="R116" s="402"/>
      <c r="S116" s="402"/>
      <c r="T116" s="402"/>
      <c r="U116" s="402"/>
      <c r="V116" s="402"/>
      <c r="W116" s="402"/>
      <c r="X116" s="402"/>
      <c r="Y116" s="402"/>
      <c r="Z116" s="402"/>
      <c r="AA116" s="402"/>
      <c r="AB116" s="402"/>
      <c r="AC116" s="402"/>
      <c r="AD116" s="402"/>
      <c r="AE116" s="402"/>
      <c r="AF116" s="402"/>
      <c r="AG116" s="402"/>
      <c r="AH116" s="402"/>
    </row>
    <row r="117" spans="2:34" x14ac:dyDescent="0.3">
      <c r="B117" s="402"/>
      <c r="C117" s="447"/>
      <c r="D117" s="435"/>
      <c r="E117" s="450"/>
      <c r="F117" s="435"/>
      <c r="G117" s="402"/>
      <c r="H117" s="402"/>
      <c r="I117" s="402"/>
      <c r="J117" s="402"/>
      <c r="K117" s="402"/>
      <c r="L117" s="402"/>
      <c r="M117" s="402"/>
      <c r="N117" s="402"/>
      <c r="O117" s="402"/>
      <c r="P117" s="402"/>
      <c r="Q117" s="402"/>
      <c r="R117" s="402"/>
      <c r="S117" s="402"/>
      <c r="T117" s="402"/>
      <c r="U117" s="402"/>
      <c r="V117" s="402"/>
      <c r="W117" s="402"/>
      <c r="X117" s="402"/>
      <c r="Y117" s="402"/>
      <c r="Z117" s="402"/>
      <c r="AA117" s="402"/>
      <c r="AB117" s="402"/>
      <c r="AC117" s="402"/>
      <c r="AD117" s="402"/>
      <c r="AE117" s="402"/>
      <c r="AF117" s="402"/>
      <c r="AG117" s="402"/>
      <c r="AH117" s="402"/>
    </row>
    <row r="118" spans="2:34" x14ac:dyDescent="0.3">
      <c r="B118" s="402"/>
      <c r="C118" s="447"/>
      <c r="D118" s="435"/>
      <c r="E118" s="450"/>
      <c r="F118" s="435"/>
      <c r="G118" s="402"/>
      <c r="H118" s="402"/>
      <c r="I118" s="402"/>
      <c r="J118" s="402"/>
      <c r="K118" s="402"/>
      <c r="L118" s="402"/>
      <c r="M118" s="402"/>
      <c r="N118" s="402"/>
      <c r="O118" s="402"/>
      <c r="P118" s="402"/>
      <c r="Q118" s="402"/>
      <c r="R118" s="402"/>
      <c r="S118" s="402"/>
      <c r="T118" s="402"/>
      <c r="U118" s="402"/>
      <c r="V118" s="402"/>
      <c r="W118" s="402"/>
      <c r="X118" s="402"/>
      <c r="Y118" s="402"/>
      <c r="Z118" s="402"/>
      <c r="AA118" s="402"/>
      <c r="AB118" s="402"/>
      <c r="AC118" s="402"/>
      <c r="AD118" s="402"/>
      <c r="AE118" s="402"/>
      <c r="AF118" s="402"/>
      <c r="AG118" s="402"/>
      <c r="AH118" s="402"/>
    </row>
    <row r="119" spans="2:34" x14ac:dyDescent="0.3">
      <c r="B119" s="402"/>
      <c r="C119" s="447"/>
      <c r="D119" s="435"/>
      <c r="E119" s="450"/>
      <c r="F119" s="435"/>
      <c r="G119" s="402"/>
      <c r="H119" s="402"/>
      <c r="I119" s="402"/>
      <c r="J119" s="402"/>
      <c r="K119" s="402"/>
      <c r="L119" s="402"/>
      <c r="M119" s="402"/>
      <c r="N119" s="402"/>
      <c r="O119" s="402"/>
      <c r="P119" s="402"/>
      <c r="Q119" s="402"/>
      <c r="R119" s="402"/>
      <c r="S119" s="402"/>
      <c r="T119" s="402"/>
      <c r="U119" s="402"/>
      <c r="V119" s="402"/>
      <c r="W119" s="402"/>
      <c r="X119" s="402"/>
      <c r="Y119" s="402"/>
      <c r="Z119" s="402"/>
      <c r="AA119" s="402"/>
      <c r="AB119" s="402"/>
      <c r="AC119" s="402"/>
      <c r="AD119" s="402"/>
      <c r="AE119" s="402"/>
      <c r="AF119" s="402"/>
      <c r="AG119" s="402"/>
      <c r="AH119" s="402"/>
    </row>
    <row r="120" spans="2:34" x14ac:dyDescent="0.3">
      <c r="B120" s="402"/>
      <c r="C120" s="447"/>
      <c r="D120" s="435"/>
      <c r="E120" s="450"/>
      <c r="F120" s="435"/>
      <c r="G120" s="402"/>
      <c r="H120" s="402"/>
      <c r="I120" s="402"/>
      <c r="J120" s="402"/>
      <c r="K120" s="402"/>
      <c r="L120" s="402"/>
      <c r="M120" s="402"/>
      <c r="N120" s="402"/>
      <c r="O120" s="402"/>
      <c r="P120" s="402"/>
      <c r="Q120" s="402"/>
      <c r="R120" s="402"/>
      <c r="S120" s="402"/>
      <c r="T120" s="402"/>
      <c r="U120" s="402"/>
      <c r="V120" s="402"/>
      <c r="W120" s="402"/>
      <c r="X120" s="402"/>
      <c r="Y120" s="402"/>
      <c r="Z120" s="402"/>
      <c r="AA120" s="402"/>
      <c r="AB120" s="402"/>
      <c r="AC120" s="402"/>
      <c r="AD120" s="402"/>
      <c r="AE120" s="402"/>
      <c r="AF120" s="402"/>
      <c r="AG120" s="402"/>
      <c r="AH120" s="402"/>
    </row>
    <row r="121" spans="2:34" x14ac:dyDescent="0.3">
      <c r="B121" s="402"/>
      <c r="C121" s="447"/>
      <c r="D121" s="435"/>
      <c r="E121" s="450"/>
      <c r="F121" s="435"/>
      <c r="G121" s="402"/>
      <c r="H121" s="402"/>
      <c r="I121" s="402"/>
      <c r="J121" s="402"/>
      <c r="K121" s="402"/>
      <c r="L121" s="402"/>
      <c r="M121" s="402"/>
      <c r="N121" s="402"/>
      <c r="O121" s="402"/>
      <c r="P121" s="402"/>
      <c r="Q121" s="402"/>
      <c r="R121" s="402"/>
      <c r="S121" s="402"/>
      <c r="T121" s="402"/>
      <c r="U121" s="402"/>
      <c r="V121" s="402"/>
      <c r="W121" s="402"/>
      <c r="X121" s="402"/>
      <c r="Y121" s="402"/>
      <c r="Z121" s="402"/>
      <c r="AA121" s="402"/>
      <c r="AB121" s="402"/>
      <c r="AC121" s="402"/>
      <c r="AD121" s="402"/>
      <c r="AE121" s="402"/>
      <c r="AF121" s="402"/>
      <c r="AG121" s="402"/>
      <c r="AH121" s="402"/>
    </row>
    <row r="122" spans="2:34" x14ac:dyDescent="0.3">
      <c r="B122" s="402" t="s">
        <v>976</v>
      </c>
      <c r="C122" s="447"/>
      <c r="D122" s="435"/>
      <c r="E122" s="450"/>
      <c r="F122" s="435"/>
      <c r="G122" s="402"/>
      <c r="H122" s="402"/>
      <c r="I122" s="402"/>
      <c r="J122" s="402"/>
      <c r="K122" s="402"/>
      <c r="L122" s="402"/>
      <c r="M122" s="402"/>
      <c r="N122" s="402"/>
      <c r="O122" s="402"/>
      <c r="P122" s="402"/>
      <c r="Q122" s="402"/>
      <c r="R122" s="402"/>
      <c r="S122" s="402"/>
      <c r="T122" s="402"/>
      <c r="U122" s="402"/>
      <c r="V122" s="402"/>
      <c r="W122" s="402"/>
      <c r="X122" s="402"/>
      <c r="Y122" s="402"/>
      <c r="Z122" s="402"/>
      <c r="AA122" s="402"/>
      <c r="AB122" s="402"/>
      <c r="AC122" s="402"/>
      <c r="AD122" s="402"/>
      <c r="AE122" s="402"/>
      <c r="AF122" s="402"/>
      <c r="AG122" s="402"/>
      <c r="AH122" s="402"/>
    </row>
    <row r="123" spans="2:34" x14ac:dyDescent="0.3">
      <c r="B123" s="402"/>
      <c r="C123" s="447" t="s">
        <v>414</v>
      </c>
      <c r="D123" s="435" t="s">
        <v>977</v>
      </c>
      <c r="E123" s="450"/>
      <c r="F123" s="435"/>
      <c r="G123" s="402"/>
      <c r="H123" s="402"/>
      <c r="I123" s="402"/>
      <c r="J123" s="402"/>
      <c r="K123" s="402"/>
      <c r="L123" s="402"/>
      <c r="M123" s="402"/>
      <c r="N123" s="402"/>
      <c r="O123" s="402"/>
      <c r="P123" s="402"/>
      <c r="Q123" s="402"/>
      <c r="R123" s="402"/>
      <c r="S123" s="402"/>
      <c r="T123" s="402"/>
      <c r="U123" s="402"/>
      <c r="V123" s="402"/>
      <c r="W123" s="402"/>
      <c r="X123" s="402"/>
      <c r="Y123" s="402"/>
      <c r="Z123" s="402"/>
      <c r="AA123" s="402"/>
      <c r="AB123" s="402"/>
      <c r="AC123" s="402"/>
      <c r="AD123" s="402"/>
      <c r="AE123" s="402"/>
      <c r="AF123" s="402"/>
      <c r="AG123" s="402"/>
      <c r="AH123" s="402"/>
    </row>
    <row r="124" spans="2:34" x14ac:dyDescent="0.3">
      <c r="B124" s="436" t="s">
        <v>978</v>
      </c>
      <c r="C124" s="449">
        <f>10000*90</f>
        <v>900000</v>
      </c>
      <c r="D124" s="449"/>
      <c r="E124" s="450"/>
      <c r="F124" s="435"/>
      <c r="G124" s="402"/>
      <c r="H124" s="402"/>
      <c r="I124" s="402"/>
      <c r="J124" s="402"/>
      <c r="K124" s="402"/>
      <c r="L124" s="402"/>
      <c r="M124" s="402"/>
      <c r="N124" s="402"/>
      <c r="O124" s="402"/>
      <c r="P124" s="402"/>
      <c r="Q124" s="402"/>
      <c r="R124" s="402"/>
      <c r="S124" s="402"/>
      <c r="T124" s="402"/>
      <c r="U124" s="402"/>
      <c r="V124" s="402"/>
      <c r="W124" s="402"/>
      <c r="X124" s="402"/>
      <c r="Y124" s="402"/>
      <c r="Z124" s="402"/>
      <c r="AA124" s="402"/>
      <c r="AB124" s="402"/>
      <c r="AC124" s="402"/>
      <c r="AD124" s="402"/>
      <c r="AE124" s="402"/>
      <c r="AF124" s="402"/>
      <c r="AG124" s="402"/>
      <c r="AH124" s="402"/>
    </row>
    <row r="125" spans="2:34" x14ac:dyDescent="0.3">
      <c r="B125" s="436" t="s">
        <v>979</v>
      </c>
      <c r="C125" s="448"/>
      <c r="D125" s="449">
        <f>C124</f>
        <v>900000</v>
      </c>
      <c r="E125" s="450"/>
      <c r="F125" s="435"/>
      <c r="G125" s="402"/>
      <c r="H125" s="402"/>
      <c r="I125" s="402"/>
      <c r="J125" s="402"/>
      <c r="K125" s="402"/>
      <c r="L125" s="402"/>
      <c r="M125" s="402"/>
      <c r="N125" s="402"/>
      <c r="O125" s="402"/>
      <c r="P125" s="402"/>
      <c r="Q125" s="402"/>
      <c r="R125" s="402"/>
      <c r="S125" s="402"/>
      <c r="T125" s="402"/>
      <c r="U125" s="402"/>
      <c r="V125" s="402"/>
      <c r="W125" s="402"/>
      <c r="X125" s="402"/>
      <c r="Y125" s="402"/>
      <c r="Z125" s="402"/>
      <c r="AA125" s="402"/>
      <c r="AB125" s="402"/>
      <c r="AC125" s="402"/>
      <c r="AD125" s="402"/>
      <c r="AE125" s="402"/>
      <c r="AF125" s="402"/>
      <c r="AG125" s="402"/>
      <c r="AH125" s="402"/>
    </row>
    <row r="126" spans="2:34" x14ac:dyDescent="0.3">
      <c r="B126" s="402"/>
      <c r="C126" s="447"/>
      <c r="D126" s="435"/>
      <c r="E126" s="450"/>
      <c r="F126" s="435"/>
      <c r="G126" s="402"/>
      <c r="H126" s="402"/>
      <c r="I126" s="402"/>
      <c r="J126" s="402"/>
      <c r="K126" s="402"/>
      <c r="L126" s="402"/>
      <c r="M126" s="402"/>
      <c r="N126" s="402"/>
      <c r="O126" s="402"/>
      <c r="P126" s="402"/>
      <c r="Q126" s="402"/>
      <c r="R126" s="402"/>
      <c r="S126" s="402"/>
      <c r="T126" s="402"/>
      <c r="U126" s="402"/>
      <c r="V126" s="402"/>
      <c r="W126" s="402"/>
      <c r="X126" s="402"/>
      <c r="Y126" s="402"/>
      <c r="Z126" s="402"/>
      <c r="AA126" s="402"/>
      <c r="AB126" s="402"/>
      <c r="AC126" s="402"/>
      <c r="AD126" s="402"/>
      <c r="AE126" s="402"/>
      <c r="AF126" s="402"/>
      <c r="AG126" s="402"/>
      <c r="AH126" s="402"/>
    </row>
    <row r="127" spans="2:34" x14ac:dyDescent="0.3">
      <c r="B127" s="402" t="s">
        <v>980</v>
      </c>
      <c r="C127" s="447"/>
      <c r="D127" s="435"/>
      <c r="E127" s="450"/>
      <c r="F127" s="435"/>
      <c r="G127" s="402"/>
      <c r="H127" s="402"/>
      <c r="I127" s="402"/>
      <c r="J127" s="402"/>
      <c r="K127" s="402"/>
      <c r="L127" s="402"/>
      <c r="M127" s="402"/>
      <c r="N127" s="402"/>
      <c r="O127" s="402"/>
      <c r="P127" s="402"/>
      <c r="Q127" s="402"/>
      <c r="R127" s="402"/>
      <c r="S127" s="402"/>
      <c r="T127" s="402"/>
      <c r="U127" s="402"/>
      <c r="V127" s="402"/>
      <c r="W127" s="402"/>
      <c r="X127" s="402"/>
      <c r="Y127" s="402"/>
      <c r="Z127" s="402"/>
      <c r="AA127" s="402"/>
      <c r="AB127" s="402"/>
      <c r="AC127" s="402"/>
      <c r="AD127" s="402"/>
      <c r="AE127" s="402"/>
      <c r="AF127" s="402"/>
      <c r="AG127" s="402"/>
      <c r="AH127" s="402"/>
    </row>
    <row r="128" spans="2:34" x14ac:dyDescent="0.3">
      <c r="B128" s="436" t="s">
        <v>981</v>
      </c>
      <c r="C128" s="448">
        <v>100</v>
      </c>
      <c r="D128" s="449"/>
      <c r="E128" s="450"/>
      <c r="F128" s="435"/>
      <c r="G128" s="402"/>
      <c r="H128" s="402"/>
      <c r="I128" s="402"/>
      <c r="J128" s="402"/>
      <c r="K128" s="402"/>
      <c r="L128" s="402"/>
      <c r="M128" s="402"/>
      <c r="N128" s="402"/>
      <c r="O128" s="402"/>
      <c r="P128" s="402"/>
      <c r="Q128" s="402"/>
      <c r="R128" s="402"/>
      <c r="S128" s="402"/>
      <c r="T128" s="402"/>
      <c r="U128" s="402"/>
      <c r="V128" s="402"/>
      <c r="W128" s="402"/>
      <c r="X128" s="402"/>
      <c r="Y128" s="402"/>
      <c r="Z128" s="402"/>
      <c r="AA128" s="402"/>
      <c r="AB128" s="402"/>
      <c r="AC128" s="402"/>
      <c r="AD128" s="402"/>
      <c r="AE128" s="402"/>
      <c r="AF128" s="402"/>
      <c r="AG128" s="402"/>
      <c r="AH128" s="402"/>
    </row>
    <row r="129" spans="2:34" x14ac:dyDescent="0.3">
      <c r="B129" s="436" t="s">
        <v>982</v>
      </c>
      <c r="C129" s="448"/>
      <c r="D129" s="449">
        <v>20</v>
      </c>
      <c r="E129" s="450"/>
      <c r="F129" s="435"/>
      <c r="G129" s="402"/>
      <c r="H129" s="402"/>
      <c r="I129" s="402"/>
      <c r="J129" s="402"/>
      <c r="K129" s="402"/>
      <c r="L129" s="402"/>
      <c r="M129" s="402"/>
      <c r="N129" s="402"/>
      <c r="O129" s="402"/>
      <c r="P129" s="402"/>
      <c r="Q129" s="402"/>
      <c r="R129" s="402"/>
      <c r="S129" s="402"/>
      <c r="T129" s="402"/>
      <c r="U129" s="402"/>
      <c r="V129" s="402"/>
      <c r="W129" s="402"/>
      <c r="X129" s="402"/>
      <c r="Y129" s="402"/>
      <c r="Z129" s="402"/>
      <c r="AA129" s="402"/>
      <c r="AB129" s="402"/>
      <c r="AC129" s="402"/>
      <c r="AD129" s="402"/>
      <c r="AE129" s="402"/>
      <c r="AF129" s="402"/>
      <c r="AG129" s="402"/>
      <c r="AH129" s="402"/>
    </row>
    <row r="130" spans="2:34" x14ac:dyDescent="0.3">
      <c r="B130" s="436" t="s">
        <v>983</v>
      </c>
      <c r="C130" s="448"/>
      <c r="D130" s="449">
        <v>30</v>
      </c>
      <c r="E130" s="450"/>
      <c r="F130" s="435"/>
      <c r="G130" s="402"/>
      <c r="H130" s="402"/>
      <c r="I130" s="402"/>
      <c r="J130" s="402"/>
      <c r="K130" s="402"/>
      <c r="L130" s="402"/>
      <c r="M130" s="402"/>
      <c r="N130" s="402"/>
      <c r="O130" s="402"/>
      <c r="P130" s="402"/>
      <c r="Q130" s="402"/>
      <c r="R130" s="402"/>
      <c r="S130" s="402"/>
      <c r="T130" s="402"/>
      <c r="U130" s="402"/>
      <c r="V130" s="402"/>
      <c r="W130" s="402"/>
      <c r="X130" s="402"/>
      <c r="Y130" s="402"/>
      <c r="Z130" s="402"/>
      <c r="AA130" s="402"/>
      <c r="AB130" s="402"/>
      <c r="AC130" s="402"/>
      <c r="AD130" s="402"/>
      <c r="AE130" s="402"/>
      <c r="AF130" s="402"/>
      <c r="AG130" s="402"/>
      <c r="AH130" s="402"/>
    </row>
    <row r="131" spans="2:34" x14ac:dyDescent="0.3">
      <c r="B131" s="436" t="s">
        <v>984</v>
      </c>
      <c r="C131" s="448"/>
      <c r="D131" s="449">
        <v>50</v>
      </c>
      <c r="E131" s="450"/>
      <c r="F131" s="435"/>
      <c r="G131" s="402"/>
      <c r="H131" s="402"/>
      <c r="I131" s="402"/>
      <c r="J131" s="402"/>
      <c r="K131" s="402"/>
      <c r="L131" s="402"/>
      <c r="M131" s="402"/>
      <c r="N131" s="402"/>
      <c r="O131" s="402"/>
      <c r="P131" s="402"/>
      <c r="Q131" s="402"/>
      <c r="R131" s="402"/>
      <c r="S131" s="402"/>
      <c r="T131" s="402"/>
      <c r="U131" s="402"/>
      <c r="V131" s="402"/>
      <c r="W131" s="402"/>
      <c r="X131" s="402"/>
      <c r="Y131" s="402"/>
      <c r="Z131" s="402"/>
      <c r="AA131" s="402"/>
      <c r="AB131" s="402"/>
      <c r="AC131" s="402"/>
      <c r="AD131" s="402"/>
      <c r="AE131" s="402"/>
      <c r="AF131" s="402"/>
      <c r="AG131" s="402"/>
      <c r="AH131" s="402"/>
    </row>
    <row r="132" spans="2:34" x14ac:dyDescent="0.3">
      <c r="B132" s="402"/>
      <c r="C132" s="447"/>
      <c r="D132" s="435"/>
      <c r="E132" s="450"/>
      <c r="F132" s="435"/>
      <c r="G132" s="402"/>
      <c r="H132" s="402"/>
      <c r="I132" s="402"/>
      <c r="J132" s="402"/>
      <c r="K132" s="402"/>
      <c r="L132" s="402"/>
      <c r="M132" s="402"/>
      <c r="N132" s="402"/>
      <c r="O132" s="402"/>
      <c r="P132" s="402"/>
      <c r="Q132" s="402"/>
      <c r="R132" s="402"/>
      <c r="S132" s="402"/>
      <c r="T132" s="402"/>
      <c r="U132" s="402"/>
      <c r="V132" s="402"/>
      <c r="W132" s="402"/>
      <c r="X132" s="402"/>
      <c r="Y132" s="402"/>
      <c r="Z132" s="402"/>
      <c r="AA132" s="402"/>
      <c r="AB132" s="402"/>
      <c r="AC132" s="402"/>
      <c r="AD132" s="402"/>
      <c r="AE132" s="402"/>
      <c r="AF132" s="402"/>
      <c r="AG132" s="402"/>
      <c r="AH132" s="402"/>
    </row>
    <row r="133" spans="2:34" x14ac:dyDescent="0.3">
      <c r="B133" s="436" t="s">
        <v>985</v>
      </c>
      <c r="C133" s="448">
        <v>10</v>
      </c>
      <c r="D133" s="449"/>
      <c r="E133" s="450"/>
      <c r="F133" s="435"/>
      <c r="G133" s="402"/>
      <c r="H133" s="402"/>
      <c r="I133" s="402"/>
      <c r="J133" s="402"/>
      <c r="K133" s="402"/>
      <c r="L133" s="402"/>
      <c r="M133" s="402"/>
      <c r="N133" s="402"/>
      <c r="O133" s="402"/>
      <c r="P133" s="402"/>
      <c r="Q133" s="402"/>
      <c r="R133" s="402"/>
      <c r="S133" s="402"/>
      <c r="T133" s="402"/>
      <c r="U133" s="402"/>
      <c r="V133" s="402"/>
      <c r="W133" s="402"/>
      <c r="X133" s="402"/>
      <c r="Y133" s="402"/>
      <c r="Z133" s="402"/>
      <c r="AA133" s="402"/>
      <c r="AB133" s="402"/>
      <c r="AC133" s="402"/>
      <c r="AD133" s="402"/>
      <c r="AE133" s="402"/>
      <c r="AF133" s="402"/>
      <c r="AG133" s="402"/>
      <c r="AH133" s="402"/>
    </row>
    <row r="134" spans="2:34" x14ac:dyDescent="0.3">
      <c r="B134" s="436" t="s">
        <v>986</v>
      </c>
      <c r="C134" s="448"/>
      <c r="D134" s="449">
        <v>10</v>
      </c>
      <c r="E134" s="450"/>
      <c r="F134" s="435"/>
      <c r="G134" s="402"/>
      <c r="H134" s="402"/>
      <c r="I134" s="402"/>
      <c r="J134" s="402"/>
      <c r="K134" s="402"/>
      <c r="L134" s="402"/>
      <c r="M134" s="402"/>
      <c r="N134" s="402"/>
      <c r="O134" s="402"/>
      <c r="P134" s="402"/>
      <c r="Q134" s="402"/>
      <c r="R134" s="402"/>
      <c r="S134" s="402"/>
      <c r="T134" s="402"/>
      <c r="U134" s="402"/>
      <c r="V134" s="402"/>
      <c r="W134" s="402"/>
      <c r="X134" s="402"/>
      <c r="Y134" s="402"/>
      <c r="Z134" s="402"/>
      <c r="AA134" s="402"/>
      <c r="AB134" s="402"/>
      <c r="AC134" s="402"/>
      <c r="AD134" s="402"/>
      <c r="AE134" s="402"/>
      <c r="AF134" s="402"/>
      <c r="AG134" s="402"/>
      <c r="AH134" s="402"/>
    </row>
    <row r="135" spans="2:34" x14ac:dyDescent="0.3">
      <c r="B135" s="402"/>
      <c r="C135" s="447"/>
      <c r="D135" s="435"/>
      <c r="E135" s="450"/>
      <c r="F135" s="435"/>
      <c r="G135" s="402"/>
      <c r="H135" s="402"/>
      <c r="I135" s="402"/>
      <c r="J135" s="402"/>
      <c r="K135" s="402"/>
      <c r="L135" s="402"/>
      <c r="M135" s="402"/>
      <c r="N135" s="402"/>
      <c r="O135" s="402"/>
      <c r="P135" s="402"/>
      <c r="Q135" s="402"/>
      <c r="R135" s="402"/>
      <c r="S135" s="402"/>
      <c r="T135" s="402"/>
      <c r="U135" s="402"/>
      <c r="V135" s="402"/>
      <c r="W135" s="402"/>
      <c r="X135" s="402"/>
      <c r="Y135" s="402"/>
      <c r="Z135" s="402"/>
      <c r="AA135" s="402"/>
      <c r="AB135" s="402"/>
      <c r="AC135" s="402"/>
      <c r="AD135" s="402"/>
      <c r="AE135" s="402"/>
      <c r="AF135" s="402"/>
      <c r="AG135" s="402"/>
      <c r="AH135" s="402"/>
    </row>
    <row r="136" spans="2:34" x14ac:dyDescent="0.3">
      <c r="B136" s="402"/>
      <c r="C136" s="447"/>
      <c r="D136" s="435"/>
      <c r="E136" s="450"/>
      <c r="F136" s="435"/>
      <c r="G136" s="402"/>
      <c r="H136" s="402"/>
      <c r="I136" s="402"/>
      <c r="J136" s="402"/>
      <c r="K136" s="402"/>
      <c r="L136" s="402"/>
      <c r="M136" s="402"/>
      <c r="N136" s="402"/>
      <c r="O136" s="402"/>
      <c r="P136" s="402"/>
      <c r="Q136" s="402"/>
      <c r="R136" s="402"/>
      <c r="S136" s="402"/>
      <c r="T136" s="402"/>
      <c r="U136" s="402"/>
      <c r="V136" s="402"/>
      <c r="W136" s="402"/>
      <c r="X136" s="402"/>
      <c r="Y136" s="402"/>
      <c r="Z136" s="402"/>
      <c r="AA136" s="402"/>
      <c r="AB136" s="402"/>
      <c r="AC136" s="402"/>
      <c r="AD136" s="402"/>
      <c r="AE136" s="402"/>
      <c r="AF136" s="402"/>
      <c r="AG136" s="402"/>
      <c r="AH136" s="402"/>
    </row>
    <row r="137" spans="2:34" x14ac:dyDescent="0.3">
      <c r="B137" s="402"/>
      <c r="C137" s="447"/>
      <c r="D137" s="435"/>
      <c r="E137" s="450"/>
      <c r="F137" s="435"/>
      <c r="G137" s="402"/>
      <c r="H137" s="402"/>
      <c r="I137" s="402"/>
      <c r="J137" s="402"/>
      <c r="K137" s="402"/>
      <c r="L137" s="402"/>
      <c r="M137" s="402"/>
      <c r="N137" s="402"/>
      <c r="O137" s="402"/>
      <c r="P137" s="402"/>
      <c r="Q137" s="402"/>
      <c r="R137" s="402"/>
      <c r="S137" s="402"/>
      <c r="T137" s="402"/>
      <c r="U137" s="402"/>
      <c r="V137" s="402"/>
      <c r="W137" s="402"/>
      <c r="X137" s="402"/>
      <c r="Y137" s="402"/>
      <c r="Z137" s="402"/>
      <c r="AA137" s="402"/>
      <c r="AB137" s="402"/>
      <c r="AC137" s="402"/>
      <c r="AD137" s="402"/>
      <c r="AE137" s="402"/>
      <c r="AF137" s="402"/>
      <c r="AG137" s="402"/>
      <c r="AH137" s="402"/>
    </row>
    <row r="138" spans="2:34" x14ac:dyDescent="0.3">
      <c r="B138" s="402"/>
      <c r="C138" s="447"/>
      <c r="D138" s="435"/>
      <c r="E138" s="450"/>
      <c r="F138" s="435"/>
      <c r="G138" s="402"/>
      <c r="H138" s="402"/>
      <c r="I138" s="402"/>
      <c r="J138" s="402"/>
      <c r="K138" s="402"/>
      <c r="L138" s="402"/>
      <c r="M138" s="402"/>
      <c r="N138" s="402"/>
      <c r="O138" s="402"/>
      <c r="P138" s="402"/>
      <c r="Q138" s="402"/>
      <c r="R138" s="402"/>
      <c r="S138" s="402"/>
      <c r="T138" s="402"/>
      <c r="U138" s="402"/>
      <c r="V138" s="402"/>
      <c r="W138" s="402"/>
      <c r="X138" s="402"/>
      <c r="Y138" s="402"/>
      <c r="Z138" s="402"/>
      <c r="AA138" s="402"/>
      <c r="AB138" s="402"/>
      <c r="AC138" s="402"/>
      <c r="AD138" s="402"/>
      <c r="AE138" s="402"/>
      <c r="AF138" s="402"/>
      <c r="AG138" s="402"/>
      <c r="AH138" s="402"/>
    </row>
    <row r="139" spans="2:34" x14ac:dyDescent="0.3">
      <c r="B139" s="402"/>
      <c r="C139" s="447"/>
      <c r="D139" s="435"/>
      <c r="E139" s="450"/>
      <c r="F139" s="435"/>
      <c r="G139" s="402"/>
      <c r="H139" s="402"/>
      <c r="I139" s="402"/>
      <c r="J139" s="402"/>
      <c r="K139" s="402"/>
      <c r="L139" s="402"/>
      <c r="M139" s="402"/>
      <c r="N139" s="402"/>
      <c r="O139" s="402"/>
      <c r="P139" s="402"/>
      <c r="Q139" s="402"/>
      <c r="R139" s="402"/>
      <c r="S139" s="402"/>
      <c r="T139" s="402"/>
      <c r="U139" s="402"/>
      <c r="V139" s="402"/>
      <c r="W139" s="402"/>
      <c r="X139" s="402"/>
      <c r="Y139" s="402"/>
      <c r="Z139" s="402"/>
      <c r="AA139" s="402"/>
      <c r="AB139" s="402"/>
      <c r="AC139" s="402"/>
      <c r="AD139" s="402"/>
      <c r="AE139" s="402"/>
      <c r="AF139" s="402"/>
      <c r="AG139" s="402"/>
      <c r="AH139" s="402"/>
    </row>
    <row r="140" spans="2:34" x14ac:dyDescent="0.3">
      <c r="B140" s="402"/>
      <c r="C140" s="447"/>
      <c r="D140" s="435"/>
      <c r="E140" s="450"/>
      <c r="F140" s="435"/>
      <c r="G140" s="402"/>
      <c r="H140" s="402"/>
      <c r="I140" s="402"/>
      <c r="J140" s="402"/>
      <c r="K140" s="402"/>
      <c r="L140" s="402"/>
      <c r="M140" s="402"/>
      <c r="N140" s="402"/>
      <c r="O140" s="402"/>
      <c r="P140" s="402"/>
      <c r="Q140" s="402"/>
      <c r="R140" s="402"/>
      <c r="S140" s="402"/>
      <c r="T140" s="402"/>
      <c r="U140" s="402"/>
      <c r="V140" s="402"/>
      <c r="W140" s="402"/>
      <c r="X140" s="402"/>
      <c r="Y140" s="402"/>
      <c r="Z140" s="402"/>
      <c r="AA140" s="402"/>
      <c r="AB140" s="402"/>
      <c r="AC140" s="402"/>
      <c r="AD140" s="402"/>
      <c r="AE140" s="402"/>
      <c r="AF140" s="402"/>
      <c r="AG140" s="402"/>
      <c r="AH140" s="402"/>
    </row>
    <row r="141" spans="2:34" x14ac:dyDescent="0.3">
      <c r="B141" s="402"/>
      <c r="C141" s="447"/>
      <c r="D141" s="435"/>
      <c r="E141" s="450"/>
      <c r="F141" s="435"/>
      <c r="G141" s="402"/>
      <c r="H141" s="402"/>
      <c r="I141" s="402"/>
      <c r="J141" s="402"/>
      <c r="K141" s="402"/>
      <c r="L141" s="402"/>
      <c r="M141" s="402"/>
      <c r="N141" s="402"/>
      <c r="O141" s="402"/>
      <c r="P141" s="402"/>
      <c r="Q141" s="402"/>
      <c r="R141" s="402"/>
      <c r="S141" s="402"/>
      <c r="T141" s="402"/>
      <c r="U141" s="402"/>
      <c r="V141" s="402"/>
      <c r="W141" s="402"/>
      <c r="X141" s="402"/>
      <c r="Y141" s="402"/>
      <c r="Z141" s="402"/>
      <c r="AA141" s="402"/>
      <c r="AB141" s="402"/>
      <c r="AC141" s="402"/>
      <c r="AD141" s="402"/>
      <c r="AE141" s="402"/>
      <c r="AF141" s="402"/>
      <c r="AG141" s="402"/>
      <c r="AH141" s="402"/>
    </row>
    <row r="142" spans="2:34" x14ac:dyDescent="0.3">
      <c r="B142" s="402"/>
      <c r="C142" s="447"/>
      <c r="D142" s="435"/>
      <c r="E142" s="450"/>
      <c r="F142" s="435"/>
      <c r="G142" s="402"/>
      <c r="H142" s="402"/>
      <c r="I142" s="402"/>
      <c r="J142" s="402"/>
      <c r="K142" s="402"/>
      <c r="L142" s="402"/>
      <c r="M142" s="402"/>
      <c r="N142" s="402"/>
      <c r="O142" s="402"/>
      <c r="P142" s="402"/>
      <c r="Q142" s="402"/>
      <c r="R142" s="402"/>
      <c r="S142" s="402"/>
      <c r="T142" s="402"/>
      <c r="U142" s="402"/>
      <c r="V142" s="402"/>
      <c r="W142" s="402"/>
      <c r="X142" s="402"/>
      <c r="Y142" s="402"/>
      <c r="Z142" s="402"/>
      <c r="AA142" s="402"/>
      <c r="AB142" s="402"/>
      <c r="AC142" s="402"/>
      <c r="AD142" s="402"/>
      <c r="AE142" s="402"/>
      <c r="AF142" s="402"/>
      <c r="AG142" s="402"/>
      <c r="AH142" s="402"/>
    </row>
    <row r="143" spans="2:34" x14ac:dyDescent="0.3">
      <c r="B143" s="402"/>
      <c r="C143" s="447"/>
      <c r="D143" s="435"/>
      <c r="E143" s="450"/>
      <c r="F143" s="435"/>
      <c r="G143" s="402"/>
      <c r="H143" s="402"/>
      <c r="I143" s="402"/>
      <c r="J143" s="402"/>
      <c r="K143" s="402"/>
      <c r="L143" s="402"/>
      <c r="M143" s="402"/>
      <c r="N143" s="402"/>
      <c r="O143" s="402"/>
      <c r="P143" s="402"/>
      <c r="Q143" s="402"/>
      <c r="R143" s="402"/>
      <c r="S143" s="402"/>
      <c r="T143" s="402"/>
      <c r="U143" s="402"/>
      <c r="V143" s="402"/>
      <c r="W143" s="402"/>
      <c r="X143" s="402"/>
      <c r="Y143" s="402"/>
      <c r="Z143" s="402"/>
      <c r="AA143" s="402"/>
      <c r="AB143" s="402"/>
      <c r="AC143" s="402"/>
      <c r="AD143" s="402"/>
      <c r="AE143" s="402"/>
      <c r="AF143" s="402"/>
      <c r="AG143" s="402"/>
      <c r="AH143" s="402"/>
    </row>
    <row r="144" spans="2:34" x14ac:dyDescent="0.3">
      <c r="B144" s="402"/>
      <c r="C144" s="447"/>
      <c r="D144" s="435"/>
      <c r="E144" s="450"/>
      <c r="F144" s="435"/>
      <c r="G144" s="402"/>
      <c r="H144" s="402"/>
      <c r="I144" s="402"/>
      <c r="J144" s="402"/>
      <c r="K144" s="402"/>
      <c r="L144" s="402"/>
      <c r="M144" s="402"/>
      <c r="N144" s="402"/>
      <c r="O144" s="402"/>
      <c r="P144" s="402"/>
      <c r="Q144" s="402"/>
      <c r="R144" s="402"/>
      <c r="S144" s="402"/>
      <c r="T144" s="402"/>
      <c r="U144" s="402"/>
      <c r="V144" s="402"/>
      <c r="W144" s="402"/>
      <c r="X144" s="402"/>
      <c r="Y144" s="402"/>
      <c r="Z144" s="402"/>
      <c r="AA144" s="402"/>
      <c r="AB144" s="402"/>
      <c r="AC144" s="402"/>
      <c r="AD144" s="402"/>
      <c r="AE144" s="402"/>
      <c r="AF144" s="402"/>
      <c r="AG144" s="402"/>
      <c r="AH144" s="402"/>
    </row>
    <row r="145" spans="2:34" x14ac:dyDescent="0.3">
      <c r="B145" s="402"/>
      <c r="C145" s="447"/>
      <c r="D145" s="435"/>
      <c r="E145" s="450"/>
      <c r="F145" s="435"/>
      <c r="G145" s="402"/>
      <c r="H145" s="402"/>
      <c r="I145" s="402"/>
      <c r="J145" s="402"/>
      <c r="K145" s="402"/>
      <c r="L145" s="402"/>
      <c r="M145" s="402"/>
      <c r="N145" s="402"/>
      <c r="O145" s="402"/>
      <c r="P145" s="402"/>
      <c r="Q145" s="402"/>
      <c r="R145" s="402"/>
      <c r="S145" s="402"/>
      <c r="T145" s="402"/>
      <c r="U145" s="402"/>
      <c r="V145" s="402"/>
      <c r="W145" s="402"/>
      <c r="X145" s="402"/>
      <c r="Y145" s="402"/>
      <c r="Z145" s="402"/>
      <c r="AA145" s="402"/>
      <c r="AB145" s="402"/>
      <c r="AC145" s="402"/>
      <c r="AD145" s="402"/>
      <c r="AE145" s="402"/>
      <c r="AF145" s="402"/>
      <c r="AG145" s="402"/>
      <c r="AH145" s="402"/>
    </row>
    <row r="146" spans="2:34" x14ac:dyDescent="0.3">
      <c r="B146" s="402"/>
      <c r="C146" s="447"/>
      <c r="D146" s="435"/>
      <c r="E146" s="450"/>
      <c r="F146" s="435"/>
      <c r="G146" s="402"/>
      <c r="H146" s="402"/>
      <c r="I146" s="402"/>
      <c r="J146" s="402"/>
      <c r="K146" s="402"/>
      <c r="L146" s="402"/>
      <c r="M146" s="402"/>
      <c r="N146" s="402"/>
      <c r="O146" s="402"/>
      <c r="P146" s="402"/>
      <c r="Q146" s="402"/>
      <c r="R146" s="402"/>
      <c r="S146" s="402"/>
      <c r="T146" s="402"/>
      <c r="U146" s="402"/>
      <c r="V146" s="402"/>
      <c r="W146" s="402"/>
      <c r="X146" s="402"/>
      <c r="Y146" s="402"/>
      <c r="Z146" s="402"/>
      <c r="AA146" s="402"/>
      <c r="AB146" s="402"/>
      <c r="AC146" s="402"/>
      <c r="AD146" s="402"/>
      <c r="AE146" s="402"/>
      <c r="AF146" s="402"/>
      <c r="AG146" s="402"/>
      <c r="AH146" s="402"/>
    </row>
    <row r="147" spans="2:34" x14ac:dyDescent="0.3">
      <c r="B147" s="402"/>
      <c r="C147" s="447"/>
      <c r="D147" s="435"/>
      <c r="E147" s="450"/>
      <c r="F147" s="435"/>
      <c r="G147" s="402"/>
      <c r="H147" s="402"/>
      <c r="I147" s="402"/>
      <c r="J147" s="402"/>
      <c r="K147" s="402"/>
      <c r="L147" s="402"/>
      <c r="M147" s="402"/>
      <c r="N147" s="402"/>
      <c r="O147" s="402"/>
      <c r="P147" s="402"/>
      <c r="Q147" s="402"/>
      <c r="R147" s="402"/>
      <c r="S147" s="402"/>
      <c r="T147" s="402"/>
      <c r="U147" s="402"/>
      <c r="V147" s="402"/>
      <c r="W147" s="402"/>
      <c r="X147" s="402"/>
      <c r="Y147" s="402"/>
      <c r="Z147" s="402"/>
      <c r="AA147" s="402"/>
      <c r="AB147" s="402"/>
      <c r="AC147" s="402"/>
      <c r="AD147" s="402"/>
      <c r="AE147" s="402"/>
      <c r="AF147" s="402"/>
      <c r="AG147" s="402"/>
      <c r="AH147" s="402"/>
    </row>
    <row r="148" spans="2:34" x14ac:dyDescent="0.3">
      <c r="B148" s="402"/>
      <c r="C148" s="447"/>
      <c r="D148" s="435"/>
      <c r="E148" s="450"/>
      <c r="F148" s="435"/>
      <c r="G148" s="402"/>
      <c r="H148" s="402"/>
      <c r="I148" s="402"/>
      <c r="J148" s="402"/>
      <c r="K148" s="402"/>
      <c r="L148" s="402"/>
      <c r="M148" s="402"/>
      <c r="N148" s="402"/>
      <c r="O148" s="402"/>
      <c r="P148" s="402"/>
      <c r="Q148" s="402"/>
      <c r="R148" s="402"/>
      <c r="S148" s="402"/>
      <c r="T148" s="402"/>
      <c r="U148" s="402"/>
      <c r="V148" s="402"/>
      <c r="W148" s="402"/>
      <c r="X148" s="402"/>
      <c r="Y148" s="402"/>
      <c r="Z148" s="402"/>
      <c r="AA148" s="402"/>
      <c r="AB148" s="402"/>
      <c r="AC148" s="402"/>
      <c r="AD148" s="402"/>
      <c r="AE148" s="402"/>
      <c r="AF148" s="402"/>
      <c r="AG148" s="402"/>
      <c r="AH148" s="402"/>
    </row>
    <row r="149" spans="2:34" x14ac:dyDescent="0.3">
      <c r="B149" s="402"/>
      <c r="C149" s="447"/>
      <c r="D149" s="435"/>
      <c r="E149" s="450"/>
      <c r="F149" s="435"/>
      <c r="G149" s="402"/>
      <c r="H149" s="402"/>
      <c r="I149" s="402"/>
      <c r="J149" s="402"/>
      <c r="K149" s="402"/>
      <c r="L149" s="402"/>
      <c r="M149" s="402"/>
      <c r="N149" s="402"/>
      <c r="O149" s="402"/>
      <c r="P149" s="402"/>
      <c r="Q149" s="402"/>
      <c r="R149" s="402"/>
      <c r="S149" s="402"/>
      <c r="T149" s="402"/>
      <c r="U149" s="402"/>
      <c r="V149" s="402"/>
      <c r="W149" s="402"/>
      <c r="X149" s="402"/>
      <c r="Y149" s="402"/>
      <c r="Z149" s="402"/>
      <c r="AA149" s="402"/>
      <c r="AB149" s="402"/>
      <c r="AC149" s="402"/>
      <c r="AD149" s="402"/>
      <c r="AE149" s="402"/>
      <c r="AF149" s="402"/>
      <c r="AG149" s="402"/>
      <c r="AH149" s="402"/>
    </row>
    <row r="150" spans="2:34" x14ac:dyDescent="0.3">
      <c r="B150" s="402"/>
      <c r="C150" s="447"/>
      <c r="D150" s="435"/>
      <c r="E150" s="450"/>
      <c r="F150" s="435"/>
      <c r="G150" s="402"/>
      <c r="H150" s="402"/>
      <c r="I150" s="402"/>
      <c r="J150" s="402"/>
      <c r="K150" s="402"/>
      <c r="L150" s="402"/>
      <c r="M150" s="402"/>
      <c r="N150" s="402"/>
      <c r="O150" s="402"/>
      <c r="P150" s="402"/>
      <c r="Q150" s="402"/>
      <c r="R150" s="402"/>
      <c r="S150" s="402"/>
      <c r="T150" s="402"/>
      <c r="U150" s="402"/>
      <c r="V150" s="402"/>
      <c r="W150" s="402"/>
      <c r="X150" s="402"/>
      <c r="Y150" s="402"/>
      <c r="Z150" s="402"/>
      <c r="AA150" s="402"/>
      <c r="AB150" s="402"/>
      <c r="AC150" s="402"/>
      <c r="AD150" s="402"/>
      <c r="AE150" s="402"/>
      <c r="AF150" s="402"/>
      <c r="AG150" s="402"/>
      <c r="AH150" s="402"/>
    </row>
    <row r="151" spans="2:34" x14ac:dyDescent="0.3">
      <c r="B151" s="402"/>
      <c r="C151" s="447"/>
      <c r="D151" s="435"/>
      <c r="E151" s="450"/>
      <c r="F151" s="435"/>
      <c r="G151" s="402"/>
      <c r="H151" s="402"/>
      <c r="I151" s="402"/>
      <c r="J151" s="402"/>
      <c r="K151" s="402"/>
      <c r="L151" s="402"/>
      <c r="M151" s="402"/>
      <c r="N151" s="402"/>
      <c r="O151" s="402"/>
      <c r="P151" s="402"/>
      <c r="Q151" s="402"/>
      <c r="R151" s="402"/>
      <c r="S151" s="402"/>
      <c r="T151" s="402"/>
      <c r="U151" s="402"/>
      <c r="V151" s="402"/>
      <c r="W151" s="402"/>
      <c r="X151" s="402"/>
      <c r="Y151" s="402"/>
      <c r="Z151" s="402"/>
      <c r="AA151" s="402"/>
      <c r="AB151" s="402"/>
      <c r="AC151" s="402"/>
      <c r="AD151" s="402"/>
      <c r="AE151" s="402"/>
      <c r="AF151" s="402"/>
      <c r="AG151" s="402"/>
      <c r="AH151" s="402"/>
    </row>
    <row r="152" spans="2:34" x14ac:dyDescent="0.3">
      <c r="B152" s="402"/>
      <c r="C152" s="447"/>
      <c r="D152" s="435"/>
      <c r="E152" s="450"/>
      <c r="F152" s="435"/>
      <c r="G152" s="402"/>
      <c r="H152" s="402"/>
      <c r="I152" s="402"/>
      <c r="J152" s="402"/>
      <c r="K152" s="402"/>
      <c r="L152" s="402"/>
      <c r="M152" s="402"/>
      <c r="N152" s="402"/>
      <c r="O152" s="402"/>
      <c r="P152" s="402"/>
      <c r="Q152" s="402"/>
      <c r="R152" s="402"/>
      <c r="S152" s="402"/>
      <c r="T152" s="402"/>
      <c r="U152" s="402"/>
      <c r="V152" s="402"/>
      <c r="W152" s="402"/>
      <c r="X152" s="402"/>
      <c r="Y152" s="402"/>
      <c r="Z152" s="402"/>
      <c r="AA152" s="402"/>
      <c r="AB152" s="402"/>
      <c r="AC152" s="402"/>
      <c r="AD152" s="402"/>
      <c r="AE152" s="402"/>
      <c r="AF152" s="402"/>
      <c r="AG152" s="402"/>
      <c r="AH152" s="402"/>
    </row>
    <row r="153" spans="2:34" x14ac:dyDescent="0.3">
      <c r="B153" s="402"/>
      <c r="C153" s="447"/>
      <c r="D153" s="435"/>
      <c r="E153" s="450"/>
      <c r="F153" s="435"/>
      <c r="G153" s="402"/>
      <c r="H153" s="402"/>
      <c r="I153" s="402"/>
      <c r="J153" s="402"/>
      <c r="K153" s="402"/>
      <c r="L153" s="402"/>
      <c r="M153" s="402"/>
      <c r="N153" s="402"/>
      <c r="O153" s="402"/>
      <c r="P153" s="402"/>
      <c r="Q153" s="402"/>
      <c r="R153" s="402"/>
      <c r="S153" s="402"/>
      <c r="T153" s="402"/>
      <c r="U153" s="402"/>
      <c r="V153" s="402"/>
      <c r="W153" s="402"/>
      <c r="X153" s="402"/>
      <c r="Y153" s="402"/>
      <c r="Z153" s="402"/>
      <c r="AA153" s="402"/>
      <c r="AB153" s="402"/>
      <c r="AC153" s="402"/>
      <c r="AD153" s="402"/>
      <c r="AE153" s="402"/>
      <c r="AF153" s="402"/>
      <c r="AG153" s="402"/>
      <c r="AH153" s="402"/>
    </row>
    <row r="154" spans="2:34" x14ac:dyDescent="0.3">
      <c r="B154" s="402"/>
      <c r="C154" s="447"/>
      <c r="D154" s="435"/>
      <c r="E154" s="450"/>
      <c r="F154" s="435"/>
      <c r="G154" s="402"/>
      <c r="H154" s="402"/>
      <c r="I154" s="402"/>
      <c r="J154" s="402"/>
      <c r="K154" s="402"/>
      <c r="L154" s="402"/>
      <c r="M154" s="402"/>
      <c r="N154" s="402"/>
      <c r="O154" s="402"/>
      <c r="P154" s="402"/>
      <c r="Q154" s="402"/>
      <c r="R154" s="402"/>
      <c r="S154" s="402"/>
      <c r="T154" s="402"/>
      <c r="U154" s="402"/>
      <c r="V154" s="402"/>
      <c r="W154" s="402"/>
      <c r="X154" s="402"/>
      <c r="Y154" s="402"/>
      <c r="Z154" s="402"/>
      <c r="AA154" s="402"/>
      <c r="AB154" s="402"/>
      <c r="AC154" s="402"/>
      <c r="AD154" s="402"/>
      <c r="AE154" s="402"/>
      <c r="AF154" s="402"/>
      <c r="AG154" s="402"/>
      <c r="AH154" s="402"/>
    </row>
    <row r="155" spans="2:34" x14ac:dyDescent="0.3">
      <c r="B155" s="402"/>
      <c r="C155" s="447"/>
      <c r="D155" s="435"/>
      <c r="E155" s="450"/>
      <c r="F155" s="435"/>
      <c r="G155" s="402"/>
      <c r="H155" s="402"/>
      <c r="I155" s="402"/>
      <c r="J155" s="402"/>
      <c r="K155" s="402"/>
      <c r="L155" s="402"/>
      <c r="M155" s="402"/>
      <c r="N155" s="402"/>
      <c r="O155" s="402"/>
      <c r="P155" s="402"/>
      <c r="Q155" s="402"/>
      <c r="R155" s="402"/>
      <c r="S155" s="402"/>
      <c r="T155" s="402"/>
      <c r="U155" s="402"/>
      <c r="V155" s="402"/>
      <c r="W155" s="402"/>
      <c r="X155" s="402"/>
      <c r="Y155" s="402"/>
      <c r="Z155" s="402"/>
      <c r="AA155" s="402"/>
      <c r="AB155" s="402"/>
      <c r="AC155" s="402"/>
      <c r="AD155" s="402"/>
      <c r="AE155" s="402"/>
      <c r="AF155" s="402"/>
      <c r="AG155" s="402"/>
      <c r="AH155" s="402"/>
    </row>
    <row r="156" spans="2:34" x14ac:dyDescent="0.3">
      <c r="B156" s="402"/>
      <c r="C156" s="447"/>
      <c r="D156" s="435"/>
      <c r="E156" s="450"/>
      <c r="F156" s="435"/>
      <c r="G156" s="402"/>
      <c r="H156" s="402"/>
      <c r="I156" s="402"/>
      <c r="J156" s="402"/>
      <c r="K156" s="402"/>
      <c r="L156" s="402"/>
      <c r="M156" s="402"/>
      <c r="N156" s="402"/>
      <c r="O156" s="402"/>
      <c r="P156" s="402"/>
      <c r="Q156" s="402"/>
      <c r="R156" s="402"/>
      <c r="S156" s="402"/>
      <c r="T156" s="402"/>
      <c r="U156" s="402"/>
      <c r="V156" s="402"/>
      <c r="W156" s="402"/>
      <c r="X156" s="402"/>
      <c r="Y156" s="402"/>
      <c r="Z156" s="402"/>
      <c r="AA156" s="402"/>
      <c r="AB156" s="402"/>
      <c r="AC156" s="402"/>
      <c r="AD156" s="402"/>
      <c r="AE156" s="402"/>
      <c r="AF156" s="402"/>
      <c r="AG156" s="402"/>
      <c r="AH156" s="402"/>
    </row>
    <row r="157" spans="2:34" x14ac:dyDescent="0.3">
      <c r="B157" s="402"/>
      <c r="C157" s="447"/>
      <c r="D157" s="435"/>
      <c r="E157" s="450"/>
      <c r="F157" s="435"/>
      <c r="G157" s="402"/>
      <c r="H157" s="402"/>
      <c r="I157" s="402"/>
      <c r="J157" s="402"/>
      <c r="K157" s="402"/>
      <c r="L157" s="402"/>
      <c r="M157" s="402"/>
      <c r="N157" s="402"/>
      <c r="O157" s="402"/>
      <c r="P157" s="402"/>
      <c r="Q157" s="402"/>
      <c r="R157" s="402"/>
      <c r="S157" s="402"/>
      <c r="T157" s="402"/>
      <c r="U157" s="402"/>
      <c r="V157" s="402"/>
      <c r="W157" s="402"/>
      <c r="X157" s="402"/>
      <c r="Y157" s="402"/>
      <c r="Z157" s="402"/>
      <c r="AA157" s="402"/>
      <c r="AB157" s="402"/>
      <c r="AC157" s="402"/>
      <c r="AD157" s="402"/>
      <c r="AE157" s="402"/>
      <c r="AF157" s="402"/>
      <c r="AG157" s="402"/>
      <c r="AH157" s="402"/>
    </row>
    <row r="158" spans="2:34" x14ac:dyDescent="0.3">
      <c r="B158" s="402"/>
      <c r="C158" s="447"/>
      <c r="D158" s="435"/>
      <c r="E158" s="450"/>
      <c r="F158" s="435"/>
      <c r="G158" s="402"/>
      <c r="H158" s="402"/>
      <c r="I158" s="402"/>
      <c r="J158" s="402"/>
      <c r="K158" s="402"/>
      <c r="L158" s="402"/>
      <c r="M158" s="402"/>
      <c r="N158" s="402"/>
      <c r="O158" s="402"/>
      <c r="P158" s="402"/>
      <c r="Q158" s="402"/>
      <c r="R158" s="402"/>
      <c r="S158" s="402"/>
      <c r="T158" s="402"/>
      <c r="U158" s="402"/>
      <c r="V158" s="402"/>
      <c r="W158" s="402"/>
      <c r="X158" s="402"/>
      <c r="Y158" s="402"/>
      <c r="Z158" s="402"/>
      <c r="AA158" s="402"/>
      <c r="AB158" s="402"/>
      <c r="AC158" s="402"/>
      <c r="AD158" s="402"/>
      <c r="AE158" s="402"/>
      <c r="AF158" s="402"/>
      <c r="AG158" s="402"/>
      <c r="AH158" s="402"/>
    </row>
  </sheetData>
  <mergeCells count="12">
    <mergeCell ref="E55:E57"/>
    <mergeCell ref="K70:M70"/>
    <mergeCell ref="B92:B96"/>
    <mergeCell ref="D92:E96"/>
    <mergeCell ref="B8:M8"/>
    <mergeCell ref="B9:M9"/>
    <mergeCell ref="C10:E10"/>
    <mergeCell ref="G10:I10"/>
    <mergeCell ref="K10:M10"/>
    <mergeCell ref="C46:D46"/>
    <mergeCell ref="H46:I46"/>
    <mergeCell ref="L46:M46"/>
  </mergeCells>
  <pageMargins left="0.7" right="0.7" top="0.75" bottom="0.75" header="0.3" footer="0.3"/>
  <pageSetup orientation="portrait" verticalDpi="0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H158"/>
  <sheetViews>
    <sheetView topLeftCell="A43" workbookViewId="0">
      <selection activeCell="M29" sqref="M29"/>
    </sheetView>
  </sheetViews>
  <sheetFormatPr baseColWidth="10" defaultColWidth="11.44140625" defaultRowHeight="14.4" x14ac:dyDescent="0.3"/>
  <cols>
    <col min="1" max="1" width="3.33203125" style="400" customWidth="1"/>
    <col min="2" max="2" width="51.109375" style="400" customWidth="1"/>
    <col min="3" max="3" width="12.44140625" style="397" customWidth="1"/>
    <col min="4" max="4" width="12.44140625" style="398" customWidth="1"/>
    <col min="5" max="5" width="15.109375" style="399" customWidth="1"/>
    <col min="6" max="6" width="2.44140625" style="398" customWidth="1"/>
    <col min="7" max="7" width="13.109375" style="400" customWidth="1"/>
    <col min="8" max="8" width="24.5546875" style="400" customWidth="1"/>
    <col min="9" max="9" width="14" style="400" customWidth="1"/>
    <col min="10" max="10" width="2.44140625" style="400" customWidth="1"/>
    <col min="11" max="11" width="12.5546875" style="400" customWidth="1"/>
    <col min="12" max="12" width="12.6640625" style="400" bestFit="1" customWidth="1"/>
    <col min="13" max="13" width="16.44140625" style="400" customWidth="1"/>
    <col min="14" max="14" width="12.88671875" style="400" bestFit="1" customWidth="1"/>
    <col min="15" max="16" width="11.44140625" style="400"/>
    <col min="17" max="17" width="13.44140625" style="400" bestFit="1" customWidth="1"/>
    <col min="18" max="21" width="11.44140625" style="400"/>
    <col min="22" max="22" width="19.6640625" style="400" customWidth="1"/>
    <col min="23" max="16384" width="11.44140625" style="400"/>
  </cols>
  <sheetData>
    <row r="1" spans="2:34" x14ac:dyDescent="0.3">
      <c r="B1" s="472" t="s">
        <v>861</v>
      </c>
    </row>
    <row r="2" spans="2:34" x14ac:dyDescent="0.3">
      <c r="B2" s="400" t="s">
        <v>18</v>
      </c>
      <c r="C2" s="398"/>
      <c r="E2" s="399">
        <v>125000</v>
      </c>
      <c r="M2" s="398">
        <f>C2+D79</f>
        <v>20526000</v>
      </c>
    </row>
    <row r="3" spans="2:34" x14ac:dyDescent="0.3">
      <c r="B3" s="400" t="s">
        <v>862</v>
      </c>
      <c r="C3" s="397" t="s">
        <v>863</v>
      </c>
      <c r="F3" s="398" t="s">
        <v>864</v>
      </c>
      <c r="I3" s="397"/>
      <c r="J3" s="400" t="s">
        <v>761</v>
      </c>
      <c r="M3" s="401"/>
    </row>
    <row r="4" spans="2:34" x14ac:dyDescent="0.3">
      <c r="F4" s="398" t="s">
        <v>865</v>
      </c>
      <c r="M4" s="401"/>
    </row>
    <row r="5" spans="2:34" x14ac:dyDescent="0.3">
      <c r="M5" s="401"/>
    </row>
    <row r="6" spans="2:34" x14ac:dyDescent="0.3">
      <c r="M6" s="401"/>
    </row>
    <row r="8" spans="2:34" x14ac:dyDescent="0.3">
      <c r="B8" s="851" t="s">
        <v>866</v>
      </c>
      <c r="C8" s="851"/>
      <c r="D8" s="851"/>
      <c r="E8" s="851"/>
      <c r="F8" s="851"/>
      <c r="G8" s="851"/>
      <c r="H8" s="851"/>
      <c r="I8" s="851"/>
      <c r="J8" s="851"/>
      <c r="K8" s="851"/>
      <c r="L8" s="851"/>
      <c r="M8" s="851"/>
      <c r="N8" s="402"/>
      <c r="O8" s="402"/>
      <c r="P8" s="402"/>
      <c r="Q8" s="402"/>
      <c r="R8" s="402"/>
      <c r="S8" s="402"/>
      <c r="T8" s="402"/>
      <c r="U8" s="402"/>
      <c r="V8" s="402"/>
      <c r="W8" s="402"/>
      <c r="X8" s="402"/>
      <c r="Y8" s="402"/>
      <c r="Z8" s="402"/>
      <c r="AA8" s="402"/>
      <c r="AB8" s="402"/>
      <c r="AC8" s="402"/>
      <c r="AD8" s="402"/>
      <c r="AE8" s="402"/>
      <c r="AF8" s="402"/>
      <c r="AG8" s="402"/>
      <c r="AH8" s="402"/>
    </row>
    <row r="9" spans="2:34" ht="15" thickBot="1" x14ac:dyDescent="0.35">
      <c r="B9" s="851" t="s">
        <v>867</v>
      </c>
      <c r="C9" s="851"/>
      <c r="D9" s="851"/>
      <c r="E9" s="851"/>
      <c r="F9" s="851"/>
      <c r="G9" s="851"/>
      <c r="H9" s="851"/>
      <c r="I9" s="851"/>
      <c r="J9" s="851"/>
      <c r="K9" s="851"/>
      <c r="L9" s="851"/>
      <c r="M9" s="851"/>
      <c r="N9" s="402"/>
      <c r="O9" s="402"/>
      <c r="P9" s="402"/>
      <c r="Q9" s="402"/>
      <c r="R9" s="402"/>
      <c r="S9" s="402"/>
      <c r="T9" s="402"/>
      <c r="U9" s="402"/>
      <c r="V9" s="402"/>
      <c r="W9" s="402"/>
      <c r="X9" s="402"/>
      <c r="Y9" s="402"/>
      <c r="Z9" s="402"/>
      <c r="AA9" s="402"/>
      <c r="AB9" s="402"/>
      <c r="AC9" s="402"/>
      <c r="AD9" s="402"/>
      <c r="AE9" s="402"/>
      <c r="AF9" s="402"/>
      <c r="AG9" s="402"/>
      <c r="AH9" s="402"/>
    </row>
    <row r="10" spans="2:34" ht="15" thickBot="1" x14ac:dyDescent="0.35">
      <c r="C10" s="851" t="s">
        <v>869</v>
      </c>
      <c r="D10" s="851"/>
      <c r="E10" s="851"/>
      <c r="F10" s="403"/>
      <c r="G10" s="851" t="s">
        <v>1123</v>
      </c>
      <c r="H10" s="851"/>
      <c r="I10" s="851"/>
      <c r="J10" s="402"/>
      <c r="K10" s="852" t="s">
        <v>870</v>
      </c>
      <c r="L10" s="853"/>
      <c r="M10" s="854"/>
      <c r="N10" s="402"/>
      <c r="O10" s="402"/>
      <c r="P10" s="402"/>
      <c r="Q10" s="402"/>
      <c r="R10" s="402"/>
      <c r="S10" s="402"/>
      <c r="T10" s="402"/>
      <c r="U10" s="402"/>
      <c r="V10" s="402"/>
      <c r="W10" s="402"/>
      <c r="X10" s="402"/>
      <c r="Y10" s="402"/>
      <c r="Z10" s="402"/>
      <c r="AA10" s="402"/>
      <c r="AB10" s="402"/>
      <c r="AC10" s="402"/>
      <c r="AD10" s="402"/>
      <c r="AE10" s="402"/>
      <c r="AF10" s="402"/>
      <c r="AG10" s="402"/>
      <c r="AH10" s="402"/>
    </row>
    <row r="11" spans="2:34" x14ac:dyDescent="0.3">
      <c r="B11" s="722"/>
      <c r="C11" s="722"/>
      <c r="D11" s="722"/>
      <c r="E11" s="722"/>
      <c r="F11" s="722"/>
      <c r="G11" s="722"/>
      <c r="H11" s="722"/>
      <c r="I11" s="722"/>
      <c r="J11" s="402"/>
      <c r="K11" s="722"/>
      <c r="L11" s="722"/>
      <c r="M11" s="722"/>
      <c r="N11" s="402"/>
      <c r="O11" s="402"/>
      <c r="P11" s="402"/>
      <c r="Q11" s="402"/>
      <c r="R11" s="402"/>
      <c r="S11" s="402"/>
      <c r="T11" s="402"/>
      <c r="U11" s="402"/>
      <c r="V11" s="402"/>
      <c r="W11" s="402"/>
      <c r="X11" s="402"/>
      <c r="Y11" s="402"/>
      <c r="Z11" s="402"/>
      <c r="AA11" s="402"/>
      <c r="AB11" s="402"/>
      <c r="AC11" s="402"/>
      <c r="AD11" s="402"/>
      <c r="AE11" s="402"/>
      <c r="AF11" s="402"/>
      <c r="AG11" s="402"/>
      <c r="AH11" s="402"/>
    </row>
    <row r="12" spans="2:34" x14ac:dyDescent="0.3">
      <c r="B12" s="924"/>
      <c r="C12" s="925" t="s">
        <v>871</v>
      </c>
      <c r="D12" s="424" t="s">
        <v>872</v>
      </c>
      <c r="E12" s="926" t="s">
        <v>873</v>
      </c>
      <c r="F12" s="927"/>
      <c r="G12" s="925" t="s">
        <v>871</v>
      </c>
      <c r="H12" s="424" t="s">
        <v>872</v>
      </c>
      <c r="I12" s="926" t="s">
        <v>874</v>
      </c>
      <c r="J12" s="928"/>
      <c r="K12" s="925" t="s">
        <v>871</v>
      </c>
      <c r="L12" s="424" t="s">
        <v>872</v>
      </c>
      <c r="M12" s="926" t="s">
        <v>875</v>
      </c>
      <c r="N12" s="402"/>
      <c r="O12" s="402"/>
      <c r="P12" s="402"/>
      <c r="Q12" s="402"/>
      <c r="R12" s="402"/>
      <c r="S12" s="402"/>
      <c r="T12" s="402"/>
      <c r="U12" s="402"/>
      <c r="V12" s="402"/>
      <c r="W12" s="402"/>
      <c r="X12" s="402"/>
      <c r="Y12" s="402"/>
      <c r="Z12" s="402"/>
      <c r="AA12" s="402"/>
      <c r="AB12" s="402"/>
      <c r="AC12" s="402"/>
      <c r="AD12" s="402"/>
      <c r="AE12" s="402"/>
      <c r="AF12" s="402"/>
      <c r="AG12" s="402"/>
      <c r="AH12" s="402"/>
    </row>
    <row r="13" spans="2:34" x14ac:dyDescent="0.3">
      <c r="B13" s="924" t="s">
        <v>759</v>
      </c>
      <c r="C13" s="925">
        <v>800000</v>
      </c>
      <c r="D13" s="424">
        <v>25</v>
      </c>
      <c r="E13" s="929">
        <f>C13*D13</f>
        <v>20000000</v>
      </c>
      <c r="F13" s="424"/>
      <c r="G13" s="925">
        <v>800000</v>
      </c>
      <c r="H13" s="925">
        <f t="shared" ref="H13:H14" si="0">D13</f>
        <v>25</v>
      </c>
      <c r="I13" s="925">
        <f>H13*G13</f>
        <v>20000000</v>
      </c>
      <c r="J13" s="928"/>
      <c r="K13" s="925">
        <f>G13</f>
        <v>800000</v>
      </c>
      <c r="L13" s="424">
        <f>H13</f>
        <v>25</v>
      </c>
      <c r="M13" s="929">
        <f>K13*L13</f>
        <v>20000000</v>
      </c>
      <c r="N13" s="402"/>
      <c r="O13" s="402"/>
      <c r="S13" s="402"/>
      <c r="T13" s="402"/>
      <c r="U13" s="402"/>
      <c r="V13" s="402" t="s">
        <v>876</v>
      </c>
      <c r="W13" s="402">
        <v>25</v>
      </c>
      <c r="X13" s="402"/>
      <c r="Y13" s="402"/>
      <c r="Z13" s="402"/>
      <c r="AA13" s="402"/>
      <c r="AB13" s="402"/>
      <c r="AC13" s="402"/>
      <c r="AD13" s="402"/>
      <c r="AE13" s="402"/>
      <c r="AF13" s="402"/>
      <c r="AG13" s="402"/>
      <c r="AH13" s="402"/>
    </row>
    <row r="14" spans="2:34" x14ac:dyDescent="0.3">
      <c r="B14" s="930" t="s">
        <v>877</v>
      </c>
      <c r="C14" s="931">
        <v>240000</v>
      </c>
      <c r="D14" s="932">
        <v>25</v>
      </c>
      <c r="E14" s="933">
        <f>C14*D14</f>
        <v>6000000</v>
      </c>
      <c r="F14" s="424"/>
      <c r="G14" s="925">
        <f>240000-30000-42000</f>
        <v>168000</v>
      </c>
      <c r="H14" s="925">
        <f t="shared" si="0"/>
        <v>25</v>
      </c>
      <c r="I14" s="925">
        <f>G14*H14</f>
        <v>4200000</v>
      </c>
      <c r="J14" s="928"/>
      <c r="K14" s="925">
        <f>G14</f>
        <v>168000</v>
      </c>
      <c r="L14" s="424">
        <f>H14</f>
        <v>25</v>
      </c>
      <c r="M14" s="929">
        <f>K14*L14</f>
        <v>4200000</v>
      </c>
      <c r="N14" s="402"/>
      <c r="O14" s="402"/>
      <c r="S14" s="402"/>
      <c r="T14" s="402"/>
      <c r="U14" s="402"/>
      <c r="V14" s="402" t="s">
        <v>878</v>
      </c>
      <c r="W14" s="402">
        <v>60</v>
      </c>
      <c r="X14" s="402">
        <f>W14-W13</f>
        <v>35</v>
      </c>
      <c r="Y14" s="402" t="s">
        <v>879</v>
      </c>
      <c r="Z14" s="402"/>
      <c r="AA14" s="402"/>
      <c r="AB14" s="402"/>
      <c r="AC14" s="402"/>
      <c r="AD14" s="402"/>
      <c r="AE14" s="402"/>
      <c r="AF14" s="402"/>
      <c r="AG14" s="402"/>
      <c r="AH14" s="402"/>
    </row>
    <row r="15" spans="2:34" ht="15" thickBot="1" x14ac:dyDescent="0.35">
      <c r="B15" s="956" t="s">
        <v>880</v>
      </c>
      <c r="C15" s="957">
        <v>560000</v>
      </c>
      <c r="D15" s="958">
        <v>25</v>
      </c>
      <c r="E15" s="958">
        <f>C15*D15</f>
        <v>14000000</v>
      </c>
      <c r="F15" s="424"/>
      <c r="G15" s="934">
        <f>560000+30000+42000</f>
        <v>632000</v>
      </c>
      <c r="H15" s="935">
        <f>H14</f>
        <v>25</v>
      </c>
      <c r="I15" s="935">
        <f>G15*H15</f>
        <v>15800000</v>
      </c>
      <c r="J15" s="936"/>
      <c r="K15" s="934">
        <f>G15</f>
        <v>632000</v>
      </c>
      <c r="L15" s="935">
        <f>L14</f>
        <v>25</v>
      </c>
      <c r="M15" s="935">
        <f>K15*L15</f>
        <v>15800000</v>
      </c>
      <c r="N15" s="402"/>
      <c r="O15" s="402"/>
      <c r="S15" s="402"/>
      <c r="T15" s="402"/>
      <c r="U15" s="402"/>
      <c r="V15" s="402" t="s">
        <v>881</v>
      </c>
      <c r="W15" s="402">
        <v>90</v>
      </c>
      <c r="X15" s="402">
        <f>W15-W14</f>
        <v>30</v>
      </c>
      <c r="Y15" s="402" t="s">
        <v>882</v>
      </c>
      <c r="Z15" s="409" t="s">
        <v>883</v>
      </c>
      <c r="AA15" s="402" t="s">
        <v>884</v>
      </c>
      <c r="AB15" s="402"/>
      <c r="AC15" s="402"/>
      <c r="AD15" s="402"/>
      <c r="AE15" s="402"/>
      <c r="AF15" s="402"/>
      <c r="AG15" s="402"/>
      <c r="AH15" s="402"/>
    </row>
    <row r="16" spans="2:34" ht="15" thickTop="1" x14ac:dyDescent="0.3">
      <c r="B16" s="924" t="s">
        <v>764</v>
      </c>
      <c r="C16" s="937">
        <v>30000</v>
      </c>
      <c r="D16" s="938">
        <v>25</v>
      </c>
      <c r="E16" s="938">
        <f>C16*D16</f>
        <v>750000</v>
      </c>
      <c r="F16" s="424"/>
      <c r="G16" s="939">
        <f>30000-30000</f>
        <v>0</v>
      </c>
      <c r="H16" s="939">
        <f t="shared" ref="H16:I16" si="1">D16</f>
        <v>25</v>
      </c>
      <c r="I16" s="939">
        <f>G16*H16</f>
        <v>0</v>
      </c>
      <c r="J16" s="928"/>
      <c r="K16" s="924"/>
      <c r="L16" s="924"/>
      <c r="M16" s="940">
        <f>I16</f>
        <v>0</v>
      </c>
      <c r="N16" s="402"/>
      <c r="O16" s="402"/>
      <c r="S16" s="402"/>
      <c r="T16" s="402"/>
      <c r="U16" s="402"/>
      <c r="V16" s="402" t="s">
        <v>885</v>
      </c>
      <c r="W16" s="402">
        <v>96</v>
      </c>
      <c r="X16" s="402">
        <f>W16-W15</f>
        <v>6</v>
      </c>
      <c r="Y16" s="402" t="s">
        <v>886</v>
      </c>
      <c r="Z16" s="402"/>
      <c r="AA16" s="402"/>
      <c r="AB16" s="402"/>
      <c r="AC16" s="402"/>
      <c r="AD16" s="402"/>
      <c r="AE16" s="402"/>
      <c r="AF16" s="402"/>
      <c r="AG16" s="402"/>
      <c r="AH16" s="402"/>
    </row>
    <row r="17" spans="2:34" x14ac:dyDescent="0.3">
      <c r="B17" s="413"/>
      <c r="C17" s="414"/>
      <c r="D17" s="415"/>
      <c r="E17" s="415"/>
      <c r="F17" s="406"/>
      <c r="G17" s="404"/>
      <c r="H17" s="404"/>
      <c r="I17" s="404"/>
      <c r="J17" s="407"/>
      <c r="K17" s="404"/>
      <c r="L17" s="404"/>
      <c r="M17" s="404"/>
      <c r="N17" s="402"/>
      <c r="O17" s="402"/>
      <c r="S17" s="402"/>
      <c r="T17" s="402"/>
      <c r="U17" s="402"/>
      <c r="V17" s="402"/>
      <c r="W17" s="402"/>
      <c r="X17" s="402"/>
      <c r="Y17" s="402"/>
      <c r="Z17" s="402"/>
      <c r="AA17" s="402"/>
      <c r="AB17" s="402"/>
      <c r="AC17" s="402"/>
      <c r="AD17" s="402"/>
      <c r="AE17" s="402"/>
      <c r="AF17" s="402"/>
      <c r="AG17" s="402"/>
      <c r="AH17" s="402"/>
    </row>
    <row r="18" spans="2:34" x14ac:dyDescent="0.3">
      <c r="B18" s="941" t="s">
        <v>784</v>
      </c>
      <c r="C18" s="942"/>
      <c r="D18" s="942"/>
      <c r="E18" s="943">
        <v>70000</v>
      </c>
      <c r="F18" s="944"/>
      <c r="G18" s="941"/>
      <c r="H18" s="941"/>
      <c r="I18" s="945">
        <f>E18+D73</f>
        <v>2884000</v>
      </c>
      <c r="J18" s="946"/>
      <c r="K18" s="941"/>
      <c r="L18" s="941"/>
      <c r="M18" s="945">
        <f>I18</f>
        <v>2884000</v>
      </c>
      <c r="N18" s="402"/>
      <c r="O18" s="402"/>
      <c r="S18" s="402"/>
      <c r="T18" s="402"/>
      <c r="U18" s="402"/>
      <c r="V18" s="402"/>
      <c r="W18" s="402"/>
      <c r="X18" s="402"/>
      <c r="Y18" s="402"/>
      <c r="Z18" s="402"/>
      <c r="AA18" s="402"/>
      <c r="AB18" s="402"/>
      <c r="AC18" s="402"/>
      <c r="AD18" s="402"/>
      <c r="AE18" s="402"/>
      <c r="AF18" s="402"/>
      <c r="AG18" s="402"/>
      <c r="AH18" s="402"/>
    </row>
    <row r="19" spans="2:34" x14ac:dyDescent="0.3">
      <c r="B19" s="941" t="s">
        <v>887</v>
      </c>
      <c r="C19" s="942"/>
      <c r="D19" s="944"/>
      <c r="E19" s="943">
        <v>234000</v>
      </c>
      <c r="F19" s="944"/>
      <c r="G19" s="941"/>
      <c r="H19" s="941"/>
      <c r="I19" s="945">
        <f>E19</f>
        <v>234000</v>
      </c>
      <c r="J19" s="946"/>
      <c r="K19" s="941"/>
      <c r="L19" s="941"/>
      <c r="M19" s="945">
        <f>I19+D86</f>
        <v>249000</v>
      </c>
      <c r="N19" s="402"/>
      <c r="O19" s="402"/>
      <c r="Q19" s="400">
        <v>95</v>
      </c>
      <c r="R19" s="400" t="s">
        <v>888</v>
      </c>
      <c r="S19" s="402"/>
      <c r="T19" s="402" t="s">
        <v>889</v>
      </c>
      <c r="U19" s="402"/>
      <c r="V19" s="402"/>
      <c r="W19" s="402"/>
      <c r="X19" s="402"/>
      <c r="Y19" s="402"/>
      <c r="Z19" s="402"/>
      <c r="AA19" s="402"/>
      <c r="AB19" s="402"/>
      <c r="AC19" s="402"/>
      <c r="AD19" s="402"/>
      <c r="AE19" s="402"/>
      <c r="AF19" s="402"/>
      <c r="AG19" s="402"/>
      <c r="AH19" s="402"/>
    </row>
    <row r="20" spans="2:34" x14ac:dyDescent="0.3">
      <c r="B20" s="941" t="s">
        <v>768</v>
      </c>
      <c r="C20" s="942">
        <v>30000</v>
      </c>
      <c r="D20" s="944">
        <f>92-25</f>
        <v>67</v>
      </c>
      <c r="E20" s="943">
        <f>D20*C20</f>
        <v>2010000</v>
      </c>
      <c r="F20" s="944"/>
      <c r="G20" s="941"/>
      <c r="H20" s="941"/>
      <c r="I20" s="945">
        <f>E20</f>
        <v>2010000</v>
      </c>
      <c r="J20" s="946"/>
      <c r="K20" s="941"/>
      <c r="L20" s="941"/>
      <c r="M20" s="945">
        <f>E20</f>
        <v>2010000</v>
      </c>
      <c r="N20" s="402"/>
      <c r="O20" s="402"/>
      <c r="Q20" s="400">
        <v>92</v>
      </c>
      <c r="S20" s="402"/>
      <c r="T20" s="402"/>
      <c r="U20" s="402"/>
      <c r="V20" s="402"/>
      <c r="W20" s="402"/>
      <c r="X20" s="402"/>
      <c r="Y20" s="402"/>
      <c r="Z20" s="402"/>
      <c r="AA20" s="402"/>
      <c r="AB20" s="402"/>
      <c r="AC20" s="402"/>
      <c r="AD20" s="402"/>
      <c r="AE20" s="402"/>
      <c r="AF20" s="402"/>
      <c r="AG20" s="402"/>
      <c r="AH20" s="402"/>
    </row>
    <row r="21" spans="2:34" ht="15" thickBot="1" x14ac:dyDescent="0.35">
      <c r="B21" s="959" t="s">
        <v>890</v>
      </c>
      <c r="C21" s="960"/>
      <c r="D21" s="961"/>
      <c r="E21" s="961">
        <f>SUM(E18:E20)</f>
        <v>2314000</v>
      </c>
      <c r="F21" s="943"/>
      <c r="G21" s="947"/>
      <c r="H21" s="947"/>
      <c r="I21" s="948">
        <f>SUM(I18:I20)</f>
        <v>5128000</v>
      </c>
      <c r="J21" s="949"/>
      <c r="K21" s="947"/>
      <c r="L21" s="947"/>
      <c r="M21" s="948">
        <f>SUM(M18:M20)</f>
        <v>5143000</v>
      </c>
      <c r="N21" s="402"/>
      <c r="O21" s="402"/>
      <c r="Q21" s="417" t="s">
        <v>891</v>
      </c>
      <c r="R21" s="417">
        <v>1</v>
      </c>
      <c r="S21" s="418">
        <v>1</v>
      </c>
      <c r="T21" s="402"/>
      <c r="U21" s="402"/>
      <c r="V21" s="402"/>
      <c r="W21" s="402"/>
      <c r="X21" s="402"/>
      <c r="Y21" s="402"/>
      <c r="Z21" s="402"/>
      <c r="AA21" s="402"/>
      <c r="AB21" s="402"/>
      <c r="AC21" s="402"/>
      <c r="AD21" s="402"/>
      <c r="AE21" s="402"/>
      <c r="AF21" s="402"/>
      <c r="AG21" s="402"/>
      <c r="AH21" s="402"/>
    </row>
    <row r="22" spans="2:34" ht="15" thickTop="1" x14ac:dyDescent="0.3">
      <c r="B22" s="404"/>
      <c r="C22" s="405"/>
      <c r="D22" s="406"/>
      <c r="E22" s="408"/>
      <c r="F22" s="406"/>
      <c r="G22" s="404"/>
      <c r="H22" s="404"/>
      <c r="I22" s="404"/>
      <c r="J22" s="407"/>
      <c r="K22" s="404"/>
      <c r="L22" s="404"/>
      <c r="M22" s="404"/>
      <c r="N22" s="402"/>
      <c r="O22" s="402"/>
      <c r="Q22" s="417">
        <v>1</v>
      </c>
      <c r="R22" s="417">
        <v>1</v>
      </c>
      <c r="S22" s="402"/>
      <c r="T22" s="402"/>
      <c r="U22" s="402"/>
      <c r="V22" s="402"/>
      <c r="W22" s="402"/>
      <c r="X22" s="402"/>
      <c r="Y22" s="402"/>
      <c r="Z22" s="402"/>
      <c r="AA22" s="402"/>
      <c r="AB22" s="402"/>
      <c r="AC22" s="402"/>
      <c r="AD22" s="402"/>
      <c r="AE22" s="402"/>
      <c r="AF22" s="402"/>
      <c r="AG22" s="402"/>
      <c r="AH22" s="402"/>
    </row>
    <row r="23" spans="2:34" x14ac:dyDescent="0.3">
      <c r="B23" s="419" t="s">
        <v>49</v>
      </c>
      <c r="C23" s="404"/>
      <c r="D23" s="404"/>
      <c r="E23" s="420">
        <v>230000</v>
      </c>
      <c r="F23" s="421"/>
      <c r="G23" s="404"/>
      <c r="H23" s="404"/>
      <c r="I23" s="412">
        <f>E23</f>
        <v>230000</v>
      </c>
      <c r="J23" s="407"/>
      <c r="K23" s="404"/>
      <c r="L23" s="404"/>
      <c r="M23" s="412">
        <f>I23+D77</f>
        <v>4080000</v>
      </c>
      <c r="N23" s="402"/>
      <c r="O23" s="402"/>
      <c r="S23" s="402"/>
      <c r="T23" s="402"/>
      <c r="U23" s="402"/>
      <c r="V23" s="402"/>
      <c r="W23" s="402"/>
      <c r="X23" s="402"/>
      <c r="Y23" s="402"/>
      <c r="Z23" s="402"/>
      <c r="AA23" s="402"/>
      <c r="AB23" s="402"/>
      <c r="AC23" s="402"/>
      <c r="AD23" s="402"/>
      <c r="AE23" s="402"/>
      <c r="AF23" s="402"/>
      <c r="AG23" s="402"/>
      <c r="AH23" s="402"/>
    </row>
    <row r="24" spans="2:34" ht="14.25" customHeight="1" x14ac:dyDescent="0.3">
      <c r="B24" s="950" t="s">
        <v>892</v>
      </c>
      <c r="C24" s="951"/>
      <c r="D24" s="952"/>
      <c r="E24" s="952">
        <v>989000</v>
      </c>
      <c r="F24" s="406"/>
      <c r="G24" s="404"/>
      <c r="H24" s="425"/>
      <c r="I24" s="412">
        <f>E24</f>
        <v>989000</v>
      </c>
      <c r="J24" s="426"/>
      <c r="K24" s="404"/>
      <c r="L24" s="404"/>
      <c r="M24" s="412">
        <f>I24</f>
        <v>989000</v>
      </c>
      <c r="N24" s="402"/>
      <c r="O24" s="402"/>
      <c r="Q24" s="417" t="s">
        <v>893</v>
      </c>
      <c r="S24" s="402"/>
      <c r="T24" s="402"/>
      <c r="U24" s="402"/>
      <c r="V24" s="402"/>
      <c r="W24" s="402"/>
      <c r="X24" s="402"/>
      <c r="Y24" s="402"/>
      <c r="Z24" s="402"/>
      <c r="AA24" s="402"/>
      <c r="AB24" s="402"/>
      <c r="AC24" s="402"/>
      <c r="AD24" s="402"/>
      <c r="AE24" s="402"/>
      <c r="AF24" s="402"/>
      <c r="AG24" s="402"/>
      <c r="AH24" s="402"/>
    </row>
    <row r="25" spans="2:34" ht="14.25" customHeight="1" x14ac:dyDescent="0.3">
      <c r="B25" s="953" t="s">
        <v>894</v>
      </c>
      <c r="C25" s="954">
        <v>10000</v>
      </c>
      <c r="D25" s="955">
        <v>90</v>
      </c>
      <c r="E25" s="955">
        <f>-C25*D25</f>
        <v>-900000</v>
      </c>
      <c r="F25" s="430"/>
      <c r="G25" s="431">
        <f>C25</f>
        <v>10000</v>
      </c>
      <c r="H25" s="432">
        <f>D25</f>
        <v>90</v>
      </c>
      <c r="I25" s="433">
        <f>-(G25*H25)</f>
        <v>-900000</v>
      </c>
      <c r="J25" s="426"/>
      <c r="K25" s="431">
        <f>G25-3000</f>
        <v>7000</v>
      </c>
      <c r="L25" s="432">
        <f>H25</f>
        <v>90</v>
      </c>
      <c r="M25" s="433">
        <f>-(K25*L25)</f>
        <v>-630000</v>
      </c>
      <c r="N25" s="402"/>
      <c r="O25" s="402"/>
      <c r="Q25" s="417">
        <v>1</v>
      </c>
      <c r="S25" s="402"/>
      <c r="T25" s="402"/>
      <c r="U25" s="402"/>
      <c r="V25" s="402"/>
      <c r="W25" s="402"/>
      <c r="X25" s="402"/>
      <c r="Y25" s="402"/>
      <c r="Z25" s="402"/>
      <c r="AA25" s="402"/>
      <c r="AB25" s="402"/>
      <c r="AC25" s="402"/>
      <c r="AD25" s="402"/>
      <c r="AE25" s="402"/>
      <c r="AF25" s="402"/>
      <c r="AG25" s="402"/>
      <c r="AH25" s="402"/>
    </row>
    <row r="26" spans="2:34" x14ac:dyDescent="0.3">
      <c r="B26" s="419" t="s">
        <v>895</v>
      </c>
      <c r="C26" s="434"/>
      <c r="D26" s="430"/>
      <c r="E26" s="406"/>
      <c r="F26" s="406"/>
      <c r="G26" s="404"/>
      <c r="H26" s="404"/>
      <c r="I26" s="412">
        <f>E26</f>
        <v>0</v>
      </c>
      <c r="J26" s="426"/>
      <c r="K26" s="404"/>
      <c r="L26" s="404"/>
      <c r="M26" s="412">
        <v>0</v>
      </c>
      <c r="N26" s="402"/>
      <c r="O26" s="402"/>
      <c r="P26" s="435"/>
      <c r="Q26" s="436">
        <v>1</v>
      </c>
      <c r="R26" s="402"/>
      <c r="S26" s="402"/>
      <c r="T26" s="402"/>
      <c r="U26" s="402"/>
      <c r="V26" s="402"/>
      <c r="W26" s="402"/>
      <c r="X26" s="402"/>
      <c r="Y26" s="402"/>
      <c r="Z26" s="402"/>
      <c r="AA26" s="402"/>
      <c r="AB26" s="402"/>
      <c r="AC26" s="402"/>
      <c r="AD26" s="402"/>
      <c r="AE26" s="402"/>
      <c r="AF26" s="402"/>
      <c r="AG26" s="402"/>
      <c r="AH26" s="402"/>
    </row>
    <row r="27" spans="2:34" x14ac:dyDescent="0.3">
      <c r="B27" s="663" t="s">
        <v>896</v>
      </c>
      <c r="C27" s="434"/>
      <c r="D27" s="664"/>
      <c r="E27" s="430"/>
      <c r="F27" s="430"/>
      <c r="G27" s="437"/>
      <c r="H27" s="430">
        <v>120000</v>
      </c>
      <c r="I27" s="412"/>
      <c r="J27" s="426"/>
      <c r="K27" s="404"/>
      <c r="L27" s="430">
        <f>H27</f>
        <v>120000</v>
      </c>
      <c r="M27" s="412"/>
      <c r="N27" s="402"/>
      <c r="O27" s="402"/>
      <c r="P27" s="402"/>
      <c r="Q27" s="435"/>
      <c r="R27" s="402"/>
      <c r="S27" s="402"/>
      <c r="T27" s="402"/>
      <c r="U27" s="402"/>
      <c r="V27" s="402"/>
      <c r="W27" s="402"/>
      <c r="X27" s="402"/>
      <c r="Y27" s="402"/>
      <c r="Z27" s="402"/>
      <c r="AA27" s="402"/>
      <c r="AB27" s="402"/>
      <c r="AC27" s="402"/>
      <c r="AD27" s="402"/>
      <c r="AE27" s="402"/>
      <c r="AF27" s="402"/>
      <c r="AG27" s="402"/>
      <c r="AH27" s="402"/>
    </row>
    <row r="28" spans="2:34" x14ac:dyDescent="0.3">
      <c r="B28" s="663" t="s">
        <v>897</v>
      </c>
      <c r="C28" s="434"/>
      <c r="D28" s="664"/>
      <c r="E28" s="430"/>
      <c r="F28" s="430"/>
      <c r="G28" s="437"/>
      <c r="H28" s="430">
        <v>60000</v>
      </c>
      <c r="I28" s="412"/>
      <c r="J28" s="426"/>
      <c r="K28" s="404"/>
      <c r="L28" s="430">
        <f>H28</f>
        <v>60000</v>
      </c>
      <c r="M28" s="412"/>
      <c r="N28" s="402"/>
      <c r="O28" s="402"/>
      <c r="P28" s="402"/>
      <c r="Q28" s="435"/>
      <c r="R28" s="402"/>
      <c r="S28" s="402"/>
      <c r="T28" s="402"/>
      <c r="U28" s="402"/>
      <c r="V28" s="402"/>
      <c r="W28" s="402"/>
      <c r="X28" s="402"/>
      <c r="Y28" s="402"/>
      <c r="Z28" s="402"/>
      <c r="AA28" s="402"/>
      <c r="AB28" s="402"/>
      <c r="AC28" s="402"/>
      <c r="AD28" s="402"/>
      <c r="AE28" s="402"/>
      <c r="AF28" s="402"/>
      <c r="AG28" s="402"/>
      <c r="AH28" s="402"/>
    </row>
    <row r="29" spans="2:34" ht="23.25" customHeight="1" x14ac:dyDescent="0.3">
      <c r="B29" s="419" t="s">
        <v>898</v>
      </c>
      <c r="C29" s="434"/>
      <c r="D29" s="430"/>
      <c r="E29" s="406">
        <v>180000</v>
      </c>
      <c r="F29" s="406"/>
      <c r="G29" s="404"/>
      <c r="H29" s="404"/>
      <c r="I29" s="412">
        <f>E29</f>
        <v>180000</v>
      </c>
      <c r="J29" s="426"/>
      <c r="K29" s="404"/>
      <c r="L29" s="404"/>
      <c r="M29" s="412">
        <f>D78+I29</f>
        <v>9805000</v>
      </c>
      <c r="N29" s="438"/>
      <c r="O29" s="402"/>
      <c r="P29" s="402"/>
      <c r="Q29" s="402"/>
      <c r="R29" s="402"/>
      <c r="S29" s="402"/>
      <c r="T29" s="402"/>
      <c r="U29" s="402"/>
      <c r="V29" s="402"/>
      <c r="W29" s="402"/>
      <c r="X29" s="402"/>
      <c r="Y29" s="402"/>
      <c r="Z29" s="402"/>
      <c r="AA29" s="402"/>
      <c r="AB29" s="402"/>
      <c r="AC29" s="402"/>
      <c r="AD29" s="402"/>
      <c r="AE29" s="402"/>
      <c r="AF29" s="402"/>
      <c r="AG29" s="402"/>
      <c r="AH29" s="402"/>
    </row>
    <row r="30" spans="2:34" ht="15" thickBot="1" x14ac:dyDescent="0.35">
      <c r="B30" s="439" t="s">
        <v>899</v>
      </c>
      <c r="C30" s="440"/>
      <c r="D30" s="441"/>
      <c r="E30" s="411">
        <f>E23+E24+E25+E29</f>
        <v>499000</v>
      </c>
      <c r="F30" s="408"/>
      <c r="G30" s="416"/>
      <c r="H30" s="416"/>
      <c r="I30" s="442">
        <f>I23+I24+I25+I29</f>
        <v>499000</v>
      </c>
      <c r="J30" s="426"/>
      <c r="K30" s="416"/>
      <c r="L30" s="416"/>
      <c r="M30" s="442">
        <f>M23+M24+M25+M29</f>
        <v>14244000</v>
      </c>
      <c r="N30" s="402"/>
      <c r="O30" s="402"/>
      <c r="P30" s="402"/>
      <c r="Q30" s="402"/>
      <c r="R30" s="402"/>
      <c r="S30" s="402"/>
      <c r="T30" s="402"/>
      <c r="U30" s="402"/>
      <c r="V30" s="402"/>
      <c r="W30" s="402"/>
      <c r="X30" s="402"/>
      <c r="Y30" s="402"/>
      <c r="Z30" s="402"/>
      <c r="AA30" s="402"/>
      <c r="AB30" s="402"/>
      <c r="AC30" s="402"/>
      <c r="AD30" s="402"/>
      <c r="AE30" s="402"/>
      <c r="AF30" s="402"/>
      <c r="AG30" s="402"/>
      <c r="AH30" s="402"/>
    </row>
    <row r="31" spans="2:34" ht="15" thickTop="1" x14ac:dyDescent="0.3">
      <c r="B31" s="404"/>
      <c r="C31" s="405"/>
      <c r="D31" s="406"/>
      <c r="E31" s="420"/>
      <c r="F31" s="406"/>
      <c r="G31" s="404"/>
      <c r="H31" s="404"/>
      <c r="I31" s="404"/>
      <c r="J31" s="426"/>
      <c r="K31" s="404"/>
      <c r="L31" s="404"/>
      <c r="M31" s="404"/>
      <c r="N31" s="402"/>
      <c r="O31" s="402"/>
      <c r="P31" s="402"/>
      <c r="Q31" s="402"/>
      <c r="R31" s="402"/>
      <c r="S31" s="402"/>
      <c r="T31" s="402"/>
      <c r="U31" s="402"/>
      <c r="V31" s="402"/>
      <c r="W31" s="402"/>
      <c r="X31" s="402"/>
      <c r="Y31" s="402"/>
      <c r="Z31" s="402"/>
      <c r="AA31" s="402"/>
      <c r="AB31" s="402"/>
      <c r="AC31" s="402"/>
      <c r="AD31" s="402"/>
      <c r="AE31" s="402"/>
      <c r="AF31" s="402"/>
      <c r="AG31" s="402"/>
      <c r="AH31" s="402"/>
    </row>
    <row r="32" spans="2:34" x14ac:dyDescent="0.3">
      <c r="B32" s="962" t="s">
        <v>900</v>
      </c>
      <c r="C32" s="963"/>
      <c r="D32" s="964"/>
      <c r="E32" s="964">
        <v>0</v>
      </c>
      <c r="F32" s="964"/>
      <c r="G32" s="965"/>
      <c r="H32" s="965"/>
      <c r="I32" s="966">
        <v>38500000</v>
      </c>
      <c r="J32" s="967"/>
      <c r="K32" s="965"/>
      <c r="L32" s="965"/>
      <c r="M32" s="964"/>
      <c r="N32" s="402"/>
      <c r="O32" s="402"/>
      <c r="P32" s="402"/>
      <c r="Q32" s="402"/>
      <c r="R32" s="402"/>
      <c r="S32" s="402"/>
      <c r="T32" s="402"/>
      <c r="U32" s="402"/>
      <c r="V32" s="402"/>
      <c r="W32" s="402"/>
      <c r="X32" s="402"/>
      <c r="Y32" s="402"/>
      <c r="Z32" s="402"/>
      <c r="AA32" s="402"/>
      <c r="AB32" s="402"/>
      <c r="AC32" s="402"/>
      <c r="AD32" s="402"/>
      <c r="AE32" s="402"/>
      <c r="AF32" s="402"/>
      <c r="AG32" s="402"/>
      <c r="AH32" s="402"/>
    </row>
    <row r="33" spans="1:34" ht="27.6" x14ac:dyDescent="0.3">
      <c r="B33" s="962" t="s">
        <v>901</v>
      </c>
      <c r="C33" s="963"/>
      <c r="D33" s="964"/>
      <c r="E33" s="964">
        <v>450000</v>
      </c>
      <c r="F33" s="964"/>
      <c r="G33" s="965"/>
      <c r="H33" s="965"/>
      <c r="I33" s="968">
        <f>E33</f>
        <v>450000</v>
      </c>
      <c r="J33" s="967"/>
      <c r="K33" s="965"/>
      <c r="L33" s="965"/>
      <c r="M33" s="968">
        <f>I33+D80</f>
        <v>4949000</v>
      </c>
      <c r="N33" s="402"/>
      <c r="O33" s="402"/>
      <c r="P33" s="402"/>
      <c r="Q33" s="402"/>
      <c r="R33" s="402"/>
      <c r="S33" s="402"/>
      <c r="T33" s="402"/>
      <c r="U33" s="402"/>
      <c r="V33" s="402"/>
      <c r="W33" s="402"/>
      <c r="X33" s="402"/>
      <c r="Y33" s="402"/>
      <c r="Z33" s="402"/>
      <c r="AA33" s="402"/>
      <c r="AB33" s="402"/>
      <c r="AC33" s="402"/>
      <c r="AD33" s="402"/>
      <c r="AE33" s="402"/>
      <c r="AF33" s="402"/>
      <c r="AG33" s="402"/>
      <c r="AH33" s="402"/>
    </row>
    <row r="34" spans="1:34" ht="15" thickBot="1" x14ac:dyDescent="0.35">
      <c r="B34" s="969" t="s">
        <v>902</v>
      </c>
      <c r="C34" s="970"/>
      <c r="D34" s="971"/>
      <c r="E34" s="971">
        <f>E32+E33</f>
        <v>450000</v>
      </c>
      <c r="F34" s="966"/>
      <c r="G34" s="972"/>
      <c r="H34" s="972"/>
      <c r="I34" s="973">
        <f>I32+I33</f>
        <v>38950000</v>
      </c>
      <c r="J34" s="967"/>
      <c r="K34" s="972"/>
      <c r="L34" s="972"/>
      <c r="M34" s="973">
        <f>M32+M33</f>
        <v>4949000</v>
      </c>
      <c r="N34" s="402"/>
      <c r="O34" s="402"/>
      <c r="P34" s="402"/>
      <c r="Q34" s="402"/>
      <c r="R34" s="402"/>
      <c r="S34" s="402"/>
      <c r="T34" s="402"/>
      <c r="U34" s="402"/>
      <c r="V34" s="402"/>
      <c r="W34" s="402"/>
      <c r="X34" s="402"/>
      <c r="Y34" s="402"/>
      <c r="Z34" s="402"/>
      <c r="AA34" s="402"/>
      <c r="AB34" s="402"/>
      <c r="AC34" s="402"/>
      <c r="AD34" s="402"/>
      <c r="AE34" s="402"/>
      <c r="AF34" s="402"/>
      <c r="AG34" s="402"/>
      <c r="AH34" s="402"/>
    </row>
    <row r="35" spans="1:34" ht="15" thickTop="1" x14ac:dyDescent="0.3">
      <c r="B35" s="443"/>
      <c r="C35" s="414"/>
      <c r="D35" s="415"/>
      <c r="E35" s="415"/>
      <c r="F35" s="408"/>
      <c r="G35" s="413"/>
      <c r="H35" s="413"/>
      <c r="I35" s="444"/>
      <c r="J35" s="426"/>
      <c r="K35" s="413"/>
      <c r="L35" s="413"/>
      <c r="M35" s="444"/>
      <c r="N35" s="402"/>
      <c r="O35" s="402"/>
      <c r="P35" s="402"/>
      <c r="Q35" s="402"/>
      <c r="R35" s="402"/>
      <c r="S35" s="402"/>
      <c r="T35" s="402"/>
      <c r="U35" s="402"/>
      <c r="V35" s="402"/>
      <c r="W35" s="402"/>
      <c r="X35" s="402"/>
      <c r="Y35" s="402"/>
      <c r="Z35" s="402"/>
      <c r="AA35" s="402"/>
      <c r="AB35" s="402"/>
      <c r="AC35" s="402"/>
      <c r="AD35" s="402"/>
      <c r="AE35" s="402"/>
      <c r="AF35" s="402"/>
      <c r="AG35" s="402"/>
      <c r="AH35" s="402"/>
    </row>
    <row r="36" spans="1:34" ht="15" thickBot="1" x14ac:dyDescent="0.35">
      <c r="B36" s="974" t="s">
        <v>903</v>
      </c>
      <c r="C36" s="975"/>
      <c r="D36" s="976"/>
      <c r="E36" s="976">
        <v>649000</v>
      </c>
      <c r="F36" s="977"/>
      <c r="G36" s="978"/>
      <c r="H36" s="978"/>
      <c r="I36" s="979">
        <f>E36+975000</f>
        <v>1624000</v>
      </c>
      <c r="J36" s="980"/>
      <c r="K36" s="978"/>
      <c r="L36" s="978"/>
      <c r="M36" s="979">
        <f>I36</f>
        <v>1624000</v>
      </c>
      <c r="N36" s="402"/>
      <c r="O36" s="402"/>
      <c r="P36" s="402"/>
      <c r="Q36" s="402"/>
      <c r="R36" s="402"/>
      <c r="S36" s="402"/>
      <c r="T36" s="402"/>
      <c r="U36" s="402"/>
      <c r="V36" s="402"/>
      <c r="W36" s="402"/>
      <c r="X36" s="402"/>
      <c r="Y36" s="402"/>
      <c r="Z36" s="402"/>
      <c r="AA36" s="402"/>
      <c r="AB36" s="402"/>
      <c r="AC36" s="402"/>
      <c r="AD36" s="402"/>
      <c r="AE36" s="402"/>
      <c r="AF36" s="402"/>
      <c r="AG36" s="402"/>
      <c r="AH36" s="402"/>
    </row>
    <row r="37" spans="1:34" ht="15" thickTop="1" x14ac:dyDescent="0.3">
      <c r="B37" s="404"/>
      <c r="C37" s="405"/>
      <c r="D37" s="406"/>
      <c r="E37" s="420"/>
      <c r="F37" s="406"/>
      <c r="G37" s="404"/>
      <c r="H37" s="404"/>
      <c r="I37" s="404"/>
      <c r="J37" s="426"/>
      <c r="K37" s="404"/>
      <c r="L37" s="404"/>
      <c r="M37" s="404"/>
      <c r="N37" s="402"/>
      <c r="O37" s="402"/>
      <c r="P37" s="402"/>
      <c r="Q37" s="402"/>
      <c r="R37" s="402"/>
      <c r="S37" s="402"/>
      <c r="T37" s="402"/>
      <c r="U37" s="402"/>
      <c r="V37" s="402"/>
      <c r="W37" s="402"/>
      <c r="X37" s="402"/>
      <c r="Y37" s="402"/>
      <c r="Z37" s="402"/>
      <c r="AA37" s="402"/>
      <c r="AB37" s="402"/>
      <c r="AC37" s="402"/>
      <c r="AD37" s="402"/>
      <c r="AE37" s="402"/>
      <c r="AF37" s="402"/>
      <c r="AG37" s="402"/>
      <c r="AH37" s="402"/>
    </row>
    <row r="38" spans="1:34" ht="15" thickBot="1" x14ac:dyDescent="0.35">
      <c r="B38" s="445" t="s">
        <v>904</v>
      </c>
      <c r="C38" s="665"/>
      <c r="D38" s="666"/>
      <c r="E38" s="666">
        <f>E15+E16+E21+E30+E34+E36</f>
        <v>18662000</v>
      </c>
      <c r="F38" s="432"/>
      <c r="G38" s="445"/>
      <c r="H38" s="445"/>
      <c r="I38" s="446">
        <f>I15+I21+I30+I34+I36</f>
        <v>62001000</v>
      </c>
      <c r="J38" s="426"/>
      <c r="K38" s="445"/>
      <c r="L38" s="445"/>
      <c r="M38" s="667">
        <f>M15+M21+M30+M34+M36</f>
        <v>41760000</v>
      </c>
      <c r="N38" s="438"/>
      <c r="O38" s="402"/>
      <c r="P38" s="402"/>
      <c r="Q38" s="402"/>
      <c r="R38" s="402"/>
      <c r="S38" s="402"/>
      <c r="T38" s="402"/>
      <c r="U38" s="402"/>
      <c r="V38" s="402"/>
      <c r="W38" s="402"/>
      <c r="X38" s="402"/>
      <c r="Y38" s="402"/>
      <c r="Z38" s="402"/>
      <c r="AA38" s="402"/>
      <c r="AB38" s="402"/>
      <c r="AC38" s="402"/>
      <c r="AD38" s="402"/>
      <c r="AE38" s="402"/>
      <c r="AF38" s="402"/>
      <c r="AG38" s="402"/>
      <c r="AH38" s="402"/>
    </row>
    <row r="39" spans="1:34" ht="15" thickTop="1" x14ac:dyDescent="0.3">
      <c r="B39" s="402"/>
      <c r="C39" s="447"/>
      <c r="D39" s="435"/>
      <c r="E39" s="435"/>
      <c r="F39" s="435"/>
      <c r="G39" s="402"/>
      <c r="H39" s="402"/>
      <c r="I39" s="402"/>
      <c r="J39" s="402"/>
      <c r="K39" s="402"/>
      <c r="L39" s="402"/>
      <c r="M39" s="402"/>
      <c r="N39" s="402"/>
      <c r="O39" s="402"/>
      <c r="P39" s="402"/>
      <c r="Q39" s="402"/>
      <c r="R39" s="402"/>
      <c r="S39" s="402"/>
      <c r="T39" s="402"/>
      <c r="U39" s="402"/>
      <c r="V39" s="402"/>
      <c r="W39" s="402"/>
      <c r="X39" s="402"/>
      <c r="Y39" s="402"/>
      <c r="Z39" s="402"/>
      <c r="AA39" s="402"/>
      <c r="AB39" s="402"/>
      <c r="AC39" s="402"/>
      <c r="AD39" s="402"/>
      <c r="AE39" s="402"/>
      <c r="AF39" s="402"/>
      <c r="AG39" s="402"/>
      <c r="AH39" s="402"/>
    </row>
    <row r="40" spans="1:34" x14ac:dyDescent="0.3">
      <c r="A40" s="668" t="s">
        <v>142</v>
      </c>
      <c r="B40" s="436" t="s">
        <v>905</v>
      </c>
      <c r="C40" s="448">
        <f>C15</f>
        <v>560000</v>
      </c>
      <c r="D40" s="449" t="s">
        <v>761</v>
      </c>
      <c r="E40" s="435"/>
      <c r="F40" s="435"/>
      <c r="G40" s="402"/>
      <c r="H40" s="448">
        <f>G15</f>
        <v>632000</v>
      </c>
      <c r="I40" s="449" t="s">
        <v>761</v>
      </c>
      <c r="J40" s="402"/>
      <c r="K40" s="402"/>
      <c r="L40" s="448">
        <f>K15</f>
        <v>632000</v>
      </c>
      <c r="M40" s="449" t="s">
        <v>761</v>
      </c>
      <c r="N40" s="402"/>
      <c r="O40" s="402"/>
      <c r="P40" s="402"/>
      <c r="Q40" s="402"/>
      <c r="R40" s="402"/>
      <c r="S40" s="402"/>
      <c r="T40" s="402"/>
      <c r="U40" s="402"/>
      <c r="V40" s="402"/>
      <c r="W40" s="402"/>
      <c r="X40" s="402"/>
      <c r="Y40" s="402"/>
      <c r="Z40" s="402"/>
      <c r="AA40" s="402"/>
      <c r="AB40" s="402"/>
      <c r="AC40" s="402"/>
      <c r="AD40" s="402"/>
      <c r="AE40" s="402"/>
      <c r="AF40" s="402"/>
      <c r="AG40" s="402"/>
      <c r="AH40" s="402"/>
    </row>
    <row r="41" spans="1:34" x14ac:dyDescent="0.3">
      <c r="A41" s="668" t="s">
        <v>169</v>
      </c>
      <c r="B41" s="436" t="s">
        <v>906</v>
      </c>
      <c r="C41" s="448">
        <f>C13</f>
        <v>800000</v>
      </c>
      <c r="D41" s="449" t="s">
        <v>761</v>
      </c>
      <c r="E41" s="435"/>
      <c r="F41" s="435"/>
      <c r="G41" s="402"/>
      <c r="H41" s="448">
        <f>G13</f>
        <v>800000</v>
      </c>
      <c r="I41" s="449" t="s">
        <v>761</v>
      </c>
      <c r="J41" s="402"/>
      <c r="K41" s="402"/>
      <c r="L41" s="448">
        <f>K13</f>
        <v>800000</v>
      </c>
      <c r="M41" s="449" t="s">
        <v>761</v>
      </c>
      <c r="N41" s="402"/>
      <c r="O41" s="402"/>
      <c r="P41" s="402"/>
      <c r="Q41" s="402"/>
      <c r="R41" s="402"/>
      <c r="S41" s="402"/>
      <c r="T41" s="402"/>
      <c r="U41" s="402"/>
      <c r="V41" s="402"/>
      <c r="W41" s="402"/>
      <c r="X41" s="402"/>
      <c r="Y41" s="402"/>
      <c r="Z41" s="402"/>
      <c r="AA41" s="402"/>
      <c r="AB41" s="402"/>
      <c r="AC41" s="402"/>
      <c r="AD41" s="402"/>
      <c r="AE41" s="402"/>
      <c r="AF41" s="402"/>
      <c r="AG41" s="402"/>
      <c r="AH41" s="402"/>
    </row>
    <row r="42" spans="1:34" x14ac:dyDescent="0.3">
      <c r="A42" s="668" t="s">
        <v>113</v>
      </c>
      <c r="B42" s="436" t="s">
        <v>907</v>
      </c>
      <c r="C42" s="448">
        <f>C25</f>
        <v>10000</v>
      </c>
      <c r="D42" s="449" t="s">
        <v>761</v>
      </c>
      <c r="E42" s="450"/>
      <c r="F42" s="435"/>
      <c r="G42" s="402"/>
      <c r="H42" s="448">
        <f>G25</f>
        <v>10000</v>
      </c>
      <c r="I42" s="449" t="s">
        <v>761</v>
      </c>
      <c r="J42" s="402"/>
      <c r="K42" s="402"/>
      <c r="L42" s="448">
        <f>K25</f>
        <v>7000</v>
      </c>
      <c r="M42" s="449" t="s">
        <v>761</v>
      </c>
      <c r="N42" s="402"/>
      <c r="O42" s="402"/>
      <c r="P42" s="402"/>
      <c r="Q42" s="402"/>
      <c r="R42" s="402"/>
      <c r="S42" s="402"/>
      <c r="T42" s="402"/>
      <c r="U42" s="402"/>
      <c r="V42" s="402"/>
      <c r="W42" s="402"/>
      <c r="X42" s="402"/>
      <c r="Y42" s="402"/>
      <c r="Z42" s="402"/>
      <c r="AA42" s="402"/>
      <c r="AB42" s="402"/>
      <c r="AC42" s="402"/>
      <c r="AD42" s="402"/>
      <c r="AE42" s="402"/>
      <c r="AF42" s="402"/>
      <c r="AG42" s="402"/>
      <c r="AH42" s="402"/>
    </row>
    <row r="43" spans="1:34" x14ac:dyDescent="0.3">
      <c r="A43" s="668" t="s">
        <v>115</v>
      </c>
      <c r="B43" s="436" t="s">
        <v>908</v>
      </c>
      <c r="C43" s="448">
        <f>C40-C42</f>
        <v>550000</v>
      </c>
      <c r="D43" s="449" t="s">
        <v>761</v>
      </c>
      <c r="E43" s="450"/>
      <c r="F43" s="435"/>
      <c r="G43" s="402"/>
      <c r="H43" s="448">
        <f>H40-H42</f>
        <v>622000</v>
      </c>
      <c r="I43" s="449" t="s">
        <v>761</v>
      </c>
      <c r="J43" s="402"/>
      <c r="K43" s="402"/>
      <c r="L43" s="448">
        <f>K15-K25</f>
        <v>625000</v>
      </c>
      <c r="M43" s="449" t="s">
        <v>761</v>
      </c>
      <c r="N43" s="402"/>
      <c r="O43" s="402"/>
      <c r="P43" s="402"/>
      <c r="Q43" s="402"/>
      <c r="R43" s="402"/>
      <c r="S43" s="402"/>
      <c r="T43" s="402"/>
      <c r="U43" s="402"/>
      <c r="V43" s="402"/>
      <c r="W43" s="402"/>
      <c r="X43" s="402"/>
      <c r="Y43" s="402"/>
      <c r="Z43" s="402"/>
      <c r="AA43" s="402"/>
      <c r="AB43" s="402"/>
      <c r="AC43" s="402"/>
      <c r="AD43" s="402"/>
      <c r="AE43" s="402"/>
      <c r="AF43" s="402"/>
      <c r="AG43" s="402"/>
      <c r="AH43" s="402"/>
    </row>
    <row r="44" spans="1:34" x14ac:dyDescent="0.3">
      <c r="A44" s="668" t="s">
        <v>117</v>
      </c>
      <c r="B44" s="436" t="s">
        <v>909</v>
      </c>
      <c r="C44" s="451">
        <f>E23</f>
        <v>230000</v>
      </c>
      <c r="D44" s="449" t="s">
        <v>910</v>
      </c>
      <c r="E44" s="450"/>
      <c r="F44" s="435"/>
      <c r="G44" s="402"/>
      <c r="H44" s="451">
        <f>I23</f>
        <v>230000</v>
      </c>
      <c r="I44" s="449" t="s">
        <v>910</v>
      </c>
      <c r="J44" s="402"/>
      <c r="K44" s="402"/>
      <c r="L44" s="451">
        <f>M23</f>
        <v>4080000</v>
      </c>
      <c r="M44" s="449" t="s">
        <v>910</v>
      </c>
      <c r="N44" s="402"/>
      <c r="O44" s="402"/>
      <c r="P44" s="402"/>
      <c r="Q44" s="402"/>
      <c r="R44" s="402"/>
      <c r="S44" s="402"/>
      <c r="T44" s="402"/>
      <c r="U44" s="402"/>
      <c r="V44" s="402"/>
      <c r="W44" s="402"/>
      <c r="X44" s="402"/>
      <c r="Y44" s="402"/>
      <c r="Z44" s="402"/>
      <c r="AA44" s="402"/>
      <c r="AB44" s="402"/>
      <c r="AC44" s="402"/>
      <c r="AD44" s="402"/>
      <c r="AE44" s="402"/>
      <c r="AF44" s="402"/>
      <c r="AG44" s="402"/>
      <c r="AH44" s="402"/>
    </row>
    <row r="45" spans="1:34" x14ac:dyDescent="0.3">
      <c r="A45" s="668" t="s">
        <v>119</v>
      </c>
      <c r="B45" s="436" t="s">
        <v>911</v>
      </c>
      <c r="C45" s="451">
        <f>E18</f>
        <v>70000</v>
      </c>
      <c r="D45" s="449" t="s">
        <v>910</v>
      </c>
      <c r="E45" s="450"/>
      <c r="F45" s="435"/>
      <c r="G45" s="402"/>
      <c r="H45" s="451">
        <f>I18</f>
        <v>2884000</v>
      </c>
      <c r="I45" s="449" t="s">
        <v>910</v>
      </c>
      <c r="J45" s="402"/>
      <c r="K45" s="402"/>
      <c r="L45" s="451">
        <f>M18</f>
        <v>2884000</v>
      </c>
      <c r="M45" s="449" t="s">
        <v>910</v>
      </c>
      <c r="N45" s="402"/>
      <c r="O45" s="402"/>
      <c r="P45" s="402"/>
      <c r="Q45" s="402"/>
      <c r="R45" s="402"/>
      <c r="S45" s="402"/>
      <c r="T45" s="402"/>
      <c r="U45" s="402"/>
      <c r="V45" s="402"/>
      <c r="W45" s="402"/>
      <c r="X45" s="402"/>
      <c r="Y45" s="402"/>
      <c r="Z45" s="402"/>
      <c r="AA45" s="402"/>
      <c r="AB45" s="402"/>
      <c r="AC45" s="402"/>
      <c r="AD45" s="402"/>
      <c r="AE45" s="402"/>
      <c r="AF45" s="402"/>
      <c r="AG45" s="402"/>
      <c r="AH45" s="402"/>
    </row>
    <row r="46" spans="1:34" x14ac:dyDescent="0.3">
      <c r="A46" s="668" t="s">
        <v>121</v>
      </c>
      <c r="B46" s="669" t="s">
        <v>912</v>
      </c>
      <c r="C46" s="857" t="s">
        <v>884</v>
      </c>
      <c r="D46" s="858"/>
      <c r="E46" s="450"/>
      <c r="F46" s="435"/>
      <c r="G46" s="402"/>
      <c r="H46" s="857" t="s">
        <v>884</v>
      </c>
      <c r="I46" s="858"/>
      <c r="J46" s="402"/>
      <c r="K46" s="402"/>
      <c r="L46" s="857" t="s">
        <v>884</v>
      </c>
      <c r="M46" s="858"/>
      <c r="N46" s="402"/>
      <c r="O46" s="402"/>
      <c r="P46" s="402"/>
      <c r="Q46" s="402"/>
      <c r="R46" s="402"/>
      <c r="S46" s="402"/>
      <c r="T46" s="402"/>
      <c r="U46" s="402"/>
      <c r="V46" s="402"/>
      <c r="W46" s="402"/>
      <c r="X46" s="402"/>
      <c r="Y46" s="402"/>
      <c r="Z46" s="402"/>
      <c r="AA46" s="402"/>
      <c r="AB46" s="402"/>
      <c r="AC46" s="402"/>
      <c r="AD46" s="402"/>
      <c r="AE46" s="402"/>
      <c r="AF46" s="402"/>
      <c r="AG46" s="402"/>
      <c r="AH46" s="402"/>
    </row>
    <row r="47" spans="1:34" x14ac:dyDescent="0.3">
      <c r="A47" s="668" t="s">
        <v>123</v>
      </c>
      <c r="B47" s="436" t="s">
        <v>913</v>
      </c>
      <c r="C47" s="451">
        <f>E19</f>
        <v>234000</v>
      </c>
      <c r="D47" s="449" t="s">
        <v>910</v>
      </c>
      <c r="E47" s="450"/>
      <c r="F47" s="435"/>
      <c r="G47" s="402"/>
      <c r="H47" s="451">
        <f>I19</f>
        <v>234000</v>
      </c>
      <c r="I47" s="449" t="s">
        <v>910</v>
      </c>
      <c r="J47" s="402"/>
      <c r="K47" s="402"/>
      <c r="L47" s="451">
        <f>M19</f>
        <v>249000</v>
      </c>
      <c r="M47" s="449" t="s">
        <v>910</v>
      </c>
      <c r="N47" s="402"/>
      <c r="O47" s="402"/>
      <c r="P47" s="402"/>
      <c r="Q47" s="402"/>
      <c r="R47" s="402"/>
      <c r="S47" s="402"/>
      <c r="T47" s="402"/>
      <c r="U47" s="402"/>
      <c r="V47" s="402"/>
      <c r="W47" s="402"/>
      <c r="X47" s="402"/>
      <c r="Y47" s="402"/>
      <c r="Z47" s="402"/>
      <c r="AA47" s="402"/>
      <c r="AB47" s="402"/>
      <c r="AC47" s="402"/>
      <c r="AD47" s="402"/>
      <c r="AE47" s="402"/>
      <c r="AF47" s="402"/>
      <c r="AG47" s="402"/>
      <c r="AH47" s="402"/>
    </row>
    <row r="48" spans="1:34" s="398" customFormat="1" x14ac:dyDescent="0.3">
      <c r="A48" s="670" t="s">
        <v>914</v>
      </c>
      <c r="B48" s="671" t="s">
        <v>915</v>
      </c>
      <c r="C48" s="448">
        <f>E38</f>
        <v>18662000</v>
      </c>
      <c r="D48" s="449" t="s">
        <v>910</v>
      </c>
      <c r="E48" s="402"/>
      <c r="F48" s="402"/>
      <c r="G48" s="402"/>
      <c r="H48" s="448">
        <f>I38</f>
        <v>62001000</v>
      </c>
      <c r="I48" s="449" t="s">
        <v>910</v>
      </c>
      <c r="J48" s="402"/>
      <c r="K48" s="435"/>
      <c r="L48" s="448">
        <f>M38</f>
        <v>41760000</v>
      </c>
      <c r="M48" s="449" t="s">
        <v>910</v>
      </c>
      <c r="N48" s="435"/>
      <c r="O48" s="435"/>
      <c r="P48" s="435"/>
      <c r="Q48" s="435"/>
      <c r="R48" s="435"/>
      <c r="S48" s="435"/>
      <c r="T48" s="435"/>
      <c r="U48" s="435"/>
      <c r="V48" s="435"/>
      <c r="W48" s="435"/>
      <c r="X48" s="435"/>
      <c r="Y48" s="435"/>
      <c r="Z48" s="435"/>
      <c r="AA48" s="435"/>
      <c r="AB48" s="435"/>
      <c r="AC48" s="435"/>
      <c r="AD48" s="435"/>
      <c r="AE48" s="435"/>
      <c r="AF48" s="435"/>
      <c r="AG48" s="435"/>
      <c r="AH48" s="435"/>
    </row>
    <row r="49" spans="1:34" s="398" customFormat="1" x14ac:dyDescent="0.3">
      <c r="A49" s="670" t="s">
        <v>916</v>
      </c>
      <c r="B49" s="671" t="s">
        <v>917</v>
      </c>
      <c r="C49" s="452">
        <f>E38/C43</f>
        <v>33.93090909090909</v>
      </c>
      <c r="D49" s="449" t="s">
        <v>910</v>
      </c>
      <c r="E49" s="402"/>
      <c r="F49" s="402"/>
      <c r="G49" s="402"/>
      <c r="H49" s="452">
        <f>I38/H43</f>
        <v>99.680064308681679</v>
      </c>
      <c r="I49" s="449" t="s">
        <v>910</v>
      </c>
      <c r="J49" s="402"/>
      <c r="K49" s="435"/>
      <c r="L49" s="452">
        <f>M38/L43</f>
        <v>66.816000000000003</v>
      </c>
      <c r="M49" s="449" t="s">
        <v>910</v>
      </c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5"/>
      <c r="AE49" s="435"/>
      <c r="AF49" s="435"/>
      <c r="AG49" s="435"/>
      <c r="AH49" s="435"/>
    </row>
    <row r="50" spans="1:34" ht="15" thickBot="1" x14ac:dyDescent="0.35">
      <c r="A50" s="670" t="s">
        <v>918</v>
      </c>
      <c r="B50" s="436" t="s">
        <v>919</v>
      </c>
      <c r="C50" s="448">
        <f>E32/C43</f>
        <v>0</v>
      </c>
      <c r="D50" s="449" t="s">
        <v>910</v>
      </c>
      <c r="E50" s="450"/>
      <c r="F50" s="435"/>
      <c r="G50" s="402"/>
      <c r="H50" s="448">
        <f>I32/H43</f>
        <v>61.89710610932476</v>
      </c>
      <c r="I50" s="449" t="s">
        <v>910</v>
      </c>
      <c r="J50" s="402"/>
      <c r="K50" s="402"/>
      <c r="L50" s="436">
        <f>M32/L43</f>
        <v>0</v>
      </c>
      <c r="M50" s="436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402"/>
      <c r="AB50" s="402"/>
      <c r="AC50" s="402"/>
      <c r="AD50" s="402"/>
      <c r="AE50" s="402"/>
      <c r="AF50" s="402"/>
      <c r="AG50" s="402"/>
      <c r="AH50" s="402"/>
    </row>
    <row r="51" spans="1:34" ht="15" thickBot="1" x14ac:dyDescent="0.35">
      <c r="B51" s="672" t="s">
        <v>920</v>
      </c>
      <c r="C51" s="447"/>
      <c r="D51" s="435"/>
      <c r="E51" s="673">
        <f>E20+E16</f>
        <v>2760000</v>
      </c>
      <c r="F51" s="435"/>
      <c r="G51" s="402">
        <f>E51/F53</f>
        <v>110400</v>
      </c>
      <c r="H51" s="435">
        <v>38500000</v>
      </c>
      <c r="I51" s="402" t="s">
        <v>921</v>
      </c>
      <c r="J51" s="402"/>
      <c r="K51" s="402"/>
      <c r="L51" s="402"/>
      <c r="M51" s="402"/>
      <c r="N51" s="402"/>
      <c r="O51" s="402"/>
      <c r="P51" s="402"/>
      <c r="Q51" s="402"/>
      <c r="R51" s="402"/>
      <c r="S51" s="402"/>
      <c r="T51" s="402"/>
      <c r="U51" s="402"/>
      <c r="V51" s="402"/>
      <c r="W51" s="402"/>
      <c r="X51" s="402"/>
      <c r="Y51" s="402"/>
      <c r="Z51" s="402"/>
      <c r="AA51" s="402"/>
      <c r="AB51" s="402"/>
      <c r="AC51" s="402"/>
      <c r="AD51" s="402"/>
      <c r="AE51" s="402"/>
      <c r="AF51" s="402"/>
      <c r="AG51" s="402"/>
      <c r="AH51" s="402"/>
    </row>
    <row r="52" spans="1:34" x14ac:dyDescent="0.3">
      <c r="B52" s="402" t="s">
        <v>922</v>
      </c>
      <c r="C52" s="447"/>
      <c r="D52" s="435"/>
      <c r="E52" s="450">
        <v>92</v>
      </c>
      <c r="F52" s="435"/>
      <c r="G52" s="402"/>
      <c r="H52" s="402"/>
      <c r="I52" s="402" t="s">
        <v>923</v>
      </c>
      <c r="J52" s="402"/>
      <c r="K52" s="402"/>
      <c r="L52" s="402"/>
      <c r="M52" s="402"/>
      <c r="N52" s="402"/>
      <c r="O52" s="402"/>
      <c r="P52" s="402"/>
      <c r="Q52" s="402"/>
      <c r="R52" s="402"/>
      <c r="S52" s="402"/>
      <c r="T52" s="402"/>
      <c r="U52" s="402"/>
      <c r="V52" s="402"/>
      <c r="W52" s="402"/>
      <c r="X52" s="402"/>
      <c r="Y52" s="402"/>
      <c r="Z52" s="402"/>
      <c r="AA52" s="402"/>
      <c r="AB52" s="402"/>
      <c r="AC52" s="402"/>
      <c r="AD52" s="402"/>
      <c r="AE52" s="402"/>
      <c r="AF52" s="402"/>
      <c r="AG52" s="402"/>
      <c r="AH52" s="402"/>
    </row>
    <row r="53" spans="1:34" x14ac:dyDescent="0.3">
      <c r="B53" s="402" t="s">
        <v>924</v>
      </c>
      <c r="C53" s="447"/>
      <c r="D53" s="450" t="s">
        <v>761</v>
      </c>
      <c r="E53" s="674">
        <f>E51/E52</f>
        <v>30000</v>
      </c>
      <c r="F53" s="435">
        <v>25</v>
      </c>
      <c r="G53" s="435">
        <f>E53*25</f>
        <v>750000</v>
      </c>
      <c r="H53" s="438">
        <f>H51*I53</f>
        <v>3850000</v>
      </c>
      <c r="I53" s="418">
        <v>0.1</v>
      </c>
      <c r="J53" s="402" t="s">
        <v>49</v>
      </c>
      <c r="K53" s="402"/>
      <c r="L53" s="402"/>
      <c r="M53" s="402"/>
      <c r="N53" s="402"/>
      <c r="O53" s="402"/>
      <c r="P53" s="402"/>
      <c r="Q53" s="402"/>
      <c r="R53" s="402"/>
      <c r="S53" s="402"/>
      <c r="T53" s="402"/>
      <c r="U53" s="402"/>
      <c r="V53" s="402"/>
      <c r="W53" s="402"/>
      <c r="X53" s="402"/>
      <c r="Y53" s="402"/>
      <c r="Z53" s="402"/>
      <c r="AA53" s="402"/>
      <c r="AB53" s="402"/>
      <c r="AC53" s="402"/>
      <c r="AD53" s="402"/>
      <c r="AE53" s="402"/>
      <c r="AF53" s="402"/>
      <c r="AG53" s="402"/>
      <c r="AH53" s="402"/>
    </row>
    <row r="54" spans="1:34" x14ac:dyDescent="0.3">
      <c r="B54" s="402"/>
      <c r="C54" s="447"/>
      <c r="D54" s="435"/>
      <c r="E54" s="450"/>
      <c r="F54" s="435">
        <f>92-25</f>
        <v>67</v>
      </c>
      <c r="G54" s="435">
        <f>E53*(92-25)</f>
        <v>2010000</v>
      </c>
      <c r="H54" s="438">
        <f>H51*I54</f>
        <v>9625000</v>
      </c>
      <c r="I54" s="418">
        <v>0.25</v>
      </c>
      <c r="J54" s="402" t="s">
        <v>925</v>
      </c>
      <c r="K54" s="402"/>
      <c r="L54" s="402"/>
      <c r="M54" s="402"/>
      <c r="N54" s="402"/>
      <c r="O54" s="402"/>
      <c r="P54" s="402"/>
      <c r="Q54" s="402"/>
      <c r="R54" s="402"/>
      <c r="S54" s="402"/>
      <c r="T54" s="402"/>
      <c r="U54" s="402"/>
      <c r="V54" s="402"/>
      <c r="W54" s="402"/>
      <c r="X54" s="402"/>
      <c r="Y54" s="402"/>
      <c r="Z54" s="402"/>
      <c r="AA54" s="402"/>
      <c r="AB54" s="402"/>
      <c r="AC54" s="402"/>
      <c r="AD54" s="402"/>
      <c r="AE54" s="402"/>
      <c r="AF54" s="402"/>
      <c r="AG54" s="402"/>
      <c r="AH54" s="402"/>
    </row>
    <row r="55" spans="1:34" ht="43.5" customHeight="1" x14ac:dyDescent="0.3">
      <c r="B55" s="436" t="s">
        <v>926</v>
      </c>
      <c r="C55" s="449">
        <f>E51</f>
        <v>2760000</v>
      </c>
      <c r="D55" s="449"/>
      <c r="E55" s="981" t="s">
        <v>927</v>
      </c>
      <c r="F55" s="435"/>
      <c r="G55" s="402"/>
      <c r="H55" s="435">
        <f>I55*3*11</f>
        <v>20526000</v>
      </c>
      <c r="I55" s="447">
        <v>622000</v>
      </c>
      <c r="J55" s="459" t="s">
        <v>789</v>
      </c>
      <c r="K55" s="402" t="s">
        <v>928</v>
      </c>
      <c r="L55" s="402"/>
      <c r="M55" s="402"/>
      <c r="N55" s="402"/>
      <c r="O55" s="402"/>
      <c r="P55" s="402"/>
      <c r="Q55" s="402"/>
      <c r="R55" s="402"/>
      <c r="S55" s="402"/>
      <c r="T55" s="402"/>
      <c r="U55" s="402"/>
      <c r="V55" s="402"/>
      <c r="W55" s="402"/>
      <c r="X55" s="402"/>
      <c r="Y55" s="402"/>
      <c r="Z55" s="402"/>
      <c r="AA55" s="402"/>
      <c r="AB55" s="402"/>
      <c r="AC55" s="402"/>
      <c r="AD55" s="402"/>
      <c r="AE55" s="402"/>
      <c r="AF55" s="402"/>
      <c r="AG55" s="402"/>
      <c r="AH55" s="402"/>
    </row>
    <row r="56" spans="1:34" ht="33" customHeight="1" x14ac:dyDescent="0.3">
      <c r="B56" s="460" t="s">
        <v>810</v>
      </c>
      <c r="C56" s="448"/>
      <c r="D56" s="449">
        <f>E53*D15</f>
        <v>750000</v>
      </c>
      <c r="E56" s="981"/>
      <c r="F56" s="435"/>
      <c r="G56" s="402" t="s">
        <v>929</v>
      </c>
      <c r="H56" s="461">
        <f>SUM(H53:H55)</f>
        <v>34001000</v>
      </c>
      <c r="I56" s="400" t="s">
        <v>930</v>
      </c>
      <c r="J56" s="402"/>
      <c r="K56" s="402"/>
      <c r="L56" s="402"/>
      <c r="M56" s="402"/>
      <c r="N56" s="402"/>
      <c r="O56" s="402"/>
      <c r="P56" s="402"/>
      <c r="Q56" s="402"/>
      <c r="R56" s="402"/>
      <c r="S56" s="402"/>
      <c r="T56" s="402"/>
      <c r="U56" s="402"/>
      <c r="V56" s="402"/>
      <c r="W56" s="402"/>
      <c r="X56" s="402"/>
      <c r="Y56" s="402"/>
      <c r="Z56" s="402"/>
      <c r="AA56" s="402"/>
      <c r="AB56" s="402"/>
      <c r="AC56" s="402"/>
      <c r="AD56" s="402"/>
      <c r="AE56" s="402"/>
      <c r="AF56" s="402"/>
      <c r="AG56" s="402"/>
      <c r="AH56" s="402"/>
    </row>
    <row r="57" spans="1:34" ht="43.5" customHeight="1" x14ac:dyDescent="0.3">
      <c r="B57" s="460" t="s">
        <v>768</v>
      </c>
      <c r="C57" s="448"/>
      <c r="D57" s="449">
        <f>C55-D56</f>
        <v>2010000</v>
      </c>
      <c r="E57" s="981"/>
      <c r="F57" s="435"/>
      <c r="G57" s="402" t="s">
        <v>931</v>
      </c>
      <c r="H57" s="438">
        <f>H51-H56</f>
        <v>4499000</v>
      </c>
      <c r="I57" s="402" t="s">
        <v>63</v>
      </c>
      <c r="J57" s="402"/>
      <c r="K57" s="402"/>
      <c r="L57" s="402"/>
      <c r="M57" s="402"/>
      <c r="N57" s="402"/>
      <c r="O57" s="402"/>
      <c r="P57" s="402"/>
      <c r="Q57" s="402"/>
      <c r="R57" s="402"/>
      <c r="S57" s="402"/>
      <c r="T57" s="402"/>
      <c r="U57" s="402"/>
      <c r="V57" s="402"/>
      <c r="W57" s="402"/>
      <c r="X57" s="402"/>
      <c r="Y57" s="402"/>
      <c r="Z57" s="402"/>
      <c r="AA57" s="402"/>
      <c r="AB57" s="402"/>
      <c r="AC57" s="402"/>
      <c r="AD57" s="402"/>
      <c r="AE57" s="402"/>
      <c r="AF57" s="402"/>
      <c r="AG57" s="402"/>
      <c r="AH57" s="402"/>
    </row>
    <row r="58" spans="1:34" ht="22.5" customHeight="1" x14ac:dyDescent="0.3">
      <c r="B58" s="982" t="s">
        <v>932</v>
      </c>
      <c r="C58" s="447"/>
      <c r="D58" s="435"/>
      <c r="E58" s="450"/>
      <c r="F58" s="435"/>
      <c r="G58" s="402"/>
      <c r="H58" s="402"/>
      <c r="I58" s="402"/>
      <c r="J58" s="402"/>
      <c r="K58" s="402"/>
      <c r="L58" s="402"/>
      <c r="M58" s="402"/>
      <c r="N58" s="402"/>
      <c r="O58" s="402"/>
      <c r="P58" s="402"/>
      <c r="Q58" s="402"/>
      <c r="R58" s="402"/>
      <c r="S58" s="402"/>
      <c r="T58" s="402"/>
      <c r="U58" s="402"/>
      <c r="V58" s="402"/>
      <c r="W58" s="402"/>
      <c r="X58" s="402"/>
      <c r="Y58" s="402"/>
      <c r="Z58" s="402"/>
      <c r="AA58" s="402"/>
      <c r="AB58" s="402"/>
      <c r="AC58" s="402"/>
      <c r="AD58" s="402"/>
      <c r="AE58" s="402"/>
      <c r="AF58" s="402"/>
      <c r="AG58" s="402"/>
      <c r="AH58" s="402"/>
    </row>
    <row r="59" spans="1:34" x14ac:dyDescent="0.3">
      <c r="B59" s="436" t="s">
        <v>933</v>
      </c>
      <c r="C59" s="675" t="s">
        <v>436</v>
      </c>
      <c r="D59" s="676" t="s">
        <v>437</v>
      </c>
      <c r="E59" s="450"/>
      <c r="F59" s="435"/>
      <c r="K59" s="402"/>
      <c r="L59" s="402"/>
      <c r="M59" s="402"/>
      <c r="N59" s="402"/>
      <c r="O59" s="402"/>
      <c r="P59" s="402"/>
      <c r="Q59" s="402"/>
      <c r="R59" s="402"/>
      <c r="S59" s="402"/>
      <c r="T59" s="402"/>
      <c r="U59" s="402"/>
      <c r="V59" s="402"/>
      <c r="W59" s="402"/>
      <c r="X59" s="402"/>
      <c r="Y59" s="402"/>
      <c r="Z59" s="402"/>
      <c r="AA59" s="402"/>
      <c r="AB59" s="402"/>
      <c r="AC59" s="402"/>
      <c r="AD59" s="402"/>
      <c r="AE59" s="402"/>
      <c r="AF59" s="402"/>
      <c r="AG59" s="402"/>
      <c r="AH59" s="402"/>
    </row>
    <row r="60" spans="1:34" x14ac:dyDescent="0.3">
      <c r="B60" s="436" t="s">
        <v>934</v>
      </c>
      <c r="C60" s="448">
        <f>D56</f>
        <v>750000</v>
      </c>
      <c r="D60" s="449"/>
      <c r="E60" s="450"/>
      <c r="F60" s="435"/>
      <c r="K60" s="402" t="s">
        <v>935</v>
      </c>
      <c r="L60" s="402"/>
      <c r="M60" s="402"/>
      <c r="N60" s="402"/>
      <c r="O60" s="402"/>
      <c r="P60" s="402"/>
      <c r="Q60" s="402"/>
      <c r="R60" s="402"/>
      <c r="S60" s="402"/>
      <c r="T60" s="402"/>
      <c r="U60" s="402"/>
      <c r="V60" s="402"/>
      <c r="W60" s="402"/>
      <c r="X60" s="402"/>
      <c r="Y60" s="402"/>
      <c r="Z60" s="402"/>
      <c r="AA60" s="402"/>
      <c r="AB60" s="402"/>
      <c r="AC60" s="402"/>
      <c r="AD60" s="402"/>
      <c r="AE60" s="402"/>
      <c r="AF60" s="402"/>
      <c r="AG60" s="402"/>
      <c r="AH60" s="402"/>
    </row>
    <row r="61" spans="1:34" x14ac:dyDescent="0.3">
      <c r="B61" s="460" t="s">
        <v>936</v>
      </c>
      <c r="C61" s="448"/>
      <c r="D61" s="449">
        <f>C60</f>
        <v>750000</v>
      </c>
      <c r="E61" s="450"/>
      <c r="F61" s="435"/>
      <c r="K61" s="402"/>
      <c r="L61" s="402"/>
      <c r="M61" s="402"/>
      <c r="N61" s="402"/>
      <c r="O61" s="402"/>
      <c r="P61" s="402"/>
      <c r="Q61" s="402"/>
      <c r="R61" s="402"/>
      <c r="S61" s="402"/>
      <c r="T61" s="402"/>
      <c r="U61" s="402"/>
      <c r="V61" s="402"/>
      <c r="W61" s="402"/>
      <c r="X61" s="402"/>
      <c r="Y61" s="402"/>
      <c r="Z61" s="402"/>
      <c r="AA61" s="402"/>
      <c r="AB61" s="402"/>
      <c r="AC61" s="402"/>
      <c r="AD61" s="402"/>
      <c r="AE61" s="402"/>
      <c r="AF61" s="402"/>
      <c r="AG61" s="402"/>
      <c r="AH61" s="402"/>
    </row>
    <row r="62" spans="1:34" ht="15" thickBot="1" x14ac:dyDescent="0.35">
      <c r="B62" s="462"/>
      <c r="C62" s="447"/>
      <c r="D62" s="435"/>
      <c r="E62" s="450"/>
      <c r="F62" s="435"/>
      <c r="K62" s="402" t="s">
        <v>937</v>
      </c>
      <c r="L62" s="402"/>
      <c r="M62" s="402" t="s">
        <v>938</v>
      </c>
      <c r="N62" s="402"/>
      <c r="O62" s="402"/>
      <c r="P62" s="402"/>
      <c r="Q62" s="402"/>
      <c r="R62" s="402"/>
      <c r="S62" s="402"/>
      <c r="T62" s="402"/>
      <c r="U62" s="402"/>
      <c r="V62" s="402"/>
      <c r="W62" s="402"/>
      <c r="X62" s="402"/>
      <c r="Y62" s="402"/>
      <c r="Z62" s="402"/>
      <c r="AA62" s="402"/>
      <c r="AB62" s="402"/>
      <c r="AC62" s="402"/>
      <c r="AD62" s="402"/>
      <c r="AE62" s="402"/>
      <c r="AF62" s="402"/>
      <c r="AG62" s="402"/>
      <c r="AH62" s="402"/>
    </row>
    <row r="63" spans="1:34" x14ac:dyDescent="0.3">
      <c r="B63" s="983" t="s">
        <v>939</v>
      </c>
      <c r="C63" s="677" t="s">
        <v>414</v>
      </c>
      <c r="D63" s="678" t="s">
        <v>721</v>
      </c>
      <c r="E63" s="450"/>
      <c r="F63" s="435"/>
      <c r="K63" s="402"/>
      <c r="L63" s="402"/>
      <c r="M63" s="402"/>
      <c r="N63" s="402"/>
      <c r="O63" s="402"/>
      <c r="P63" s="402"/>
      <c r="Q63" s="402"/>
      <c r="R63" s="402"/>
      <c r="S63" s="402"/>
      <c r="T63" s="402"/>
      <c r="U63" s="402"/>
      <c r="V63" s="402"/>
      <c r="W63" s="402"/>
      <c r="X63" s="402"/>
      <c r="Y63" s="402"/>
      <c r="Z63" s="402"/>
      <c r="AA63" s="402"/>
      <c r="AB63" s="402"/>
      <c r="AC63" s="402"/>
      <c r="AD63" s="402"/>
      <c r="AE63" s="402"/>
      <c r="AF63" s="402"/>
      <c r="AG63" s="402"/>
      <c r="AH63" s="402"/>
    </row>
    <row r="64" spans="1:34" x14ac:dyDescent="0.3">
      <c r="B64" s="679" t="s">
        <v>940</v>
      </c>
      <c r="C64" s="448">
        <v>120000</v>
      </c>
      <c r="D64" s="680"/>
      <c r="E64" s="450"/>
      <c r="F64" s="435"/>
      <c r="G64" s="402"/>
      <c r="H64" s="402"/>
      <c r="I64" s="402"/>
      <c r="J64" s="402"/>
      <c r="K64" s="402"/>
      <c r="L64" s="402"/>
      <c r="M64" s="402"/>
      <c r="N64" s="402"/>
      <c r="O64" s="402"/>
      <c r="P64" s="402"/>
      <c r="Q64" s="402"/>
      <c r="R64" s="402"/>
      <c r="S64" s="402"/>
      <c r="T64" s="402"/>
      <c r="U64" s="402"/>
      <c r="V64" s="402"/>
      <c r="W64" s="402"/>
      <c r="X64" s="402"/>
      <c r="Y64" s="402"/>
      <c r="Z64" s="402"/>
      <c r="AA64" s="402"/>
      <c r="AB64" s="402"/>
      <c r="AC64" s="402"/>
      <c r="AD64" s="402"/>
      <c r="AE64" s="402"/>
      <c r="AF64" s="402"/>
      <c r="AG64" s="402"/>
      <c r="AH64" s="402"/>
    </row>
    <row r="65" spans="2:34" ht="15" thickBot="1" x14ac:dyDescent="0.35">
      <c r="B65" s="681" t="s">
        <v>941</v>
      </c>
      <c r="C65" s="682"/>
      <c r="D65" s="683">
        <v>120000</v>
      </c>
      <c r="E65" s="450"/>
      <c r="F65" s="435"/>
      <c r="G65" s="402"/>
      <c r="H65" s="402"/>
      <c r="I65" s="402"/>
      <c r="J65" s="402"/>
      <c r="K65" s="402"/>
      <c r="L65" s="402"/>
      <c r="M65" s="402"/>
      <c r="N65" s="402"/>
      <c r="O65" s="402"/>
      <c r="P65" s="402"/>
      <c r="Q65" s="402"/>
      <c r="R65" s="402"/>
      <c r="S65" s="402"/>
      <c r="T65" s="402"/>
      <c r="U65" s="402"/>
      <c r="V65" s="402"/>
      <c r="W65" s="402"/>
      <c r="X65" s="402"/>
      <c r="Y65" s="402"/>
      <c r="Z65" s="402"/>
      <c r="AA65" s="402"/>
      <c r="AB65" s="402"/>
      <c r="AC65" s="402"/>
      <c r="AD65" s="402"/>
      <c r="AE65" s="402"/>
      <c r="AF65" s="402"/>
      <c r="AG65" s="402"/>
      <c r="AH65" s="402"/>
    </row>
    <row r="66" spans="2:34" x14ac:dyDescent="0.3">
      <c r="B66" s="462"/>
      <c r="C66" s="447"/>
      <c r="D66" s="435"/>
      <c r="E66" s="450"/>
      <c r="F66" s="435"/>
      <c r="G66" s="402"/>
      <c r="H66" s="402"/>
      <c r="I66" s="402"/>
      <c r="J66" s="402"/>
      <c r="K66" s="402"/>
      <c r="L66" s="402"/>
      <c r="M66" s="402"/>
      <c r="N66" s="402"/>
      <c r="O66" s="402"/>
      <c r="P66" s="402"/>
      <c r="Q66" s="402"/>
      <c r="R66" s="402"/>
      <c r="S66" s="402"/>
      <c r="T66" s="402"/>
      <c r="U66" s="402"/>
      <c r="V66" s="402"/>
      <c r="W66" s="402"/>
      <c r="X66" s="402"/>
      <c r="Y66" s="402"/>
      <c r="Z66" s="402"/>
      <c r="AA66" s="402"/>
      <c r="AB66" s="402"/>
      <c r="AC66" s="402"/>
      <c r="AD66" s="402"/>
      <c r="AE66" s="402"/>
      <c r="AF66" s="402"/>
      <c r="AG66" s="402"/>
      <c r="AH66" s="402"/>
    </row>
    <row r="67" spans="2:34" x14ac:dyDescent="0.3">
      <c r="B67" s="402" t="s">
        <v>942</v>
      </c>
      <c r="C67" s="447" t="s">
        <v>943</v>
      </c>
      <c r="D67" s="435"/>
      <c r="E67" s="450"/>
      <c r="F67" s="435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402"/>
      <c r="V67" s="402"/>
      <c r="W67" s="402"/>
      <c r="X67" s="402"/>
      <c r="Y67" s="402"/>
      <c r="Z67" s="402"/>
      <c r="AA67" s="402"/>
      <c r="AB67" s="402"/>
      <c r="AC67" s="402"/>
      <c r="AD67" s="402"/>
      <c r="AE67" s="402"/>
      <c r="AF67" s="402"/>
      <c r="AG67" s="402"/>
      <c r="AH67" s="402"/>
    </row>
    <row r="68" spans="2:34" x14ac:dyDescent="0.3">
      <c r="B68" s="402" t="s">
        <v>944</v>
      </c>
      <c r="C68" s="447">
        <v>210000</v>
      </c>
      <c r="D68" s="435"/>
      <c r="E68" s="450"/>
      <c r="F68" s="435"/>
      <c r="G68" s="447">
        <v>210000</v>
      </c>
      <c r="H68" s="402" t="s">
        <v>761</v>
      </c>
      <c r="I68" s="402"/>
      <c r="J68" s="402"/>
      <c r="K68" s="402" t="s">
        <v>945</v>
      </c>
      <c r="L68" s="402"/>
      <c r="M68" s="402"/>
      <c r="N68" s="402"/>
      <c r="O68" s="402"/>
      <c r="P68" s="402"/>
      <c r="Q68" s="402"/>
      <c r="R68" s="402"/>
      <c r="S68" s="402"/>
      <c r="T68" s="402"/>
      <c r="U68" s="402"/>
      <c r="V68" s="402"/>
      <c r="W68" s="402"/>
      <c r="X68" s="402"/>
      <c r="Y68" s="402"/>
      <c r="Z68" s="402"/>
      <c r="AA68" s="402"/>
      <c r="AB68" s="402"/>
      <c r="AC68" s="402"/>
      <c r="AD68" s="402"/>
      <c r="AE68" s="402"/>
      <c r="AF68" s="402"/>
      <c r="AG68" s="402"/>
      <c r="AH68" s="402"/>
    </row>
    <row r="69" spans="2:34" ht="15" thickBot="1" x14ac:dyDescent="0.35">
      <c r="B69" s="982" t="s">
        <v>946</v>
      </c>
      <c r="C69" s="684">
        <v>0.2</v>
      </c>
      <c r="D69" s="435"/>
      <c r="E69" s="450"/>
      <c r="F69" s="435"/>
      <c r="G69" s="473">
        <f>G68*0.2</f>
        <v>42000</v>
      </c>
      <c r="H69" s="402" t="s">
        <v>761</v>
      </c>
      <c r="I69" s="402"/>
      <c r="J69" s="402"/>
      <c r="K69" s="436" t="s">
        <v>947</v>
      </c>
      <c r="L69" s="436"/>
      <c r="M69" s="449">
        <f>5000*95</f>
        <v>475000</v>
      </c>
      <c r="N69" s="436"/>
      <c r="O69" s="402"/>
      <c r="P69" s="402"/>
      <c r="Q69" s="402"/>
      <c r="R69" s="402"/>
      <c r="S69" s="402"/>
      <c r="T69" s="402"/>
      <c r="U69" s="402"/>
      <c r="V69" s="402"/>
      <c r="W69" s="402"/>
      <c r="X69" s="402"/>
      <c r="Y69" s="402"/>
      <c r="Z69" s="402"/>
      <c r="AA69" s="402"/>
      <c r="AB69" s="402"/>
      <c r="AC69" s="402"/>
      <c r="AD69" s="402"/>
      <c r="AE69" s="402"/>
      <c r="AF69" s="402"/>
      <c r="AG69" s="402"/>
      <c r="AH69" s="402"/>
    </row>
    <row r="70" spans="2:34" x14ac:dyDescent="0.3">
      <c r="B70" s="685"/>
      <c r="C70" s="686" t="s">
        <v>414</v>
      </c>
      <c r="D70" s="687" t="s">
        <v>721</v>
      </c>
      <c r="E70" s="450"/>
      <c r="F70" s="435"/>
      <c r="G70" s="463">
        <v>92</v>
      </c>
      <c r="H70" s="402" t="s">
        <v>948</v>
      </c>
      <c r="I70" s="402"/>
      <c r="J70" s="402"/>
      <c r="K70" s="839" t="s">
        <v>772</v>
      </c>
      <c r="L70" s="840"/>
      <c r="M70" s="841"/>
      <c r="N70" s="464">
        <f>M69</f>
        <v>475000</v>
      </c>
      <c r="O70" s="402"/>
      <c r="P70" s="402"/>
      <c r="Q70" s="402"/>
      <c r="R70" s="402"/>
      <c r="S70" s="402"/>
      <c r="T70" s="402"/>
      <c r="U70" s="402"/>
      <c r="V70" s="402"/>
      <c r="W70" s="402"/>
      <c r="X70" s="402"/>
      <c r="Y70" s="402"/>
      <c r="Z70" s="402"/>
      <c r="AA70" s="402"/>
      <c r="AB70" s="402"/>
      <c r="AC70" s="402"/>
      <c r="AD70" s="402"/>
      <c r="AE70" s="402"/>
      <c r="AF70" s="402"/>
      <c r="AG70" s="402"/>
      <c r="AH70" s="402"/>
    </row>
    <row r="71" spans="2:34" x14ac:dyDescent="0.3">
      <c r="B71" s="688" t="s">
        <v>144</v>
      </c>
      <c r="C71" s="689">
        <f>G71</f>
        <v>3864000</v>
      </c>
      <c r="D71" s="680"/>
      <c r="E71" s="450"/>
      <c r="F71" s="435"/>
      <c r="G71" s="435">
        <f>G69*G70</f>
        <v>3864000</v>
      </c>
      <c r="H71" s="402"/>
      <c r="I71" s="402"/>
      <c r="J71" s="402"/>
      <c r="K71" s="402"/>
      <c r="L71" s="402"/>
      <c r="M71" s="402"/>
      <c r="N71" s="402"/>
      <c r="O71" s="402"/>
      <c r="P71" s="402"/>
      <c r="Q71" s="402"/>
      <c r="R71" s="402"/>
      <c r="S71" s="402"/>
      <c r="T71" s="402"/>
      <c r="U71" s="402"/>
      <c r="V71" s="402"/>
      <c r="W71" s="402"/>
      <c r="X71" s="402"/>
      <c r="Y71" s="402"/>
      <c r="Z71" s="402"/>
      <c r="AA71" s="402"/>
      <c r="AB71" s="402"/>
      <c r="AC71" s="402"/>
      <c r="AD71" s="402"/>
      <c r="AE71" s="402"/>
      <c r="AF71" s="402"/>
      <c r="AG71" s="402"/>
      <c r="AH71" s="402"/>
    </row>
    <row r="72" spans="2:34" x14ac:dyDescent="0.3">
      <c r="B72" s="690" t="s">
        <v>44</v>
      </c>
      <c r="C72" s="689"/>
      <c r="D72" s="691">
        <f>G69*25</f>
        <v>1050000</v>
      </c>
      <c r="E72" s="450"/>
      <c r="F72" s="435"/>
      <c r="G72" s="402"/>
      <c r="H72" s="402"/>
      <c r="I72" s="402"/>
      <c r="J72" s="402"/>
      <c r="K72" s="402" t="s">
        <v>949</v>
      </c>
      <c r="L72" s="402"/>
      <c r="M72" s="438">
        <f>M69</f>
        <v>475000</v>
      </c>
      <c r="N72" s="402"/>
      <c r="O72" s="402"/>
      <c r="P72" s="402"/>
      <c r="Q72" s="402"/>
      <c r="R72" s="402"/>
      <c r="S72" s="402"/>
      <c r="T72" s="402"/>
      <c r="U72" s="402"/>
      <c r="V72" s="402"/>
      <c r="W72" s="402"/>
      <c r="X72" s="402"/>
      <c r="Y72" s="402"/>
      <c r="Z72" s="402"/>
      <c r="AA72" s="402"/>
      <c r="AB72" s="402"/>
      <c r="AC72" s="402"/>
      <c r="AD72" s="402"/>
      <c r="AE72" s="402"/>
      <c r="AF72" s="402"/>
      <c r="AG72" s="402"/>
      <c r="AH72" s="402"/>
    </row>
    <row r="73" spans="2:34" ht="15" thickBot="1" x14ac:dyDescent="0.35">
      <c r="B73" s="692" t="s">
        <v>46</v>
      </c>
      <c r="C73" s="693"/>
      <c r="D73" s="694">
        <f>G69*(G70-25)</f>
        <v>2814000</v>
      </c>
      <c r="E73" s="450"/>
      <c r="F73" s="435"/>
      <c r="G73" s="402"/>
      <c r="H73" s="402"/>
      <c r="I73" s="402"/>
      <c r="J73" s="402"/>
      <c r="K73" s="402"/>
      <c r="L73" s="402" t="s">
        <v>144</v>
      </c>
      <c r="M73" s="402"/>
      <c r="N73" s="438">
        <f>M72</f>
        <v>475000</v>
      </c>
      <c r="O73" s="402"/>
      <c r="P73" s="402"/>
      <c r="Q73" s="402"/>
      <c r="R73" s="402"/>
      <c r="S73" s="402"/>
      <c r="T73" s="402"/>
      <c r="U73" s="402"/>
      <c r="V73" s="402"/>
      <c r="W73" s="402"/>
      <c r="X73" s="402"/>
      <c r="Y73" s="402"/>
      <c r="Z73" s="402"/>
      <c r="AA73" s="402"/>
      <c r="AB73" s="402"/>
      <c r="AC73" s="402"/>
      <c r="AD73" s="402"/>
      <c r="AE73" s="402"/>
      <c r="AF73" s="402"/>
      <c r="AG73" s="402"/>
      <c r="AH73" s="402"/>
    </row>
    <row r="74" spans="2:34" ht="15" thickBot="1" x14ac:dyDescent="0.35">
      <c r="B74" s="402"/>
      <c r="C74" s="447"/>
      <c r="D74" s="435"/>
      <c r="E74" s="450"/>
      <c r="F74" s="435"/>
      <c r="G74" s="402"/>
      <c r="H74" s="402"/>
      <c r="I74" s="402"/>
      <c r="J74" s="402"/>
      <c r="K74" s="402"/>
      <c r="L74" s="402"/>
      <c r="M74" s="402"/>
      <c r="N74" s="402"/>
      <c r="O74" s="402"/>
      <c r="P74" s="402"/>
      <c r="Q74" s="402"/>
      <c r="R74" s="402"/>
      <c r="S74" s="402"/>
      <c r="T74" s="402"/>
      <c r="U74" s="402"/>
      <c r="V74" s="402"/>
      <c r="W74" s="402"/>
      <c r="X74" s="402"/>
      <c r="Y74" s="402"/>
      <c r="Z74" s="402"/>
      <c r="AA74" s="402"/>
      <c r="AB74" s="402"/>
      <c r="AC74" s="402"/>
      <c r="AD74" s="402"/>
      <c r="AE74" s="402"/>
      <c r="AF74" s="402"/>
      <c r="AG74" s="402"/>
      <c r="AH74" s="402"/>
    </row>
    <row r="75" spans="2:34" ht="15" thickBot="1" x14ac:dyDescent="0.35">
      <c r="B75" s="695" t="s">
        <v>950</v>
      </c>
      <c r="C75" s="696" t="s">
        <v>436</v>
      </c>
      <c r="D75" s="697" t="s">
        <v>437</v>
      </c>
      <c r="E75" s="450"/>
      <c r="F75" s="435"/>
      <c r="G75" s="402"/>
      <c r="H75" s="402"/>
      <c r="I75" s="402"/>
      <c r="J75" s="402"/>
      <c r="K75" s="402"/>
      <c r="L75" s="402"/>
      <c r="M75" s="402"/>
      <c r="N75" s="402"/>
      <c r="O75" s="402"/>
      <c r="P75" s="402"/>
      <c r="Q75" s="402"/>
      <c r="R75" s="402"/>
      <c r="S75" s="402"/>
      <c r="T75" s="402"/>
      <c r="U75" s="402"/>
      <c r="V75" s="402"/>
      <c r="W75" s="402"/>
      <c r="X75" s="402"/>
      <c r="Y75" s="402"/>
      <c r="Z75" s="402"/>
      <c r="AA75" s="402"/>
      <c r="AB75" s="402"/>
      <c r="AC75" s="402"/>
      <c r="AD75" s="402"/>
      <c r="AE75" s="402"/>
      <c r="AF75" s="402"/>
      <c r="AG75" s="402"/>
      <c r="AH75" s="402"/>
    </row>
    <row r="76" spans="2:34" x14ac:dyDescent="0.3">
      <c r="B76" s="698" t="s">
        <v>56</v>
      </c>
      <c r="C76" s="699">
        <v>38500000</v>
      </c>
      <c r="D76" s="698"/>
      <c r="E76" s="402"/>
      <c r="F76" s="435"/>
      <c r="G76" s="402"/>
      <c r="H76" s="402"/>
      <c r="I76" s="402"/>
      <c r="J76" s="402"/>
      <c r="K76" s="402"/>
      <c r="L76" s="402"/>
      <c r="M76" s="402"/>
      <c r="N76" s="402"/>
      <c r="O76" s="402"/>
      <c r="P76" s="402"/>
      <c r="Q76" s="402"/>
      <c r="R76" s="402"/>
      <c r="S76" s="402"/>
      <c r="T76" s="402"/>
      <c r="U76" s="402"/>
      <c r="V76" s="402"/>
      <c r="W76" s="402"/>
      <c r="X76" s="402"/>
      <c r="Y76" s="402"/>
      <c r="Z76" s="402"/>
      <c r="AA76" s="402"/>
      <c r="AB76" s="402"/>
      <c r="AC76" s="402"/>
      <c r="AD76" s="402"/>
      <c r="AE76" s="402"/>
      <c r="AF76" s="402"/>
      <c r="AG76" s="402"/>
      <c r="AH76" s="402"/>
    </row>
    <row r="77" spans="2:34" x14ac:dyDescent="0.3">
      <c r="B77" s="460" t="s">
        <v>770</v>
      </c>
      <c r="C77" s="436"/>
      <c r="D77" s="464">
        <f>C76*0.1</f>
        <v>3850000</v>
      </c>
      <c r="E77" s="700" t="s">
        <v>951</v>
      </c>
      <c r="F77" s="435"/>
      <c r="G77" s="402"/>
      <c r="H77" s="402"/>
      <c r="I77" s="402"/>
      <c r="J77" s="402"/>
      <c r="K77" s="402"/>
      <c r="L77" s="402"/>
      <c r="M77" s="402"/>
      <c r="N77" s="402"/>
      <c r="O77" s="402"/>
      <c r="P77" s="402"/>
      <c r="Q77" s="402"/>
      <c r="R77" s="402"/>
      <c r="S77" s="402"/>
      <c r="T77" s="402"/>
      <c r="U77" s="402"/>
      <c r="V77" s="402"/>
      <c r="W77" s="402"/>
      <c r="X77" s="402"/>
      <c r="Y77" s="402"/>
      <c r="Z77" s="402"/>
      <c r="AA77" s="402"/>
      <c r="AB77" s="402"/>
      <c r="AC77" s="402"/>
      <c r="AD77" s="402"/>
      <c r="AE77" s="402"/>
      <c r="AF77" s="402"/>
      <c r="AG77" s="402"/>
      <c r="AH77" s="402"/>
    </row>
    <row r="78" spans="2:34" x14ac:dyDescent="0.3">
      <c r="B78" s="460" t="s">
        <v>925</v>
      </c>
      <c r="C78" s="436"/>
      <c r="D78" s="464">
        <f>C76*0.25</f>
        <v>9625000</v>
      </c>
      <c r="E78" s="700" t="s">
        <v>951</v>
      </c>
      <c r="F78" s="435"/>
      <c r="G78" s="402"/>
      <c r="H78" s="402"/>
      <c r="I78" s="402"/>
      <c r="J78" s="402"/>
      <c r="K78" s="402"/>
      <c r="L78" s="402"/>
      <c r="M78" s="402"/>
      <c r="N78" s="402"/>
      <c r="O78" s="402"/>
      <c r="P78" s="402"/>
      <c r="Q78" s="402"/>
      <c r="R78" s="402"/>
      <c r="S78" s="402"/>
      <c r="T78" s="402"/>
      <c r="U78" s="402"/>
      <c r="V78" s="402"/>
      <c r="W78" s="402"/>
      <c r="X78" s="402"/>
      <c r="Y78" s="402"/>
      <c r="Z78" s="402"/>
      <c r="AA78" s="402"/>
      <c r="AB78" s="402"/>
      <c r="AC78" s="402"/>
      <c r="AD78" s="402"/>
      <c r="AE78" s="402"/>
      <c r="AF78" s="402"/>
      <c r="AG78" s="402"/>
      <c r="AH78" s="402"/>
    </row>
    <row r="79" spans="2:34" x14ac:dyDescent="0.3">
      <c r="B79" s="460" t="s">
        <v>18</v>
      </c>
      <c r="C79" s="436"/>
      <c r="D79" s="464">
        <f>H43*3*11</f>
        <v>20526000</v>
      </c>
      <c r="E79" s="700" t="s">
        <v>952</v>
      </c>
      <c r="F79" s="435"/>
      <c r="G79" s="402"/>
      <c r="H79" s="402"/>
      <c r="I79" s="402"/>
      <c r="J79" s="402"/>
      <c r="K79" s="402"/>
      <c r="L79" s="402"/>
      <c r="M79" s="402"/>
      <c r="N79" s="402"/>
      <c r="O79" s="402"/>
      <c r="P79" s="402"/>
      <c r="Q79" s="402"/>
      <c r="R79" s="402"/>
      <c r="S79" s="402"/>
      <c r="T79" s="402"/>
      <c r="U79" s="402"/>
      <c r="V79" s="402"/>
      <c r="W79" s="402"/>
      <c r="X79" s="402"/>
      <c r="Y79" s="402"/>
      <c r="Z79" s="402"/>
      <c r="AA79" s="402"/>
      <c r="AB79" s="402"/>
      <c r="AC79" s="402"/>
      <c r="AD79" s="402"/>
      <c r="AE79" s="402"/>
      <c r="AF79" s="402"/>
      <c r="AG79" s="402"/>
      <c r="AH79" s="402"/>
    </row>
    <row r="80" spans="2:34" x14ac:dyDescent="0.3">
      <c r="B80" s="460" t="s">
        <v>953</v>
      </c>
      <c r="C80" s="436"/>
      <c r="D80" s="464">
        <f>C76-D77-D78-D79</f>
        <v>4499000</v>
      </c>
      <c r="E80" s="700" t="s">
        <v>951</v>
      </c>
      <c r="F80" s="435"/>
      <c r="G80" s="402"/>
      <c r="H80" s="402"/>
      <c r="I80" s="402"/>
      <c r="J80" s="402"/>
      <c r="K80" s="402"/>
      <c r="L80" s="402"/>
      <c r="M80" s="402"/>
      <c r="N80" s="402"/>
      <c r="O80" s="402"/>
      <c r="P80" s="402"/>
      <c r="Q80" s="402"/>
      <c r="R80" s="402"/>
      <c r="S80" s="402"/>
      <c r="T80" s="402"/>
      <c r="U80" s="402"/>
      <c r="V80" s="402"/>
      <c r="W80" s="402"/>
      <c r="X80" s="402"/>
      <c r="Y80" s="402"/>
      <c r="Z80" s="402"/>
      <c r="AA80" s="402"/>
      <c r="AB80" s="402"/>
      <c r="AC80" s="402"/>
      <c r="AD80" s="402"/>
      <c r="AE80" s="402"/>
      <c r="AF80" s="402"/>
      <c r="AG80" s="402"/>
      <c r="AH80" s="402"/>
    </row>
    <row r="81" spans="2:34" x14ac:dyDescent="0.3">
      <c r="B81" s="402"/>
      <c r="C81" s="447"/>
      <c r="D81" s="435"/>
      <c r="E81" s="450"/>
      <c r="F81" s="435"/>
      <c r="G81" s="402"/>
      <c r="H81" s="402"/>
      <c r="I81" s="402"/>
      <c r="J81" s="402"/>
      <c r="K81" s="402"/>
      <c r="L81" s="402"/>
      <c r="M81" s="402"/>
      <c r="N81" s="402"/>
      <c r="O81" s="402"/>
      <c r="P81" s="402"/>
      <c r="Q81" s="402"/>
      <c r="R81" s="402"/>
      <c r="S81" s="402"/>
      <c r="T81" s="402"/>
      <c r="U81" s="402"/>
      <c r="V81" s="402"/>
      <c r="W81" s="402"/>
      <c r="X81" s="402"/>
      <c r="Y81" s="402"/>
      <c r="Z81" s="402"/>
      <c r="AA81" s="402"/>
      <c r="AB81" s="402"/>
      <c r="AC81" s="402"/>
      <c r="AD81" s="402"/>
      <c r="AE81" s="402"/>
      <c r="AF81" s="402"/>
      <c r="AG81" s="402"/>
      <c r="AH81" s="402"/>
    </row>
    <row r="82" spans="2:34" x14ac:dyDescent="0.3">
      <c r="B82" s="701" t="s">
        <v>954</v>
      </c>
      <c r="C82" s="447"/>
      <c r="D82" s="435"/>
      <c r="E82" s="450"/>
      <c r="F82" s="435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2"/>
      <c r="T82" s="402"/>
      <c r="U82" s="402"/>
      <c r="V82" s="402"/>
      <c r="W82" s="402"/>
      <c r="X82" s="402"/>
      <c r="Y82" s="402"/>
      <c r="Z82" s="402"/>
      <c r="AA82" s="402"/>
      <c r="AB82" s="402"/>
      <c r="AC82" s="402"/>
      <c r="AD82" s="402"/>
      <c r="AE82" s="402"/>
      <c r="AF82" s="402"/>
      <c r="AG82" s="402"/>
      <c r="AH82" s="402"/>
    </row>
    <row r="83" spans="2:34" x14ac:dyDescent="0.3">
      <c r="B83" s="436"/>
      <c r="C83" s="448" t="s">
        <v>414</v>
      </c>
      <c r="D83" s="449" t="s">
        <v>721</v>
      </c>
      <c r="E83" s="450"/>
      <c r="F83" s="435"/>
      <c r="G83" s="402"/>
      <c r="H83" s="402"/>
      <c r="I83" s="402"/>
      <c r="J83" s="402"/>
      <c r="K83" s="402"/>
      <c r="L83" s="402"/>
      <c r="M83" s="402"/>
      <c r="N83" s="402"/>
      <c r="O83" s="402"/>
      <c r="P83" s="402"/>
      <c r="Q83" s="402"/>
      <c r="R83" s="402"/>
      <c r="S83" s="402"/>
      <c r="T83" s="402"/>
      <c r="U83" s="402"/>
      <c r="V83" s="402"/>
      <c r="W83" s="402"/>
      <c r="X83" s="402"/>
      <c r="Y83" s="402"/>
      <c r="Z83" s="402"/>
      <c r="AA83" s="402"/>
      <c r="AB83" s="402"/>
      <c r="AC83" s="402"/>
      <c r="AD83" s="402"/>
      <c r="AE83" s="402"/>
      <c r="AF83" s="402"/>
      <c r="AG83" s="402"/>
      <c r="AH83" s="402"/>
    </row>
    <row r="84" spans="2:34" x14ac:dyDescent="0.3">
      <c r="B84" s="436" t="str">
        <f>B71</f>
        <v>Efectivo</v>
      </c>
      <c r="C84" s="448">
        <f>3000*95</f>
        <v>285000</v>
      </c>
      <c r="D84" s="449"/>
      <c r="E84" s="450"/>
      <c r="F84" s="435"/>
      <c r="G84" s="402"/>
      <c r="H84" s="402"/>
      <c r="I84" s="402"/>
      <c r="J84" s="402"/>
      <c r="K84" s="402"/>
      <c r="L84" s="402"/>
      <c r="M84" s="402"/>
      <c r="N84" s="402"/>
      <c r="O84" s="402"/>
      <c r="P84" s="402"/>
      <c r="Q84" s="402"/>
      <c r="R84" s="402"/>
      <c r="S84" s="402"/>
      <c r="T84" s="402"/>
      <c r="U84" s="402"/>
      <c r="V84" s="402"/>
      <c r="W84" s="402"/>
      <c r="X84" s="402"/>
      <c r="Y84" s="402"/>
      <c r="Z84" s="402"/>
      <c r="AA84" s="402"/>
      <c r="AB84" s="402"/>
      <c r="AC84" s="402"/>
      <c r="AD84" s="402"/>
      <c r="AE84" s="402"/>
      <c r="AF84" s="402"/>
      <c r="AG84" s="402"/>
      <c r="AH84" s="402"/>
    </row>
    <row r="85" spans="2:34" x14ac:dyDescent="0.3">
      <c r="B85" s="460" t="s">
        <v>955</v>
      </c>
      <c r="C85" s="448"/>
      <c r="D85" s="449">
        <f>3000*90</f>
        <v>270000</v>
      </c>
      <c r="E85" s="450"/>
      <c r="F85" s="435"/>
      <c r="G85" s="402"/>
      <c r="H85" s="402"/>
      <c r="I85" s="402"/>
      <c r="J85" s="402"/>
      <c r="K85" s="402"/>
      <c r="L85" s="402"/>
      <c r="M85" s="402"/>
      <c r="N85" s="402"/>
      <c r="O85" s="402"/>
      <c r="P85" s="402"/>
      <c r="Q85" s="402"/>
      <c r="R85" s="402"/>
      <c r="S85" s="402"/>
      <c r="T85" s="402"/>
      <c r="U85" s="402"/>
      <c r="V85" s="402"/>
      <c r="W85" s="402"/>
      <c r="X85" s="402"/>
      <c r="Y85" s="402"/>
      <c r="Z85" s="402"/>
      <c r="AA85" s="402"/>
      <c r="AB85" s="402"/>
      <c r="AC85" s="402"/>
      <c r="AD85" s="402"/>
      <c r="AE85" s="402"/>
      <c r="AF85" s="402"/>
      <c r="AG85" s="402"/>
      <c r="AH85" s="402"/>
    </row>
    <row r="86" spans="2:34" x14ac:dyDescent="0.3">
      <c r="B86" s="460" t="s">
        <v>956</v>
      </c>
      <c r="C86" s="448"/>
      <c r="D86" s="449">
        <f>C84-D85</f>
        <v>15000</v>
      </c>
      <c r="E86" s="450">
        <f>(95-90)*3000</f>
        <v>15000</v>
      </c>
      <c r="F86" s="435"/>
      <c r="G86" s="402"/>
      <c r="H86" s="402"/>
      <c r="I86" s="402"/>
      <c r="J86" s="402"/>
      <c r="K86" s="402"/>
      <c r="L86" s="402"/>
      <c r="M86" s="402"/>
      <c r="N86" s="402"/>
      <c r="O86" s="402"/>
      <c r="P86" s="402"/>
      <c r="Q86" s="402"/>
      <c r="R86" s="402"/>
      <c r="S86" s="402"/>
      <c r="T86" s="402"/>
      <c r="U86" s="402"/>
      <c r="V86" s="402"/>
      <c r="W86" s="402"/>
      <c r="X86" s="402"/>
      <c r="Y86" s="402"/>
      <c r="Z86" s="402"/>
      <c r="AA86" s="402"/>
      <c r="AB86" s="402"/>
      <c r="AC86" s="402"/>
      <c r="AD86" s="402"/>
      <c r="AE86" s="402"/>
      <c r="AF86" s="402"/>
      <c r="AG86" s="402"/>
      <c r="AH86" s="402"/>
    </row>
    <row r="87" spans="2:34" x14ac:dyDescent="0.3">
      <c r="B87" s="402"/>
      <c r="C87" s="447"/>
      <c r="D87" s="435"/>
      <c r="E87" s="450"/>
      <c r="F87" s="435"/>
      <c r="G87" s="402"/>
      <c r="H87" s="402"/>
      <c r="I87" s="402"/>
      <c r="J87" s="402"/>
      <c r="K87" s="402"/>
      <c r="L87" s="402"/>
      <c r="M87" s="402"/>
      <c r="N87" s="402"/>
      <c r="O87" s="402"/>
      <c r="P87" s="402"/>
      <c r="Q87" s="402"/>
      <c r="R87" s="402"/>
      <c r="S87" s="402"/>
      <c r="T87" s="402"/>
      <c r="U87" s="402"/>
      <c r="V87" s="402"/>
      <c r="W87" s="402"/>
      <c r="X87" s="402"/>
      <c r="Y87" s="402"/>
      <c r="Z87" s="402"/>
      <c r="AA87" s="402"/>
      <c r="AB87" s="402"/>
      <c r="AC87" s="402"/>
      <c r="AD87" s="402"/>
      <c r="AE87" s="402"/>
      <c r="AF87" s="402"/>
      <c r="AG87" s="402"/>
      <c r="AH87" s="402"/>
    </row>
    <row r="88" spans="2:34" x14ac:dyDescent="0.3">
      <c r="B88" s="402"/>
      <c r="C88" s="447"/>
      <c r="D88" s="435"/>
      <c r="E88" s="450"/>
      <c r="F88" s="435"/>
      <c r="G88" s="402"/>
      <c r="H88" s="402"/>
      <c r="I88" s="402"/>
      <c r="J88" s="402"/>
      <c r="K88" s="402"/>
      <c r="L88" s="402"/>
      <c r="M88" s="402"/>
      <c r="N88" s="402"/>
      <c r="O88" s="402"/>
      <c r="P88" s="402"/>
      <c r="Q88" s="402"/>
      <c r="R88" s="402"/>
      <c r="S88" s="402"/>
      <c r="T88" s="402"/>
      <c r="U88" s="402"/>
      <c r="V88" s="402"/>
      <c r="W88" s="402"/>
      <c r="X88" s="402"/>
      <c r="Y88" s="402"/>
      <c r="Z88" s="402"/>
      <c r="AA88" s="402"/>
      <c r="AB88" s="402"/>
      <c r="AC88" s="402"/>
      <c r="AD88" s="402"/>
      <c r="AE88" s="402"/>
      <c r="AF88" s="402"/>
      <c r="AG88" s="402"/>
      <c r="AH88" s="402"/>
    </row>
    <row r="89" spans="2:34" x14ac:dyDescent="0.3">
      <c r="B89" s="402"/>
      <c r="C89" s="447"/>
      <c r="D89" s="435"/>
      <c r="E89" s="450" t="s">
        <v>957</v>
      </c>
      <c r="F89" s="435"/>
      <c r="G89" s="402">
        <v>100</v>
      </c>
      <c r="H89" s="402"/>
      <c r="I89" s="402"/>
      <c r="J89" s="402"/>
      <c r="K89" s="402"/>
      <c r="L89" s="402"/>
      <c r="M89" s="402"/>
      <c r="N89" s="402"/>
      <c r="O89" s="402"/>
      <c r="P89" s="402"/>
      <c r="Q89" s="402"/>
      <c r="R89" s="402"/>
      <c r="S89" s="402"/>
      <c r="T89" s="402"/>
      <c r="U89" s="402"/>
      <c r="V89" s="402"/>
      <c r="W89" s="402"/>
      <c r="X89" s="402"/>
      <c r="Y89" s="402"/>
      <c r="Z89" s="402"/>
      <c r="AA89" s="402"/>
      <c r="AB89" s="402"/>
      <c r="AC89" s="402"/>
      <c r="AD89" s="402"/>
      <c r="AE89" s="402"/>
      <c r="AF89" s="402"/>
      <c r="AG89" s="402"/>
      <c r="AH89" s="402"/>
    </row>
    <row r="90" spans="2:34" x14ac:dyDescent="0.3">
      <c r="B90" s="402"/>
      <c r="C90" s="447" t="s">
        <v>958</v>
      </c>
      <c r="D90" s="435"/>
      <c r="E90" s="450" t="s">
        <v>959</v>
      </c>
      <c r="F90" s="435"/>
      <c r="G90" s="402"/>
      <c r="H90" s="402">
        <v>20</v>
      </c>
      <c r="I90" s="402"/>
      <c r="J90" s="402"/>
      <c r="K90" s="402"/>
      <c r="L90" s="402"/>
      <c r="M90" s="402"/>
      <c r="N90" s="402"/>
      <c r="O90" s="402"/>
      <c r="P90" s="402"/>
      <c r="Q90" s="402"/>
      <c r="R90" s="402"/>
      <c r="S90" s="402"/>
      <c r="T90" s="402"/>
      <c r="U90" s="402"/>
      <c r="V90" s="402"/>
      <c r="W90" s="402"/>
      <c r="X90" s="402"/>
      <c r="Y90" s="402"/>
      <c r="Z90" s="402"/>
      <c r="AA90" s="402"/>
      <c r="AB90" s="402"/>
      <c r="AC90" s="402"/>
      <c r="AD90" s="402"/>
      <c r="AE90" s="402"/>
      <c r="AF90" s="402"/>
      <c r="AG90" s="402"/>
      <c r="AH90" s="402"/>
    </row>
    <row r="91" spans="2:34" ht="15" thickBot="1" x14ac:dyDescent="0.35">
      <c r="B91" s="402"/>
      <c r="C91" s="447"/>
      <c r="D91" s="435"/>
      <c r="E91" s="450" t="s">
        <v>960</v>
      </c>
      <c r="F91" s="435"/>
      <c r="G91" s="402"/>
      <c r="H91" s="402">
        <v>80</v>
      </c>
      <c r="I91" s="402"/>
      <c r="J91" s="402"/>
      <c r="K91" s="402"/>
      <c r="L91" s="402"/>
      <c r="M91" s="402"/>
      <c r="N91" s="402"/>
      <c r="O91" s="402"/>
      <c r="P91" s="402"/>
      <c r="Q91" s="402"/>
      <c r="R91" s="402"/>
      <c r="S91" s="402"/>
      <c r="T91" s="402"/>
      <c r="U91" s="402"/>
      <c r="V91" s="402"/>
      <c r="W91" s="402"/>
      <c r="X91" s="402"/>
      <c r="Y91" s="402"/>
      <c r="Z91" s="402"/>
      <c r="AA91" s="402"/>
      <c r="AB91" s="402"/>
      <c r="AC91" s="402"/>
      <c r="AD91" s="402"/>
      <c r="AE91" s="402"/>
      <c r="AF91" s="402"/>
      <c r="AG91" s="402"/>
      <c r="AH91" s="402"/>
    </row>
    <row r="92" spans="2:34" x14ac:dyDescent="0.3">
      <c r="B92" s="842" t="s">
        <v>961</v>
      </c>
      <c r="C92" s="447"/>
      <c r="D92" s="845" t="s">
        <v>962</v>
      </c>
      <c r="E92" s="846"/>
      <c r="F92" s="435"/>
      <c r="G92" s="402"/>
      <c r="H92" s="402"/>
      <c r="I92" s="402"/>
      <c r="J92" s="402"/>
      <c r="K92" s="402"/>
      <c r="L92" s="402"/>
      <c r="M92" s="402"/>
      <c r="N92" s="402"/>
      <c r="O92" s="402"/>
      <c r="P92" s="402"/>
      <c r="Q92" s="402"/>
      <c r="R92" s="402"/>
      <c r="S92" s="402"/>
      <c r="T92" s="402"/>
      <c r="U92" s="402"/>
      <c r="V92" s="402"/>
      <c r="W92" s="402"/>
      <c r="X92" s="402"/>
      <c r="Y92" s="402"/>
      <c r="Z92" s="402"/>
      <c r="AA92" s="402"/>
      <c r="AB92" s="402"/>
      <c r="AC92" s="402"/>
      <c r="AD92" s="402"/>
      <c r="AE92" s="402"/>
      <c r="AF92" s="402"/>
      <c r="AG92" s="402"/>
      <c r="AH92" s="402"/>
    </row>
    <row r="93" spans="2:34" x14ac:dyDescent="0.3">
      <c r="B93" s="843"/>
      <c r="C93" s="447"/>
      <c r="D93" s="847"/>
      <c r="E93" s="848"/>
      <c r="F93" s="435"/>
      <c r="G93" s="402"/>
      <c r="H93" s="402"/>
      <c r="I93" s="402"/>
      <c r="J93" s="402"/>
      <c r="K93" s="402"/>
      <c r="L93" s="402"/>
      <c r="M93" s="402"/>
      <c r="N93" s="402"/>
      <c r="O93" s="402"/>
      <c r="P93" s="402"/>
      <c r="Q93" s="402"/>
      <c r="R93" s="402"/>
      <c r="S93" s="402"/>
      <c r="T93" s="402"/>
      <c r="U93" s="402"/>
      <c r="V93" s="402"/>
      <c r="W93" s="402"/>
      <c r="X93" s="402"/>
      <c r="Y93" s="402"/>
      <c r="Z93" s="402"/>
      <c r="AA93" s="402"/>
      <c r="AB93" s="402"/>
      <c r="AC93" s="402"/>
      <c r="AD93" s="402"/>
      <c r="AE93" s="402"/>
      <c r="AF93" s="402"/>
      <c r="AG93" s="402"/>
      <c r="AH93" s="402"/>
    </row>
    <row r="94" spans="2:34" x14ac:dyDescent="0.3">
      <c r="B94" s="843"/>
      <c r="C94" s="447"/>
      <c r="D94" s="847"/>
      <c r="E94" s="848"/>
      <c r="F94" s="435"/>
      <c r="G94" s="402"/>
      <c r="H94" s="402"/>
      <c r="I94" s="402"/>
      <c r="J94" s="402"/>
      <c r="K94" s="402"/>
      <c r="L94" s="402"/>
      <c r="M94" s="402"/>
      <c r="N94" s="402"/>
      <c r="O94" s="402"/>
      <c r="P94" s="402"/>
      <c r="Q94" s="402"/>
      <c r="R94" s="402"/>
      <c r="S94" s="402"/>
      <c r="T94" s="402"/>
      <c r="U94" s="402"/>
      <c r="V94" s="402"/>
      <c r="W94" s="402"/>
      <c r="X94" s="402"/>
      <c r="Y94" s="402"/>
      <c r="Z94" s="402"/>
      <c r="AA94" s="402"/>
      <c r="AB94" s="402"/>
      <c r="AC94" s="402"/>
      <c r="AD94" s="402"/>
      <c r="AE94" s="402"/>
      <c r="AF94" s="402"/>
      <c r="AG94" s="402"/>
      <c r="AH94" s="402"/>
    </row>
    <row r="95" spans="2:34" x14ac:dyDescent="0.3">
      <c r="B95" s="843"/>
      <c r="C95" s="447"/>
      <c r="D95" s="847"/>
      <c r="E95" s="848"/>
      <c r="F95" s="435"/>
      <c r="G95" s="402"/>
      <c r="H95" s="402"/>
      <c r="I95" s="402"/>
      <c r="J95" s="402"/>
      <c r="K95" s="402"/>
      <c r="L95" s="402"/>
      <c r="M95" s="402"/>
      <c r="N95" s="402"/>
      <c r="O95" s="402"/>
      <c r="P95" s="402"/>
      <c r="Q95" s="402"/>
      <c r="R95" s="402"/>
      <c r="S95" s="402"/>
      <c r="T95" s="402"/>
      <c r="U95" s="402"/>
      <c r="V95" s="402"/>
      <c r="W95" s="402"/>
      <c r="X95" s="402"/>
      <c r="Y95" s="402"/>
      <c r="Z95" s="402"/>
      <c r="AA95" s="402"/>
      <c r="AB95" s="402"/>
      <c r="AC95" s="402"/>
      <c r="AD95" s="402"/>
      <c r="AE95" s="402"/>
      <c r="AF95" s="402"/>
      <c r="AG95" s="402"/>
      <c r="AH95" s="402"/>
    </row>
    <row r="96" spans="2:34" ht="15" thickBot="1" x14ac:dyDescent="0.35">
      <c r="B96" s="844"/>
      <c r="C96" s="447"/>
      <c r="D96" s="849"/>
      <c r="E96" s="850"/>
      <c r="F96" s="435"/>
      <c r="G96" s="402"/>
      <c r="H96" s="402"/>
      <c r="I96" s="402"/>
      <c r="J96" s="402"/>
      <c r="K96" s="402"/>
      <c r="L96" s="402"/>
      <c r="M96" s="402"/>
      <c r="N96" s="402"/>
      <c r="O96" s="402"/>
      <c r="P96" s="402"/>
      <c r="Q96" s="402"/>
      <c r="R96" s="402"/>
      <c r="S96" s="402"/>
      <c r="T96" s="402"/>
      <c r="U96" s="402"/>
      <c r="V96" s="402"/>
      <c r="W96" s="402"/>
      <c r="X96" s="402"/>
      <c r="Y96" s="402"/>
      <c r="Z96" s="402"/>
      <c r="AA96" s="402"/>
      <c r="AB96" s="402"/>
      <c r="AC96" s="402"/>
      <c r="AD96" s="402"/>
      <c r="AE96" s="402"/>
      <c r="AF96" s="402"/>
      <c r="AG96" s="402"/>
      <c r="AH96" s="402"/>
    </row>
    <row r="97" spans="2:34" x14ac:dyDescent="0.3">
      <c r="B97" s="466"/>
      <c r="C97" s="447"/>
      <c r="D97" s="467"/>
      <c r="E97" s="467"/>
      <c r="F97" s="435"/>
      <c r="G97" s="402"/>
      <c r="H97" s="402"/>
      <c r="I97" s="402"/>
      <c r="J97" s="402"/>
      <c r="K97" s="402"/>
      <c r="L97" s="402"/>
      <c r="M97" s="402"/>
      <c r="N97" s="402"/>
      <c r="O97" s="402"/>
      <c r="P97" s="402"/>
      <c r="Q97" s="402"/>
      <c r="R97" s="402"/>
      <c r="S97" s="402"/>
      <c r="T97" s="402"/>
      <c r="U97" s="402"/>
      <c r="V97" s="402"/>
      <c r="W97" s="402"/>
      <c r="X97" s="402"/>
      <c r="Y97" s="402"/>
      <c r="Z97" s="402"/>
      <c r="AA97" s="402"/>
      <c r="AB97" s="402"/>
      <c r="AC97" s="402"/>
      <c r="AD97" s="402"/>
      <c r="AE97" s="402"/>
      <c r="AF97" s="402"/>
      <c r="AG97" s="402"/>
      <c r="AH97" s="402"/>
    </row>
    <row r="98" spans="2:34" ht="27.6" x14ac:dyDescent="0.3">
      <c r="B98" s="466"/>
      <c r="C98" s="447"/>
      <c r="D98" s="467"/>
      <c r="E98" s="467" t="s">
        <v>963</v>
      </c>
      <c r="F98" s="435"/>
      <c r="G98" s="402">
        <v>87</v>
      </c>
      <c r="H98" s="402"/>
      <c r="I98" s="402"/>
      <c r="J98" s="402"/>
      <c r="K98" s="402"/>
      <c r="L98" s="402"/>
      <c r="M98" s="402"/>
      <c r="N98" s="402"/>
      <c r="O98" s="402"/>
      <c r="P98" s="402"/>
      <c r="Q98" s="402"/>
      <c r="R98" s="402"/>
      <c r="S98" s="402"/>
      <c r="T98" s="402"/>
      <c r="U98" s="402"/>
      <c r="V98" s="402"/>
      <c r="W98" s="402"/>
      <c r="X98" s="402"/>
      <c r="Y98" s="402"/>
      <c r="Z98" s="402"/>
      <c r="AA98" s="402"/>
      <c r="AB98" s="402"/>
      <c r="AC98" s="402"/>
      <c r="AD98" s="402"/>
      <c r="AE98" s="402"/>
      <c r="AF98" s="402"/>
      <c r="AG98" s="402"/>
      <c r="AH98" s="402"/>
    </row>
    <row r="99" spans="2:34" ht="55.2" x14ac:dyDescent="0.3">
      <c r="B99" s="466"/>
      <c r="C99" s="447"/>
      <c r="D99" s="467"/>
      <c r="E99" s="467" t="s">
        <v>964</v>
      </c>
      <c r="F99" s="435"/>
      <c r="G99" s="402"/>
      <c r="H99" s="402">
        <v>87</v>
      </c>
      <c r="I99" s="402"/>
      <c r="J99" s="402"/>
      <c r="K99" s="402"/>
      <c r="L99" s="402"/>
      <c r="M99" s="402"/>
      <c r="N99" s="402"/>
      <c r="O99" s="402"/>
      <c r="P99" s="402"/>
      <c r="Q99" s="402"/>
      <c r="R99" s="402"/>
      <c r="S99" s="402"/>
      <c r="T99" s="402"/>
      <c r="U99" s="402"/>
      <c r="V99" s="402"/>
      <c r="W99" s="402"/>
      <c r="X99" s="402"/>
      <c r="Y99" s="402"/>
      <c r="Z99" s="402"/>
      <c r="AA99" s="402"/>
      <c r="AB99" s="402"/>
      <c r="AC99" s="402"/>
      <c r="AD99" s="402"/>
      <c r="AE99" s="402"/>
      <c r="AF99" s="402"/>
      <c r="AG99" s="402"/>
      <c r="AH99" s="402"/>
    </row>
    <row r="100" spans="2:34" x14ac:dyDescent="0.3">
      <c r="B100" s="466"/>
      <c r="C100" s="447" t="s">
        <v>965</v>
      </c>
      <c r="D100" s="467"/>
      <c r="E100" s="467"/>
      <c r="F100" s="435"/>
      <c r="G100" s="402"/>
      <c r="H100" s="402"/>
      <c r="I100" s="402"/>
      <c r="J100" s="402"/>
      <c r="K100" s="402"/>
      <c r="L100" s="402"/>
      <c r="M100" s="402"/>
      <c r="N100" s="402"/>
      <c r="O100" s="402"/>
      <c r="P100" s="402"/>
      <c r="Q100" s="402"/>
      <c r="R100" s="402"/>
      <c r="S100" s="402"/>
      <c r="T100" s="402"/>
      <c r="U100" s="402"/>
      <c r="V100" s="402"/>
      <c r="W100" s="402"/>
      <c r="X100" s="402"/>
      <c r="Y100" s="402"/>
      <c r="Z100" s="402"/>
      <c r="AA100" s="402"/>
      <c r="AB100" s="402"/>
      <c r="AC100" s="402"/>
      <c r="AD100" s="402"/>
      <c r="AE100" s="402"/>
      <c r="AF100" s="402"/>
      <c r="AG100" s="402"/>
      <c r="AH100" s="402"/>
    </row>
    <row r="101" spans="2:34" x14ac:dyDescent="0.3">
      <c r="B101" s="402"/>
      <c r="C101" s="447"/>
      <c r="D101" s="435"/>
      <c r="E101" s="450" t="s">
        <v>966</v>
      </c>
      <c r="F101" s="435"/>
      <c r="G101" s="402">
        <v>84</v>
      </c>
      <c r="H101" s="402"/>
      <c r="I101" s="402"/>
      <c r="J101" s="402"/>
      <c r="K101" s="402"/>
      <c r="L101" s="402"/>
      <c r="M101" s="402"/>
      <c r="N101" s="402"/>
      <c r="O101" s="402"/>
      <c r="P101" s="402"/>
      <c r="Q101" s="402"/>
      <c r="R101" s="402"/>
      <c r="S101" s="402"/>
      <c r="T101" s="402"/>
      <c r="U101" s="402"/>
      <c r="V101" s="402"/>
      <c r="W101" s="402"/>
      <c r="X101" s="402"/>
      <c r="Y101" s="402"/>
      <c r="Z101" s="402"/>
      <c r="AA101" s="402"/>
      <c r="AB101" s="402"/>
      <c r="AC101" s="402"/>
      <c r="AD101" s="402"/>
      <c r="AE101" s="402"/>
      <c r="AF101" s="402"/>
      <c r="AG101" s="402"/>
      <c r="AH101" s="402"/>
    </row>
    <row r="102" spans="2:34" x14ac:dyDescent="0.3">
      <c r="B102" s="402"/>
      <c r="C102" s="447"/>
      <c r="D102" s="435"/>
      <c r="E102" s="450" t="s">
        <v>967</v>
      </c>
      <c r="F102" s="435"/>
      <c r="G102" s="402"/>
      <c r="H102" s="402">
        <v>84</v>
      </c>
      <c r="I102" s="402"/>
      <c r="J102" s="402"/>
      <c r="K102" s="402"/>
      <c r="L102" s="402"/>
      <c r="M102" s="402"/>
      <c r="N102" s="402"/>
      <c r="O102" s="402"/>
      <c r="P102" s="402"/>
      <c r="Q102" s="402"/>
      <c r="R102" s="402"/>
      <c r="S102" s="402"/>
      <c r="T102" s="402"/>
      <c r="U102" s="402"/>
      <c r="V102" s="402"/>
      <c r="W102" s="402"/>
      <c r="X102" s="402"/>
      <c r="Y102" s="402"/>
      <c r="Z102" s="402"/>
      <c r="AA102" s="402"/>
      <c r="AB102" s="402"/>
      <c r="AC102" s="402"/>
      <c r="AD102" s="402"/>
      <c r="AE102" s="402"/>
      <c r="AF102" s="402"/>
      <c r="AG102" s="402"/>
      <c r="AH102" s="402"/>
    </row>
    <row r="103" spans="2:34" x14ac:dyDescent="0.3">
      <c r="B103" s="402"/>
      <c r="C103" s="447"/>
      <c r="D103" s="435"/>
      <c r="E103" s="450"/>
      <c r="F103" s="435"/>
      <c r="G103" s="402"/>
      <c r="H103" s="402"/>
      <c r="I103" s="402"/>
      <c r="J103" s="402"/>
      <c r="K103" s="402"/>
      <c r="L103" s="402"/>
      <c r="M103" s="402"/>
      <c r="N103" s="402"/>
      <c r="O103" s="402"/>
      <c r="P103" s="402"/>
      <c r="Q103" s="402"/>
      <c r="R103" s="402"/>
      <c r="S103" s="402"/>
      <c r="T103" s="402"/>
      <c r="U103" s="402"/>
      <c r="V103" s="402"/>
      <c r="W103" s="402"/>
      <c r="X103" s="402"/>
      <c r="Y103" s="402"/>
      <c r="Z103" s="402"/>
      <c r="AA103" s="402"/>
      <c r="AB103" s="402"/>
      <c r="AC103" s="402"/>
      <c r="AD103" s="402"/>
      <c r="AE103" s="402"/>
      <c r="AF103" s="402"/>
      <c r="AG103" s="402"/>
      <c r="AH103" s="402"/>
    </row>
    <row r="104" spans="2:34" x14ac:dyDescent="0.3">
      <c r="B104" s="402"/>
      <c r="C104" s="447" t="s">
        <v>968</v>
      </c>
      <c r="D104" s="435"/>
      <c r="E104" s="450" t="s">
        <v>969</v>
      </c>
      <c r="F104" s="435"/>
      <c r="G104" s="402">
        <v>93</v>
      </c>
      <c r="H104" s="402"/>
      <c r="I104" s="402"/>
      <c r="J104" s="402"/>
      <c r="K104" s="402"/>
      <c r="L104" s="402"/>
      <c r="M104" s="402"/>
      <c r="N104" s="402"/>
      <c r="O104" s="402"/>
      <c r="P104" s="402"/>
      <c r="Q104" s="402"/>
      <c r="R104" s="402"/>
      <c r="S104" s="402"/>
      <c r="T104" s="402"/>
      <c r="U104" s="402"/>
      <c r="V104" s="402"/>
      <c r="W104" s="402"/>
      <c r="X104" s="402"/>
      <c r="Y104" s="402"/>
      <c r="Z104" s="402"/>
      <c r="AA104" s="402"/>
      <c r="AB104" s="402"/>
      <c r="AC104" s="402"/>
      <c r="AD104" s="402"/>
      <c r="AE104" s="402"/>
      <c r="AF104" s="402"/>
      <c r="AG104" s="402"/>
      <c r="AH104" s="402"/>
    </row>
    <row r="105" spans="2:34" x14ac:dyDescent="0.3">
      <c r="B105" s="402"/>
      <c r="C105" s="447"/>
      <c r="D105" s="435"/>
      <c r="E105" s="450" t="s">
        <v>970</v>
      </c>
      <c r="F105" s="435"/>
      <c r="G105" s="402"/>
      <c r="H105" s="402">
        <v>84</v>
      </c>
      <c r="I105" s="402"/>
      <c r="J105" s="402"/>
      <c r="K105" s="402"/>
      <c r="L105" s="402"/>
      <c r="M105" s="402"/>
      <c r="N105" s="402"/>
      <c r="O105" s="402"/>
      <c r="P105" s="402"/>
      <c r="Q105" s="402"/>
      <c r="R105" s="402"/>
      <c r="S105" s="402"/>
      <c r="T105" s="402"/>
      <c r="U105" s="402"/>
      <c r="V105" s="402"/>
      <c r="W105" s="402"/>
      <c r="X105" s="402"/>
      <c r="Y105" s="402"/>
      <c r="Z105" s="402"/>
      <c r="AA105" s="402"/>
      <c r="AB105" s="402"/>
      <c r="AC105" s="402"/>
      <c r="AD105" s="402"/>
      <c r="AE105" s="402"/>
      <c r="AF105" s="402"/>
      <c r="AG105" s="402"/>
      <c r="AH105" s="402"/>
    </row>
    <row r="106" spans="2:34" x14ac:dyDescent="0.3">
      <c r="B106" s="402"/>
      <c r="C106" s="447"/>
      <c r="D106" s="435"/>
      <c r="E106" s="450" t="s">
        <v>971</v>
      </c>
      <c r="F106" s="435"/>
      <c r="G106" s="402"/>
      <c r="H106" s="402">
        <v>9</v>
      </c>
      <c r="I106" s="402"/>
      <c r="J106" s="402"/>
      <c r="K106" s="402"/>
      <c r="L106" s="402"/>
      <c r="M106" s="402"/>
      <c r="N106" s="402"/>
      <c r="O106" s="402"/>
      <c r="P106" s="402"/>
      <c r="Q106" s="402"/>
      <c r="R106" s="402"/>
      <c r="S106" s="402"/>
      <c r="T106" s="402"/>
      <c r="U106" s="402"/>
      <c r="V106" s="402"/>
      <c r="W106" s="402"/>
      <c r="X106" s="402"/>
      <c r="Y106" s="402"/>
      <c r="Z106" s="402"/>
      <c r="AA106" s="402"/>
      <c r="AB106" s="402"/>
      <c r="AC106" s="402"/>
      <c r="AD106" s="402"/>
      <c r="AE106" s="402"/>
      <c r="AF106" s="402"/>
      <c r="AG106" s="402"/>
      <c r="AH106" s="402"/>
    </row>
    <row r="107" spans="2:34" x14ac:dyDescent="0.3">
      <c r="B107" s="402"/>
      <c r="C107" s="447"/>
      <c r="D107" s="435"/>
      <c r="E107" s="450"/>
      <c r="F107" s="435"/>
      <c r="G107" s="402"/>
      <c r="H107" s="402"/>
      <c r="I107" s="402"/>
      <c r="J107" s="402"/>
      <c r="K107" s="402"/>
      <c r="L107" s="402"/>
      <c r="M107" s="402"/>
      <c r="N107" s="402"/>
      <c r="O107" s="402"/>
      <c r="P107" s="402"/>
      <c r="Q107" s="402"/>
      <c r="R107" s="402"/>
      <c r="S107" s="402"/>
      <c r="T107" s="402"/>
      <c r="U107" s="402"/>
      <c r="V107" s="402"/>
      <c r="W107" s="402"/>
      <c r="X107" s="402"/>
      <c r="Y107" s="402"/>
      <c r="Z107" s="402"/>
      <c r="AA107" s="402"/>
      <c r="AB107" s="402"/>
      <c r="AC107" s="402"/>
      <c r="AD107" s="402"/>
      <c r="AE107" s="402"/>
      <c r="AF107" s="402"/>
      <c r="AG107" s="402"/>
      <c r="AH107" s="402"/>
    </row>
    <row r="108" spans="2:34" x14ac:dyDescent="0.3">
      <c r="B108" s="436" t="s">
        <v>972</v>
      </c>
      <c r="C108" s="448">
        <v>1</v>
      </c>
      <c r="D108" s="468">
        <f>C108/$C$112</f>
        <v>0.25</v>
      </c>
      <c r="E108" s="447">
        <v>1</v>
      </c>
      <c r="F108" s="435"/>
      <c r="G108" s="469">
        <f>E108/E111</f>
        <v>0.33333333333333331</v>
      </c>
      <c r="H108" s="402"/>
      <c r="I108" s="402"/>
      <c r="J108" s="402"/>
      <c r="K108" s="402"/>
      <c r="L108" s="402"/>
      <c r="M108" s="402"/>
      <c r="N108" s="402"/>
      <c r="O108" s="402"/>
      <c r="P108" s="402"/>
      <c r="Q108" s="402"/>
      <c r="R108" s="402"/>
      <c r="S108" s="402"/>
      <c r="T108" s="402"/>
      <c r="U108" s="402"/>
      <c r="V108" s="402"/>
      <c r="W108" s="402"/>
      <c r="X108" s="402"/>
      <c r="Y108" s="402"/>
      <c r="Z108" s="402"/>
      <c r="AA108" s="402"/>
      <c r="AB108" s="402"/>
      <c r="AC108" s="402"/>
      <c r="AD108" s="402"/>
      <c r="AE108" s="402"/>
      <c r="AF108" s="402"/>
      <c r="AG108" s="402"/>
      <c r="AH108" s="402"/>
    </row>
    <row r="109" spans="2:34" x14ac:dyDescent="0.3">
      <c r="B109" s="436" t="s">
        <v>973</v>
      </c>
      <c r="C109" s="448">
        <v>1</v>
      </c>
      <c r="D109" s="468">
        <f>C109/$C$112</f>
        <v>0.25</v>
      </c>
      <c r="E109" s="447">
        <v>1</v>
      </c>
      <c r="F109" s="435"/>
      <c r="G109" s="402"/>
      <c r="H109" s="402"/>
      <c r="I109" s="402"/>
      <c r="J109" s="402"/>
      <c r="K109" s="402"/>
      <c r="L109" s="402"/>
      <c r="M109" s="402"/>
      <c r="N109" s="402"/>
      <c r="O109" s="402"/>
      <c r="P109" s="402"/>
      <c r="Q109" s="402"/>
      <c r="R109" s="402"/>
      <c r="S109" s="402"/>
      <c r="T109" s="402"/>
      <c r="U109" s="402"/>
      <c r="V109" s="402"/>
      <c r="W109" s="402"/>
      <c r="X109" s="402"/>
      <c r="Y109" s="402"/>
      <c r="Z109" s="402"/>
      <c r="AA109" s="402"/>
      <c r="AB109" s="402"/>
      <c r="AC109" s="402"/>
      <c r="AD109" s="402"/>
      <c r="AE109" s="402"/>
      <c r="AF109" s="402"/>
      <c r="AG109" s="402"/>
      <c r="AH109" s="402"/>
    </row>
    <row r="110" spans="2:34" x14ac:dyDescent="0.3">
      <c r="B110" s="436" t="s">
        <v>974</v>
      </c>
      <c r="C110" s="448">
        <v>1</v>
      </c>
      <c r="D110" s="468">
        <f>C110/$C$112</f>
        <v>0.25</v>
      </c>
      <c r="E110" s="447">
        <v>1</v>
      </c>
      <c r="F110" s="435"/>
      <c r="G110" s="402"/>
      <c r="H110" s="402"/>
      <c r="I110" s="402"/>
      <c r="J110" s="402"/>
      <c r="K110" s="402"/>
      <c r="L110" s="402"/>
      <c r="M110" s="402"/>
      <c r="N110" s="402"/>
      <c r="O110" s="402"/>
      <c r="P110" s="402"/>
      <c r="Q110" s="402"/>
      <c r="R110" s="402"/>
      <c r="S110" s="402"/>
      <c r="T110" s="402"/>
      <c r="U110" s="402"/>
      <c r="V110" s="402"/>
      <c r="W110" s="402"/>
      <c r="X110" s="402"/>
      <c r="Y110" s="402"/>
      <c r="Z110" s="402"/>
      <c r="AA110" s="402"/>
      <c r="AB110" s="402"/>
      <c r="AC110" s="402"/>
      <c r="AD110" s="402"/>
      <c r="AE110" s="402"/>
      <c r="AF110" s="402"/>
      <c r="AG110" s="402"/>
      <c r="AH110" s="402"/>
    </row>
    <row r="111" spans="2:34" x14ac:dyDescent="0.3">
      <c r="B111" s="436" t="s">
        <v>975</v>
      </c>
      <c r="C111" s="448">
        <v>1</v>
      </c>
      <c r="D111" s="468">
        <f>C111/$C$112</f>
        <v>0.25</v>
      </c>
      <c r="E111" s="470">
        <f>SUM(E108:E110)</f>
        <v>3</v>
      </c>
      <c r="F111" s="471">
        <v>1</v>
      </c>
      <c r="G111" s="402">
        <v>100</v>
      </c>
      <c r="H111" s="402">
        <f>G111/G112</f>
        <v>25</v>
      </c>
      <c r="I111" s="402"/>
      <c r="J111" s="402"/>
      <c r="K111" s="402"/>
      <c r="L111" s="402"/>
      <c r="M111" s="402"/>
      <c r="N111" s="402"/>
      <c r="O111" s="402"/>
      <c r="P111" s="402"/>
      <c r="Q111" s="402"/>
      <c r="R111" s="402"/>
      <c r="S111" s="402"/>
      <c r="T111" s="402"/>
      <c r="U111" s="402"/>
      <c r="V111" s="402"/>
      <c r="W111" s="402"/>
      <c r="X111" s="402"/>
      <c r="Y111" s="402"/>
      <c r="Z111" s="402"/>
      <c r="AA111" s="402"/>
      <c r="AB111" s="402"/>
      <c r="AC111" s="402"/>
      <c r="AD111" s="402"/>
      <c r="AE111" s="402"/>
      <c r="AF111" s="402"/>
      <c r="AG111" s="402"/>
      <c r="AH111" s="402"/>
    </row>
    <row r="112" spans="2:34" x14ac:dyDescent="0.3">
      <c r="B112" s="436"/>
      <c r="C112" s="448">
        <f>SUM(C108:C111)</f>
        <v>4</v>
      </c>
      <c r="D112" s="474">
        <f>SUM(D108:D111)</f>
        <v>1</v>
      </c>
      <c r="E112" s="450"/>
      <c r="F112" s="435"/>
      <c r="G112" s="402">
        <v>4</v>
      </c>
      <c r="H112" s="402"/>
      <c r="I112" s="402"/>
      <c r="J112" s="402"/>
      <c r="K112" s="402"/>
      <c r="L112" s="402"/>
      <c r="M112" s="402"/>
      <c r="N112" s="402"/>
      <c r="O112" s="402"/>
      <c r="P112" s="402"/>
      <c r="Q112" s="402"/>
      <c r="R112" s="402"/>
      <c r="S112" s="402"/>
      <c r="T112" s="402"/>
      <c r="U112" s="402"/>
      <c r="V112" s="402"/>
      <c r="W112" s="402"/>
      <c r="X112" s="402"/>
      <c r="Y112" s="402"/>
      <c r="Z112" s="402"/>
      <c r="AA112" s="402"/>
      <c r="AB112" s="402"/>
      <c r="AC112" s="402"/>
      <c r="AD112" s="402"/>
      <c r="AE112" s="402"/>
      <c r="AF112" s="402"/>
      <c r="AG112" s="402"/>
      <c r="AH112" s="402"/>
    </row>
    <row r="113" spans="2:34" x14ac:dyDescent="0.3">
      <c r="B113" s="402"/>
      <c r="C113" s="447"/>
      <c r="D113" s="435"/>
      <c r="E113" s="450"/>
      <c r="F113" s="435"/>
      <c r="G113" s="402"/>
      <c r="H113" s="402"/>
      <c r="I113" s="402"/>
      <c r="J113" s="402"/>
      <c r="K113" s="402"/>
      <c r="L113" s="402"/>
      <c r="M113" s="402"/>
      <c r="N113" s="402"/>
      <c r="O113" s="402"/>
      <c r="P113" s="402"/>
      <c r="Q113" s="402"/>
      <c r="R113" s="402"/>
      <c r="S113" s="402"/>
      <c r="T113" s="402"/>
      <c r="U113" s="402"/>
      <c r="V113" s="402"/>
      <c r="W113" s="402"/>
      <c r="X113" s="402"/>
      <c r="Y113" s="402"/>
      <c r="Z113" s="402"/>
      <c r="AA113" s="402"/>
      <c r="AB113" s="402"/>
      <c r="AC113" s="402"/>
      <c r="AD113" s="402"/>
      <c r="AE113" s="402"/>
      <c r="AF113" s="402"/>
      <c r="AG113" s="402"/>
      <c r="AH113" s="402"/>
    </row>
    <row r="114" spans="2:34" x14ac:dyDescent="0.3">
      <c r="B114" s="402"/>
      <c r="C114" s="447"/>
      <c r="D114" s="435"/>
      <c r="E114" s="450"/>
      <c r="F114" s="435"/>
      <c r="G114" s="402"/>
      <c r="H114" s="402"/>
      <c r="I114" s="402"/>
      <c r="J114" s="402"/>
      <c r="K114" s="402"/>
      <c r="L114" s="402"/>
      <c r="M114" s="402"/>
      <c r="N114" s="402"/>
      <c r="O114" s="402"/>
      <c r="P114" s="402"/>
      <c r="Q114" s="402"/>
      <c r="R114" s="402"/>
      <c r="S114" s="402"/>
      <c r="T114" s="402"/>
      <c r="U114" s="402"/>
      <c r="V114" s="402"/>
      <c r="W114" s="402"/>
      <c r="X114" s="402"/>
      <c r="Y114" s="402"/>
      <c r="Z114" s="402"/>
      <c r="AA114" s="402"/>
      <c r="AB114" s="402"/>
      <c r="AC114" s="402"/>
      <c r="AD114" s="402"/>
      <c r="AE114" s="402"/>
      <c r="AF114" s="402"/>
      <c r="AG114" s="402"/>
      <c r="AH114" s="402"/>
    </row>
    <row r="115" spans="2:34" x14ac:dyDescent="0.3">
      <c r="B115" s="402"/>
      <c r="C115" s="447"/>
      <c r="D115" s="435"/>
      <c r="E115" s="450"/>
      <c r="F115" s="435"/>
      <c r="G115" s="402"/>
      <c r="H115" s="402"/>
      <c r="I115" s="402"/>
      <c r="J115" s="402"/>
      <c r="K115" s="402"/>
      <c r="L115" s="402"/>
      <c r="M115" s="402"/>
      <c r="N115" s="402"/>
      <c r="O115" s="402"/>
      <c r="P115" s="402"/>
      <c r="Q115" s="402"/>
      <c r="R115" s="402"/>
      <c r="S115" s="402"/>
      <c r="T115" s="402"/>
      <c r="U115" s="402"/>
      <c r="V115" s="402"/>
      <c r="W115" s="402"/>
      <c r="X115" s="402"/>
      <c r="Y115" s="402"/>
      <c r="Z115" s="402"/>
      <c r="AA115" s="402"/>
      <c r="AB115" s="402"/>
      <c r="AC115" s="402"/>
      <c r="AD115" s="402"/>
      <c r="AE115" s="402"/>
      <c r="AF115" s="402"/>
      <c r="AG115" s="402"/>
      <c r="AH115" s="402"/>
    </row>
    <row r="116" spans="2:34" x14ac:dyDescent="0.3">
      <c r="B116" s="402"/>
      <c r="C116" s="447"/>
      <c r="D116" s="435"/>
      <c r="E116" s="450"/>
      <c r="F116" s="435"/>
      <c r="G116" s="402"/>
      <c r="H116" s="402"/>
      <c r="I116" s="402"/>
      <c r="J116" s="402"/>
      <c r="K116" s="402"/>
      <c r="L116" s="402"/>
      <c r="M116" s="402"/>
      <c r="N116" s="402"/>
      <c r="O116" s="402"/>
      <c r="P116" s="402"/>
      <c r="Q116" s="402"/>
      <c r="R116" s="402"/>
      <c r="S116" s="402"/>
      <c r="T116" s="402"/>
      <c r="U116" s="402"/>
      <c r="V116" s="402"/>
      <c r="W116" s="402"/>
      <c r="X116" s="402"/>
      <c r="Y116" s="402"/>
      <c r="Z116" s="402"/>
      <c r="AA116" s="402"/>
      <c r="AB116" s="402"/>
      <c r="AC116" s="402"/>
      <c r="AD116" s="402"/>
      <c r="AE116" s="402"/>
      <c r="AF116" s="402"/>
      <c r="AG116" s="402"/>
      <c r="AH116" s="402"/>
    </row>
    <row r="117" spans="2:34" x14ac:dyDescent="0.3">
      <c r="B117" s="402"/>
      <c r="C117" s="447"/>
      <c r="D117" s="435"/>
      <c r="E117" s="450"/>
      <c r="F117" s="435"/>
      <c r="G117" s="402"/>
      <c r="H117" s="402"/>
      <c r="I117" s="402"/>
      <c r="J117" s="402"/>
      <c r="K117" s="402"/>
      <c r="L117" s="402"/>
      <c r="M117" s="402"/>
      <c r="N117" s="402"/>
      <c r="O117" s="402"/>
      <c r="P117" s="402"/>
      <c r="Q117" s="402"/>
      <c r="R117" s="402"/>
      <c r="S117" s="402"/>
      <c r="T117" s="402"/>
      <c r="U117" s="402"/>
      <c r="V117" s="402"/>
      <c r="W117" s="402"/>
      <c r="X117" s="402"/>
      <c r="Y117" s="402"/>
      <c r="Z117" s="402"/>
      <c r="AA117" s="402"/>
      <c r="AB117" s="402"/>
      <c r="AC117" s="402"/>
      <c r="AD117" s="402"/>
      <c r="AE117" s="402"/>
      <c r="AF117" s="402"/>
      <c r="AG117" s="402"/>
      <c r="AH117" s="402"/>
    </row>
    <row r="118" spans="2:34" x14ac:dyDescent="0.3">
      <c r="B118" s="402"/>
      <c r="C118" s="447"/>
      <c r="D118" s="435"/>
      <c r="E118" s="450"/>
      <c r="F118" s="435"/>
      <c r="G118" s="402"/>
      <c r="H118" s="402"/>
      <c r="I118" s="402"/>
      <c r="J118" s="402"/>
      <c r="K118" s="402"/>
      <c r="L118" s="402"/>
      <c r="M118" s="402"/>
      <c r="N118" s="402"/>
      <c r="O118" s="402"/>
      <c r="P118" s="402"/>
      <c r="Q118" s="402"/>
      <c r="R118" s="402"/>
      <c r="S118" s="402"/>
      <c r="T118" s="402"/>
      <c r="U118" s="402"/>
      <c r="V118" s="402"/>
      <c r="W118" s="402"/>
      <c r="X118" s="402"/>
      <c r="Y118" s="402"/>
      <c r="Z118" s="402"/>
      <c r="AA118" s="402"/>
      <c r="AB118" s="402"/>
      <c r="AC118" s="402"/>
      <c r="AD118" s="402"/>
      <c r="AE118" s="402"/>
      <c r="AF118" s="402"/>
      <c r="AG118" s="402"/>
      <c r="AH118" s="402"/>
    </row>
    <row r="119" spans="2:34" x14ac:dyDescent="0.3">
      <c r="B119" s="402"/>
      <c r="C119" s="447"/>
      <c r="D119" s="435"/>
      <c r="E119" s="450"/>
      <c r="F119" s="435"/>
      <c r="G119" s="402"/>
      <c r="H119" s="402"/>
      <c r="I119" s="402"/>
      <c r="J119" s="402"/>
      <c r="K119" s="402"/>
      <c r="L119" s="402"/>
      <c r="M119" s="402"/>
      <c r="N119" s="402"/>
      <c r="O119" s="402"/>
      <c r="P119" s="402"/>
      <c r="Q119" s="402"/>
      <c r="R119" s="402"/>
      <c r="S119" s="402"/>
      <c r="T119" s="402"/>
      <c r="U119" s="402"/>
      <c r="V119" s="402"/>
      <c r="W119" s="402"/>
      <c r="X119" s="402"/>
      <c r="Y119" s="402"/>
      <c r="Z119" s="402"/>
      <c r="AA119" s="402"/>
      <c r="AB119" s="402"/>
      <c r="AC119" s="402"/>
      <c r="AD119" s="402"/>
      <c r="AE119" s="402"/>
      <c r="AF119" s="402"/>
      <c r="AG119" s="402"/>
      <c r="AH119" s="402"/>
    </row>
    <row r="120" spans="2:34" x14ac:dyDescent="0.3">
      <c r="B120" s="402"/>
      <c r="C120" s="447"/>
      <c r="D120" s="435"/>
      <c r="E120" s="450"/>
      <c r="F120" s="435"/>
      <c r="G120" s="402"/>
      <c r="H120" s="402"/>
      <c r="I120" s="402"/>
      <c r="J120" s="402"/>
      <c r="K120" s="402"/>
      <c r="L120" s="402"/>
      <c r="M120" s="402"/>
      <c r="N120" s="402"/>
      <c r="O120" s="402"/>
      <c r="P120" s="402"/>
      <c r="Q120" s="402"/>
      <c r="R120" s="402"/>
      <c r="S120" s="402"/>
      <c r="T120" s="402"/>
      <c r="U120" s="402"/>
      <c r="V120" s="402"/>
      <c r="W120" s="402"/>
      <c r="X120" s="402"/>
      <c r="Y120" s="402"/>
      <c r="Z120" s="402"/>
      <c r="AA120" s="402"/>
      <c r="AB120" s="402"/>
      <c r="AC120" s="402"/>
      <c r="AD120" s="402"/>
      <c r="AE120" s="402"/>
      <c r="AF120" s="402"/>
      <c r="AG120" s="402"/>
      <c r="AH120" s="402"/>
    </row>
    <row r="121" spans="2:34" x14ac:dyDescent="0.3">
      <c r="B121" s="402"/>
      <c r="C121" s="447"/>
      <c r="D121" s="435"/>
      <c r="E121" s="450"/>
      <c r="F121" s="435"/>
      <c r="G121" s="402"/>
      <c r="H121" s="402"/>
      <c r="I121" s="402"/>
      <c r="J121" s="402"/>
      <c r="K121" s="402"/>
      <c r="L121" s="402"/>
      <c r="M121" s="402"/>
      <c r="N121" s="402"/>
      <c r="O121" s="402"/>
      <c r="P121" s="402"/>
      <c r="Q121" s="402"/>
      <c r="R121" s="402"/>
      <c r="S121" s="402"/>
      <c r="T121" s="402"/>
      <c r="U121" s="402"/>
      <c r="V121" s="402"/>
      <c r="W121" s="402"/>
      <c r="X121" s="402"/>
      <c r="Y121" s="402"/>
      <c r="Z121" s="402"/>
      <c r="AA121" s="402"/>
      <c r="AB121" s="402"/>
      <c r="AC121" s="402"/>
      <c r="AD121" s="402"/>
      <c r="AE121" s="402"/>
      <c r="AF121" s="402"/>
      <c r="AG121" s="402"/>
      <c r="AH121" s="402"/>
    </row>
    <row r="122" spans="2:34" x14ac:dyDescent="0.3">
      <c r="B122" s="402" t="s">
        <v>976</v>
      </c>
      <c r="C122" s="447"/>
      <c r="D122" s="435"/>
      <c r="E122" s="450"/>
      <c r="F122" s="435"/>
      <c r="G122" s="402"/>
      <c r="H122" s="402"/>
      <c r="I122" s="402"/>
      <c r="J122" s="402"/>
      <c r="K122" s="402"/>
      <c r="L122" s="402"/>
      <c r="M122" s="402"/>
      <c r="N122" s="402"/>
      <c r="O122" s="402"/>
      <c r="P122" s="402"/>
      <c r="Q122" s="402"/>
      <c r="R122" s="402"/>
      <c r="S122" s="402"/>
      <c r="T122" s="402"/>
      <c r="U122" s="402"/>
      <c r="V122" s="402"/>
      <c r="W122" s="402"/>
      <c r="X122" s="402"/>
      <c r="Y122" s="402"/>
      <c r="Z122" s="402"/>
      <c r="AA122" s="402"/>
      <c r="AB122" s="402"/>
      <c r="AC122" s="402"/>
      <c r="AD122" s="402"/>
      <c r="AE122" s="402"/>
      <c r="AF122" s="402"/>
      <c r="AG122" s="402"/>
      <c r="AH122" s="402"/>
    </row>
    <row r="123" spans="2:34" x14ac:dyDescent="0.3">
      <c r="B123" s="402"/>
      <c r="C123" s="447" t="s">
        <v>414</v>
      </c>
      <c r="D123" s="435" t="s">
        <v>977</v>
      </c>
      <c r="E123" s="450"/>
      <c r="F123" s="435"/>
      <c r="G123" s="402"/>
      <c r="H123" s="402"/>
      <c r="I123" s="402"/>
      <c r="J123" s="402"/>
      <c r="K123" s="402"/>
      <c r="L123" s="402"/>
      <c r="M123" s="402"/>
      <c r="N123" s="402"/>
      <c r="O123" s="402"/>
      <c r="P123" s="402"/>
      <c r="Q123" s="402"/>
      <c r="R123" s="402"/>
      <c r="S123" s="402"/>
      <c r="T123" s="402"/>
      <c r="U123" s="402"/>
      <c r="V123" s="402"/>
      <c r="W123" s="402"/>
      <c r="X123" s="402"/>
      <c r="Y123" s="402"/>
      <c r="Z123" s="402"/>
      <c r="AA123" s="402"/>
      <c r="AB123" s="402"/>
      <c r="AC123" s="402"/>
      <c r="AD123" s="402"/>
      <c r="AE123" s="402"/>
      <c r="AF123" s="402"/>
      <c r="AG123" s="402"/>
      <c r="AH123" s="402"/>
    </row>
    <row r="124" spans="2:34" x14ac:dyDescent="0.3">
      <c r="B124" s="436" t="s">
        <v>978</v>
      </c>
      <c r="C124" s="449">
        <f>10000*90</f>
        <v>900000</v>
      </c>
      <c r="D124" s="449"/>
      <c r="E124" s="450"/>
      <c r="F124" s="435"/>
      <c r="G124" s="402"/>
      <c r="H124" s="402"/>
      <c r="I124" s="402"/>
      <c r="J124" s="402"/>
      <c r="K124" s="402"/>
      <c r="L124" s="402"/>
      <c r="M124" s="402"/>
      <c r="N124" s="402"/>
      <c r="O124" s="402"/>
      <c r="P124" s="402"/>
      <c r="Q124" s="402"/>
      <c r="R124" s="402"/>
      <c r="S124" s="402"/>
      <c r="T124" s="402"/>
      <c r="U124" s="402"/>
      <c r="V124" s="402"/>
      <c r="W124" s="402"/>
      <c r="X124" s="402"/>
      <c r="Y124" s="402"/>
      <c r="Z124" s="402"/>
      <c r="AA124" s="402"/>
      <c r="AB124" s="402"/>
      <c r="AC124" s="402"/>
      <c r="AD124" s="402"/>
      <c r="AE124" s="402"/>
      <c r="AF124" s="402"/>
      <c r="AG124" s="402"/>
      <c r="AH124" s="402"/>
    </row>
    <row r="125" spans="2:34" x14ac:dyDescent="0.3">
      <c r="B125" s="436" t="s">
        <v>979</v>
      </c>
      <c r="C125" s="448"/>
      <c r="D125" s="449">
        <f>C124</f>
        <v>900000</v>
      </c>
      <c r="E125" s="450"/>
      <c r="F125" s="435"/>
      <c r="G125" s="402"/>
      <c r="H125" s="402"/>
      <c r="I125" s="402"/>
      <c r="J125" s="402"/>
      <c r="K125" s="402"/>
      <c r="L125" s="402"/>
      <c r="M125" s="402"/>
      <c r="N125" s="402"/>
      <c r="O125" s="402"/>
      <c r="P125" s="402"/>
      <c r="Q125" s="402"/>
      <c r="R125" s="402"/>
      <c r="S125" s="402"/>
      <c r="T125" s="402"/>
      <c r="U125" s="402"/>
      <c r="V125" s="402"/>
      <c r="W125" s="402"/>
      <c r="X125" s="402"/>
      <c r="Y125" s="402"/>
      <c r="Z125" s="402"/>
      <c r="AA125" s="402"/>
      <c r="AB125" s="402"/>
      <c r="AC125" s="402"/>
      <c r="AD125" s="402"/>
      <c r="AE125" s="402"/>
      <c r="AF125" s="402"/>
      <c r="AG125" s="402"/>
      <c r="AH125" s="402"/>
    </row>
    <row r="126" spans="2:34" x14ac:dyDescent="0.3">
      <c r="B126" s="402"/>
      <c r="C126" s="447"/>
      <c r="D126" s="435"/>
      <c r="E126" s="450"/>
      <c r="F126" s="435"/>
      <c r="G126" s="402"/>
      <c r="H126" s="402"/>
      <c r="I126" s="402"/>
      <c r="J126" s="402"/>
      <c r="K126" s="402"/>
      <c r="L126" s="402"/>
      <c r="M126" s="402"/>
      <c r="N126" s="402"/>
      <c r="O126" s="402"/>
      <c r="P126" s="402"/>
      <c r="Q126" s="402"/>
      <c r="R126" s="402"/>
      <c r="S126" s="402"/>
      <c r="T126" s="402"/>
      <c r="U126" s="402"/>
      <c r="V126" s="402"/>
      <c r="W126" s="402"/>
      <c r="X126" s="402"/>
      <c r="Y126" s="402"/>
      <c r="Z126" s="402"/>
      <c r="AA126" s="402"/>
      <c r="AB126" s="402"/>
      <c r="AC126" s="402"/>
      <c r="AD126" s="402"/>
      <c r="AE126" s="402"/>
      <c r="AF126" s="402"/>
      <c r="AG126" s="402"/>
      <c r="AH126" s="402"/>
    </row>
    <row r="127" spans="2:34" x14ac:dyDescent="0.3">
      <c r="B127" s="402" t="s">
        <v>980</v>
      </c>
      <c r="C127" s="447"/>
      <c r="D127" s="435"/>
      <c r="E127" s="450"/>
      <c r="F127" s="435"/>
      <c r="G127" s="402"/>
      <c r="H127" s="402"/>
      <c r="I127" s="402"/>
      <c r="J127" s="402"/>
      <c r="K127" s="402"/>
      <c r="L127" s="402"/>
      <c r="M127" s="402"/>
      <c r="N127" s="402"/>
      <c r="O127" s="402"/>
      <c r="P127" s="402"/>
      <c r="Q127" s="402"/>
      <c r="R127" s="402"/>
      <c r="S127" s="402"/>
      <c r="T127" s="402"/>
      <c r="U127" s="402"/>
      <c r="V127" s="402"/>
      <c r="W127" s="402"/>
      <c r="X127" s="402"/>
      <c r="Y127" s="402"/>
      <c r="Z127" s="402"/>
      <c r="AA127" s="402"/>
      <c r="AB127" s="402"/>
      <c r="AC127" s="402"/>
      <c r="AD127" s="402"/>
      <c r="AE127" s="402"/>
      <c r="AF127" s="402"/>
      <c r="AG127" s="402"/>
      <c r="AH127" s="402"/>
    </row>
    <row r="128" spans="2:34" x14ac:dyDescent="0.3">
      <c r="B128" s="436" t="s">
        <v>981</v>
      </c>
      <c r="C128" s="448">
        <v>100</v>
      </c>
      <c r="D128" s="449"/>
      <c r="E128" s="450"/>
      <c r="F128" s="435"/>
      <c r="G128" s="402"/>
      <c r="H128" s="402"/>
      <c r="I128" s="402"/>
      <c r="J128" s="402"/>
      <c r="K128" s="402"/>
      <c r="L128" s="402"/>
      <c r="M128" s="402"/>
      <c r="N128" s="402"/>
      <c r="O128" s="402"/>
      <c r="P128" s="402"/>
      <c r="Q128" s="402"/>
      <c r="R128" s="402"/>
      <c r="S128" s="402"/>
      <c r="T128" s="402"/>
      <c r="U128" s="402"/>
      <c r="V128" s="402"/>
      <c r="W128" s="402"/>
      <c r="X128" s="402"/>
      <c r="Y128" s="402"/>
      <c r="Z128" s="402"/>
      <c r="AA128" s="402"/>
      <c r="AB128" s="402"/>
      <c r="AC128" s="402"/>
      <c r="AD128" s="402"/>
      <c r="AE128" s="402"/>
      <c r="AF128" s="402"/>
      <c r="AG128" s="402"/>
      <c r="AH128" s="402"/>
    </row>
    <row r="129" spans="2:34" x14ac:dyDescent="0.3">
      <c r="B129" s="436" t="s">
        <v>982</v>
      </c>
      <c r="C129" s="448"/>
      <c r="D129" s="449">
        <v>20</v>
      </c>
      <c r="E129" s="450"/>
      <c r="F129" s="435"/>
      <c r="G129" s="402"/>
      <c r="H129" s="402"/>
      <c r="I129" s="402"/>
      <c r="J129" s="402"/>
      <c r="K129" s="402"/>
      <c r="L129" s="402"/>
      <c r="M129" s="402"/>
      <c r="N129" s="402"/>
      <c r="O129" s="402"/>
      <c r="P129" s="402"/>
      <c r="Q129" s="402"/>
      <c r="R129" s="402"/>
      <c r="S129" s="402"/>
      <c r="T129" s="402"/>
      <c r="U129" s="402"/>
      <c r="V129" s="402"/>
      <c r="W129" s="402"/>
      <c r="X129" s="402"/>
      <c r="Y129" s="402"/>
      <c r="Z129" s="402"/>
      <c r="AA129" s="402"/>
      <c r="AB129" s="402"/>
      <c r="AC129" s="402"/>
      <c r="AD129" s="402"/>
      <c r="AE129" s="402"/>
      <c r="AF129" s="402"/>
      <c r="AG129" s="402"/>
      <c r="AH129" s="402"/>
    </row>
    <row r="130" spans="2:34" x14ac:dyDescent="0.3">
      <c r="B130" s="436" t="s">
        <v>983</v>
      </c>
      <c r="C130" s="448"/>
      <c r="D130" s="449">
        <v>30</v>
      </c>
      <c r="E130" s="450"/>
      <c r="F130" s="435"/>
      <c r="G130" s="402"/>
      <c r="H130" s="402"/>
      <c r="I130" s="402"/>
      <c r="J130" s="402"/>
      <c r="K130" s="402"/>
      <c r="L130" s="402"/>
      <c r="M130" s="402"/>
      <c r="N130" s="402"/>
      <c r="O130" s="402"/>
      <c r="P130" s="402"/>
      <c r="Q130" s="402"/>
      <c r="R130" s="402"/>
      <c r="S130" s="402"/>
      <c r="T130" s="402"/>
      <c r="U130" s="402"/>
      <c r="V130" s="402"/>
      <c r="W130" s="402"/>
      <c r="X130" s="402"/>
      <c r="Y130" s="402"/>
      <c r="Z130" s="402"/>
      <c r="AA130" s="402"/>
      <c r="AB130" s="402"/>
      <c r="AC130" s="402"/>
      <c r="AD130" s="402"/>
      <c r="AE130" s="402"/>
      <c r="AF130" s="402"/>
      <c r="AG130" s="402"/>
      <c r="AH130" s="402"/>
    </row>
    <row r="131" spans="2:34" x14ac:dyDescent="0.3">
      <c r="B131" s="436" t="s">
        <v>984</v>
      </c>
      <c r="C131" s="448"/>
      <c r="D131" s="449">
        <v>50</v>
      </c>
      <c r="E131" s="450"/>
      <c r="F131" s="435"/>
      <c r="G131" s="402"/>
      <c r="H131" s="402"/>
      <c r="I131" s="402"/>
      <c r="J131" s="402"/>
      <c r="K131" s="402"/>
      <c r="L131" s="402"/>
      <c r="M131" s="402"/>
      <c r="N131" s="402"/>
      <c r="O131" s="402"/>
      <c r="P131" s="402"/>
      <c r="Q131" s="402"/>
      <c r="R131" s="402"/>
      <c r="S131" s="402"/>
      <c r="T131" s="402"/>
      <c r="U131" s="402"/>
      <c r="V131" s="402"/>
      <c r="W131" s="402"/>
      <c r="X131" s="402"/>
      <c r="Y131" s="402"/>
      <c r="Z131" s="402"/>
      <c r="AA131" s="402"/>
      <c r="AB131" s="402"/>
      <c r="AC131" s="402"/>
      <c r="AD131" s="402"/>
      <c r="AE131" s="402"/>
      <c r="AF131" s="402"/>
      <c r="AG131" s="402"/>
      <c r="AH131" s="402"/>
    </row>
    <row r="132" spans="2:34" x14ac:dyDescent="0.3">
      <c r="B132" s="402"/>
      <c r="C132" s="447"/>
      <c r="D132" s="435"/>
      <c r="E132" s="450"/>
      <c r="F132" s="435"/>
      <c r="G132" s="402"/>
      <c r="H132" s="402"/>
      <c r="I132" s="402"/>
      <c r="J132" s="402"/>
      <c r="K132" s="402"/>
      <c r="L132" s="402"/>
      <c r="M132" s="402"/>
      <c r="N132" s="402"/>
      <c r="O132" s="402"/>
      <c r="P132" s="402"/>
      <c r="Q132" s="402"/>
      <c r="R132" s="402"/>
      <c r="S132" s="402"/>
      <c r="T132" s="402"/>
      <c r="U132" s="402"/>
      <c r="V132" s="402"/>
      <c r="W132" s="402"/>
      <c r="X132" s="402"/>
      <c r="Y132" s="402"/>
      <c r="Z132" s="402"/>
      <c r="AA132" s="402"/>
      <c r="AB132" s="402"/>
      <c r="AC132" s="402"/>
      <c r="AD132" s="402"/>
      <c r="AE132" s="402"/>
      <c r="AF132" s="402"/>
      <c r="AG132" s="402"/>
      <c r="AH132" s="402"/>
    </row>
    <row r="133" spans="2:34" x14ac:dyDescent="0.3">
      <c r="B133" s="436" t="s">
        <v>985</v>
      </c>
      <c r="C133" s="448">
        <v>10</v>
      </c>
      <c r="D133" s="449"/>
      <c r="E133" s="450"/>
      <c r="F133" s="435"/>
      <c r="G133" s="402"/>
      <c r="H133" s="402"/>
      <c r="I133" s="402"/>
      <c r="J133" s="402"/>
      <c r="K133" s="402"/>
      <c r="L133" s="402"/>
      <c r="M133" s="402"/>
      <c r="N133" s="402"/>
      <c r="O133" s="402"/>
      <c r="P133" s="402"/>
      <c r="Q133" s="402"/>
      <c r="R133" s="402"/>
      <c r="S133" s="402"/>
      <c r="T133" s="402"/>
      <c r="U133" s="402"/>
      <c r="V133" s="402"/>
      <c r="W133" s="402"/>
      <c r="X133" s="402"/>
      <c r="Y133" s="402"/>
      <c r="Z133" s="402"/>
      <c r="AA133" s="402"/>
      <c r="AB133" s="402"/>
      <c r="AC133" s="402"/>
      <c r="AD133" s="402"/>
      <c r="AE133" s="402"/>
      <c r="AF133" s="402"/>
      <c r="AG133" s="402"/>
      <c r="AH133" s="402"/>
    </row>
    <row r="134" spans="2:34" x14ac:dyDescent="0.3">
      <c r="B134" s="436" t="s">
        <v>986</v>
      </c>
      <c r="C134" s="448"/>
      <c r="D134" s="449">
        <v>10</v>
      </c>
      <c r="E134" s="450"/>
      <c r="F134" s="435"/>
      <c r="G134" s="402"/>
      <c r="H134" s="402"/>
      <c r="I134" s="402"/>
      <c r="J134" s="402"/>
      <c r="K134" s="402"/>
      <c r="L134" s="402"/>
      <c r="M134" s="402"/>
      <c r="N134" s="402"/>
      <c r="O134" s="402"/>
      <c r="P134" s="402"/>
      <c r="Q134" s="402"/>
      <c r="R134" s="402"/>
      <c r="S134" s="402"/>
      <c r="T134" s="402"/>
      <c r="U134" s="402"/>
      <c r="V134" s="402"/>
      <c r="W134" s="402"/>
      <c r="X134" s="402"/>
      <c r="Y134" s="402"/>
      <c r="Z134" s="402"/>
      <c r="AA134" s="402"/>
      <c r="AB134" s="402"/>
      <c r="AC134" s="402"/>
      <c r="AD134" s="402"/>
      <c r="AE134" s="402"/>
      <c r="AF134" s="402"/>
      <c r="AG134" s="402"/>
      <c r="AH134" s="402"/>
    </row>
    <row r="135" spans="2:34" x14ac:dyDescent="0.3">
      <c r="B135" s="402"/>
      <c r="C135" s="447"/>
      <c r="D135" s="435"/>
      <c r="E135" s="450"/>
      <c r="F135" s="435"/>
      <c r="G135" s="402"/>
      <c r="H135" s="402"/>
      <c r="I135" s="402"/>
      <c r="J135" s="402"/>
      <c r="K135" s="402"/>
      <c r="L135" s="402"/>
      <c r="M135" s="402"/>
      <c r="N135" s="402"/>
      <c r="O135" s="402"/>
      <c r="P135" s="402"/>
      <c r="Q135" s="402"/>
      <c r="R135" s="402"/>
      <c r="S135" s="402"/>
      <c r="T135" s="402"/>
      <c r="U135" s="402"/>
      <c r="V135" s="402"/>
      <c r="W135" s="402"/>
      <c r="X135" s="402"/>
      <c r="Y135" s="402"/>
      <c r="Z135" s="402"/>
      <c r="AA135" s="402"/>
      <c r="AB135" s="402"/>
      <c r="AC135" s="402"/>
      <c r="AD135" s="402"/>
      <c r="AE135" s="402"/>
      <c r="AF135" s="402"/>
      <c r="AG135" s="402"/>
      <c r="AH135" s="402"/>
    </row>
    <row r="136" spans="2:34" x14ac:dyDescent="0.3">
      <c r="B136" s="402"/>
      <c r="C136" s="447"/>
      <c r="D136" s="435"/>
      <c r="E136" s="450"/>
      <c r="F136" s="435"/>
      <c r="G136" s="402"/>
      <c r="H136" s="402"/>
      <c r="I136" s="402"/>
      <c r="J136" s="402"/>
      <c r="K136" s="402"/>
      <c r="L136" s="402"/>
      <c r="M136" s="402"/>
      <c r="N136" s="402"/>
      <c r="O136" s="402"/>
      <c r="P136" s="402"/>
      <c r="Q136" s="402"/>
      <c r="R136" s="402"/>
      <c r="S136" s="402"/>
      <c r="T136" s="402"/>
      <c r="U136" s="402"/>
      <c r="V136" s="402"/>
      <c r="W136" s="402"/>
      <c r="X136" s="402"/>
      <c r="Y136" s="402"/>
      <c r="Z136" s="402"/>
      <c r="AA136" s="402"/>
      <c r="AB136" s="402"/>
      <c r="AC136" s="402"/>
      <c r="AD136" s="402"/>
      <c r="AE136" s="402"/>
      <c r="AF136" s="402"/>
      <c r="AG136" s="402"/>
      <c r="AH136" s="402"/>
    </row>
    <row r="137" spans="2:34" x14ac:dyDescent="0.3">
      <c r="B137" s="402"/>
      <c r="C137" s="447"/>
      <c r="D137" s="435"/>
      <c r="E137" s="450"/>
      <c r="F137" s="435"/>
      <c r="G137" s="402"/>
      <c r="H137" s="402"/>
      <c r="I137" s="402"/>
      <c r="J137" s="402"/>
      <c r="K137" s="402"/>
      <c r="L137" s="402"/>
      <c r="M137" s="402"/>
      <c r="N137" s="402"/>
      <c r="O137" s="402"/>
      <c r="P137" s="402"/>
      <c r="Q137" s="402"/>
      <c r="R137" s="402"/>
      <c r="S137" s="402"/>
      <c r="T137" s="402"/>
      <c r="U137" s="402"/>
      <c r="V137" s="402"/>
      <c r="W137" s="402"/>
      <c r="X137" s="402"/>
      <c r="Y137" s="402"/>
      <c r="Z137" s="402"/>
      <c r="AA137" s="402"/>
      <c r="AB137" s="402"/>
      <c r="AC137" s="402"/>
      <c r="AD137" s="402"/>
      <c r="AE137" s="402"/>
      <c r="AF137" s="402"/>
      <c r="AG137" s="402"/>
      <c r="AH137" s="402"/>
    </row>
    <row r="138" spans="2:34" x14ac:dyDescent="0.3">
      <c r="B138" s="402"/>
      <c r="C138" s="447"/>
      <c r="D138" s="435"/>
      <c r="E138" s="450"/>
      <c r="F138" s="435"/>
      <c r="G138" s="402"/>
      <c r="H138" s="402"/>
      <c r="I138" s="402"/>
      <c r="J138" s="402"/>
      <c r="K138" s="402"/>
      <c r="L138" s="402"/>
      <c r="M138" s="402"/>
      <c r="N138" s="402"/>
      <c r="O138" s="402"/>
      <c r="P138" s="402"/>
      <c r="Q138" s="402"/>
      <c r="R138" s="402"/>
      <c r="S138" s="402"/>
      <c r="T138" s="402"/>
      <c r="U138" s="402"/>
      <c r="V138" s="402"/>
      <c r="W138" s="402"/>
      <c r="X138" s="402"/>
      <c r="Y138" s="402"/>
      <c r="Z138" s="402"/>
      <c r="AA138" s="402"/>
      <c r="AB138" s="402"/>
      <c r="AC138" s="402"/>
      <c r="AD138" s="402"/>
      <c r="AE138" s="402"/>
      <c r="AF138" s="402"/>
      <c r="AG138" s="402"/>
      <c r="AH138" s="402"/>
    </row>
    <row r="139" spans="2:34" x14ac:dyDescent="0.3">
      <c r="B139" s="402"/>
      <c r="C139" s="447"/>
      <c r="D139" s="435"/>
      <c r="E139" s="450"/>
      <c r="F139" s="435"/>
      <c r="G139" s="402"/>
      <c r="H139" s="402"/>
      <c r="I139" s="402"/>
      <c r="J139" s="402"/>
      <c r="K139" s="402"/>
      <c r="L139" s="402"/>
      <c r="M139" s="402"/>
      <c r="N139" s="402"/>
      <c r="O139" s="402"/>
      <c r="P139" s="402"/>
      <c r="Q139" s="402"/>
      <c r="R139" s="402"/>
      <c r="S139" s="402"/>
      <c r="T139" s="402"/>
      <c r="U139" s="402"/>
      <c r="V139" s="402"/>
      <c r="W139" s="402"/>
      <c r="X139" s="402"/>
      <c r="Y139" s="402"/>
      <c r="Z139" s="402"/>
      <c r="AA139" s="402"/>
      <c r="AB139" s="402"/>
      <c r="AC139" s="402"/>
      <c r="AD139" s="402"/>
      <c r="AE139" s="402"/>
      <c r="AF139" s="402"/>
      <c r="AG139" s="402"/>
      <c r="AH139" s="402"/>
    </row>
    <row r="140" spans="2:34" x14ac:dyDescent="0.3">
      <c r="B140" s="402"/>
      <c r="C140" s="447"/>
      <c r="D140" s="435"/>
      <c r="E140" s="450"/>
      <c r="F140" s="435"/>
      <c r="G140" s="402"/>
      <c r="H140" s="402"/>
      <c r="I140" s="402"/>
      <c r="J140" s="402"/>
      <c r="K140" s="402"/>
      <c r="L140" s="402"/>
      <c r="M140" s="402"/>
      <c r="N140" s="402"/>
      <c r="O140" s="402"/>
      <c r="P140" s="402"/>
      <c r="Q140" s="402"/>
      <c r="R140" s="402"/>
      <c r="S140" s="402"/>
      <c r="T140" s="402"/>
      <c r="U140" s="402"/>
      <c r="V140" s="402"/>
      <c r="W140" s="402"/>
      <c r="X140" s="402"/>
      <c r="Y140" s="402"/>
      <c r="Z140" s="402"/>
      <c r="AA140" s="402"/>
      <c r="AB140" s="402"/>
      <c r="AC140" s="402"/>
      <c r="AD140" s="402"/>
      <c r="AE140" s="402"/>
      <c r="AF140" s="402"/>
      <c r="AG140" s="402"/>
      <c r="AH140" s="402"/>
    </row>
    <row r="141" spans="2:34" x14ac:dyDescent="0.3">
      <c r="B141" s="402"/>
      <c r="C141" s="447"/>
      <c r="D141" s="435"/>
      <c r="E141" s="450"/>
      <c r="F141" s="435"/>
      <c r="G141" s="402"/>
      <c r="H141" s="402"/>
      <c r="I141" s="402"/>
      <c r="J141" s="402"/>
      <c r="K141" s="402"/>
      <c r="L141" s="402"/>
      <c r="M141" s="402"/>
      <c r="N141" s="402"/>
      <c r="O141" s="402"/>
      <c r="P141" s="402"/>
      <c r="Q141" s="402"/>
      <c r="R141" s="402"/>
      <c r="S141" s="402"/>
      <c r="T141" s="402"/>
      <c r="U141" s="402"/>
      <c r="V141" s="402"/>
      <c r="W141" s="402"/>
      <c r="X141" s="402"/>
      <c r="Y141" s="402"/>
      <c r="Z141" s="402"/>
      <c r="AA141" s="402"/>
      <c r="AB141" s="402"/>
      <c r="AC141" s="402"/>
      <c r="AD141" s="402"/>
      <c r="AE141" s="402"/>
      <c r="AF141" s="402"/>
      <c r="AG141" s="402"/>
      <c r="AH141" s="402"/>
    </row>
    <row r="142" spans="2:34" x14ac:dyDescent="0.3">
      <c r="B142" s="402"/>
      <c r="C142" s="447"/>
      <c r="D142" s="435"/>
      <c r="E142" s="450"/>
      <c r="F142" s="435"/>
      <c r="G142" s="402"/>
      <c r="H142" s="402"/>
      <c r="I142" s="402"/>
      <c r="J142" s="402"/>
      <c r="K142" s="402"/>
      <c r="L142" s="402"/>
      <c r="M142" s="402"/>
      <c r="N142" s="402"/>
      <c r="O142" s="402"/>
      <c r="P142" s="402"/>
      <c r="Q142" s="402"/>
      <c r="R142" s="402"/>
      <c r="S142" s="402"/>
      <c r="T142" s="402"/>
      <c r="U142" s="402"/>
      <c r="V142" s="402"/>
      <c r="W142" s="402"/>
      <c r="X142" s="402"/>
      <c r="Y142" s="402"/>
      <c r="Z142" s="402"/>
      <c r="AA142" s="402"/>
      <c r="AB142" s="402"/>
      <c r="AC142" s="402"/>
      <c r="AD142" s="402"/>
      <c r="AE142" s="402"/>
      <c r="AF142" s="402"/>
      <c r="AG142" s="402"/>
      <c r="AH142" s="402"/>
    </row>
    <row r="143" spans="2:34" x14ac:dyDescent="0.3">
      <c r="B143" s="402"/>
      <c r="C143" s="447"/>
      <c r="D143" s="435"/>
      <c r="E143" s="450"/>
      <c r="F143" s="435"/>
      <c r="G143" s="402"/>
      <c r="H143" s="402"/>
      <c r="I143" s="402"/>
      <c r="J143" s="402"/>
      <c r="K143" s="402"/>
      <c r="L143" s="402"/>
      <c r="M143" s="402"/>
      <c r="N143" s="402"/>
      <c r="O143" s="402"/>
      <c r="P143" s="402"/>
      <c r="Q143" s="402"/>
      <c r="R143" s="402"/>
      <c r="S143" s="402"/>
      <c r="T143" s="402"/>
      <c r="U143" s="402"/>
      <c r="V143" s="402"/>
      <c r="W143" s="402"/>
      <c r="X143" s="402"/>
      <c r="Y143" s="402"/>
      <c r="Z143" s="402"/>
      <c r="AA143" s="402"/>
      <c r="AB143" s="402"/>
      <c r="AC143" s="402"/>
      <c r="AD143" s="402"/>
      <c r="AE143" s="402"/>
      <c r="AF143" s="402"/>
      <c r="AG143" s="402"/>
      <c r="AH143" s="402"/>
    </row>
    <row r="144" spans="2:34" x14ac:dyDescent="0.3">
      <c r="B144" s="402"/>
      <c r="C144" s="447"/>
      <c r="D144" s="435"/>
      <c r="E144" s="450"/>
      <c r="F144" s="435"/>
      <c r="G144" s="402"/>
      <c r="H144" s="402"/>
      <c r="I144" s="402"/>
      <c r="J144" s="402"/>
      <c r="K144" s="402"/>
      <c r="L144" s="402"/>
      <c r="M144" s="402"/>
      <c r="N144" s="402"/>
      <c r="O144" s="402"/>
      <c r="P144" s="402"/>
      <c r="Q144" s="402"/>
      <c r="R144" s="402"/>
      <c r="S144" s="402"/>
      <c r="T144" s="402"/>
      <c r="U144" s="402"/>
      <c r="V144" s="402"/>
      <c r="W144" s="402"/>
      <c r="X144" s="402"/>
      <c r="Y144" s="402"/>
      <c r="Z144" s="402"/>
      <c r="AA144" s="402"/>
      <c r="AB144" s="402"/>
      <c r="AC144" s="402"/>
      <c r="AD144" s="402"/>
      <c r="AE144" s="402"/>
      <c r="AF144" s="402"/>
      <c r="AG144" s="402"/>
      <c r="AH144" s="402"/>
    </row>
    <row r="145" spans="2:34" x14ac:dyDescent="0.3">
      <c r="B145" s="402"/>
      <c r="C145" s="447"/>
      <c r="D145" s="435"/>
      <c r="E145" s="450"/>
      <c r="F145" s="435"/>
      <c r="G145" s="402"/>
      <c r="H145" s="402"/>
      <c r="I145" s="402"/>
      <c r="J145" s="402"/>
      <c r="K145" s="402"/>
      <c r="L145" s="402"/>
      <c r="M145" s="402"/>
      <c r="N145" s="402"/>
      <c r="O145" s="402"/>
      <c r="P145" s="402"/>
      <c r="Q145" s="402"/>
      <c r="R145" s="402"/>
      <c r="S145" s="402"/>
      <c r="T145" s="402"/>
      <c r="U145" s="402"/>
      <c r="V145" s="402"/>
      <c r="W145" s="402"/>
      <c r="X145" s="402"/>
      <c r="Y145" s="402"/>
      <c r="Z145" s="402"/>
      <c r="AA145" s="402"/>
      <c r="AB145" s="402"/>
      <c r="AC145" s="402"/>
      <c r="AD145" s="402"/>
      <c r="AE145" s="402"/>
      <c r="AF145" s="402"/>
      <c r="AG145" s="402"/>
      <c r="AH145" s="402"/>
    </row>
    <row r="146" spans="2:34" x14ac:dyDescent="0.3">
      <c r="B146" s="402"/>
      <c r="C146" s="447"/>
      <c r="D146" s="435"/>
      <c r="E146" s="450"/>
      <c r="F146" s="435"/>
      <c r="G146" s="402"/>
      <c r="H146" s="402"/>
      <c r="I146" s="402"/>
      <c r="J146" s="402"/>
      <c r="K146" s="402"/>
      <c r="L146" s="402"/>
      <c r="M146" s="402"/>
      <c r="N146" s="402"/>
      <c r="O146" s="402"/>
      <c r="P146" s="402"/>
      <c r="Q146" s="402"/>
      <c r="R146" s="402"/>
      <c r="S146" s="402"/>
      <c r="T146" s="402"/>
      <c r="U146" s="402"/>
      <c r="V146" s="402"/>
      <c r="W146" s="402"/>
      <c r="X146" s="402"/>
      <c r="Y146" s="402"/>
      <c r="Z146" s="402"/>
      <c r="AA146" s="402"/>
      <c r="AB146" s="402"/>
      <c r="AC146" s="402"/>
      <c r="AD146" s="402"/>
      <c r="AE146" s="402"/>
      <c r="AF146" s="402"/>
      <c r="AG146" s="402"/>
      <c r="AH146" s="402"/>
    </row>
    <row r="147" spans="2:34" x14ac:dyDescent="0.3">
      <c r="B147" s="402"/>
      <c r="C147" s="447"/>
      <c r="D147" s="435"/>
      <c r="E147" s="450"/>
      <c r="F147" s="435"/>
      <c r="G147" s="402"/>
      <c r="H147" s="402"/>
      <c r="I147" s="402"/>
      <c r="J147" s="402"/>
      <c r="K147" s="402"/>
      <c r="L147" s="402"/>
      <c r="M147" s="402"/>
      <c r="N147" s="402"/>
      <c r="O147" s="402"/>
      <c r="P147" s="402"/>
      <c r="Q147" s="402"/>
      <c r="R147" s="402"/>
      <c r="S147" s="402"/>
      <c r="T147" s="402"/>
      <c r="U147" s="402"/>
      <c r="V147" s="402"/>
      <c r="W147" s="402"/>
      <c r="X147" s="402"/>
      <c r="Y147" s="402"/>
      <c r="Z147" s="402"/>
      <c r="AA147" s="402"/>
      <c r="AB147" s="402"/>
      <c r="AC147" s="402"/>
      <c r="AD147" s="402"/>
      <c r="AE147" s="402"/>
      <c r="AF147" s="402"/>
      <c r="AG147" s="402"/>
      <c r="AH147" s="402"/>
    </row>
    <row r="148" spans="2:34" x14ac:dyDescent="0.3">
      <c r="B148" s="402"/>
      <c r="C148" s="447"/>
      <c r="D148" s="435"/>
      <c r="E148" s="450"/>
      <c r="F148" s="435"/>
      <c r="G148" s="402"/>
      <c r="H148" s="402"/>
      <c r="I148" s="402"/>
      <c r="J148" s="402"/>
      <c r="K148" s="402"/>
      <c r="L148" s="402"/>
      <c r="M148" s="402"/>
      <c r="N148" s="402"/>
      <c r="O148" s="402"/>
      <c r="P148" s="402"/>
      <c r="Q148" s="402"/>
      <c r="R148" s="402"/>
      <c r="S148" s="402"/>
      <c r="T148" s="402"/>
      <c r="U148" s="402"/>
      <c r="V148" s="402"/>
      <c r="W148" s="402"/>
      <c r="X148" s="402"/>
      <c r="Y148" s="402"/>
      <c r="Z148" s="402"/>
      <c r="AA148" s="402"/>
      <c r="AB148" s="402"/>
      <c r="AC148" s="402"/>
      <c r="AD148" s="402"/>
      <c r="AE148" s="402"/>
      <c r="AF148" s="402"/>
      <c r="AG148" s="402"/>
      <c r="AH148" s="402"/>
    </row>
    <row r="149" spans="2:34" x14ac:dyDescent="0.3">
      <c r="B149" s="402"/>
      <c r="C149" s="447"/>
      <c r="D149" s="435"/>
      <c r="E149" s="450"/>
      <c r="F149" s="435"/>
      <c r="G149" s="402"/>
      <c r="H149" s="402"/>
      <c r="I149" s="402"/>
      <c r="J149" s="402"/>
      <c r="K149" s="402"/>
      <c r="L149" s="402"/>
      <c r="M149" s="402"/>
      <c r="N149" s="402"/>
      <c r="O149" s="402"/>
      <c r="P149" s="402"/>
      <c r="Q149" s="402"/>
      <c r="R149" s="402"/>
      <c r="S149" s="402"/>
      <c r="T149" s="402"/>
      <c r="U149" s="402"/>
      <c r="V149" s="402"/>
      <c r="W149" s="402"/>
      <c r="X149" s="402"/>
      <c r="Y149" s="402"/>
      <c r="Z149" s="402"/>
      <c r="AA149" s="402"/>
      <c r="AB149" s="402"/>
      <c r="AC149" s="402"/>
      <c r="AD149" s="402"/>
      <c r="AE149" s="402"/>
      <c r="AF149" s="402"/>
      <c r="AG149" s="402"/>
      <c r="AH149" s="402"/>
    </row>
    <row r="150" spans="2:34" x14ac:dyDescent="0.3">
      <c r="B150" s="402"/>
      <c r="C150" s="447"/>
      <c r="D150" s="435"/>
      <c r="E150" s="450"/>
      <c r="F150" s="435"/>
      <c r="G150" s="402"/>
      <c r="H150" s="402"/>
      <c r="I150" s="402"/>
      <c r="J150" s="402"/>
      <c r="K150" s="402"/>
      <c r="L150" s="402"/>
      <c r="M150" s="402"/>
      <c r="N150" s="402"/>
      <c r="O150" s="402"/>
      <c r="P150" s="402"/>
      <c r="Q150" s="402"/>
      <c r="R150" s="402"/>
      <c r="S150" s="402"/>
      <c r="T150" s="402"/>
      <c r="U150" s="402"/>
      <c r="V150" s="402"/>
      <c r="W150" s="402"/>
      <c r="X150" s="402"/>
      <c r="Y150" s="402"/>
      <c r="Z150" s="402"/>
      <c r="AA150" s="402"/>
      <c r="AB150" s="402"/>
      <c r="AC150" s="402"/>
      <c r="AD150" s="402"/>
      <c r="AE150" s="402"/>
      <c r="AF150" s="402"/>
      <c r="AG150" s="402"/>
      <c r="AH150" s="402"/>
    </row>
    <row r="151" spans="2:34" x14ac:dyDescent="0.3">
      <c r="B151" s="402"/>
      <c r="C151" s="447"/>
      <c r="D151" s="435"/>
      <c r="E151" s="450"/>
      <c r="F151" s="435"/>
      <c r="G151" s="402"/>
      <c r="H151" s="402"/>
      <c r="I151" s="402"/>
      <c r="J151" s="402"/>
      <c r="K151" s="402"/>
      <c r="L151" s="402"/>
      <c r="M151" s="402"/>
      <c r="N151" s="402"/>
      <c r="O151" s="402"/>
      <c r="P151" s="402"/>
      <c r="Q151" s="402"/>
      <c r="R151" s="402"/>
      <c r="S151" s="402"/>
      <c r="T151" s="402"/>
      <c r="U151" s="402"/>
      <c r="V151" s="402"/>
      <c r="W151" s="402"/>
      <c r="X151" s="402"/>
      <c r="Y151" s="402"/>
      <c r="Z151" s="402"/>
      <c r="AA151" s="402"/>
      <c r="AB151" s="402"/>
      <c r="AC151" s="402"/>
      <c r="AD151" s="402"/>
      <c r="AE151" s="402"/>
      <c r="AF151" s="402"/>
      <c r="AG151" s="402"/>
      <c r="AH151" s="402"/>
    </row>
    <row r="152" spans="2:34" x14ac:dyDescent="0.3">
      <c r="B152" s="402"/>
      <c r="C152" s="447"/>
      <c r="D152" s="435"/>
      <c r="E152" s="450"/>
      <c r="F152" s="435"/>
      <c r="G152" s="402"/>
      <c r="H152" s="402"/>
      <c r="I152" s="402"/>
      <c r="J152" s="402"/>
      <c r="K152" s="402"/>
      <c r="L152" s="402"/>
      <c r="M152" s="402"/>
      <c r="N152" s="402"/>
      <c r="O152" s="402"/>
      <c r="P152" s="402"/>
      <c r="Q152" s="402"/>
      <c r="R152" s="402"/>
      <c r="S152" s="402"/>
      <c r="T152" s="402"/>
      <c r="U152" s="402"/>
      <c r="V152" s="402"/>
      <c r="W152" s="402"/>
      <c r="X152" s="402"/>
      <c r="Y152" s="402"/>
      <c r="Z152" s="402"/>
      <c r="AA152" s="402"/>
      <c r="AB152" s="402"/>
      <c r="AC152" s="402"/>
      <c r="AD152" s="402"/>
      <c r="AE152" s="402"/>
      <c r="AF152" s="402"/>
      <c r="AG152" s="402"/>
      <c r="AH152" s="402"/>
    </row>
    <row r="153" spans="2:34" x14ac:dyDescent="0.3">
      <c r="B153" s="402"/>
      <c r="C153" s="447"/>
      <c r="D153" s="435"/>
      <c r="E153" s="450"/>
      <c r="F153" s="435"/>
      <c r="G153" s="402"/>
      <c r="H153" s="402"/>
      <c r="I153" s="402"/>
      <c r="J153" s="402"/>
      <c r="K153" s="402"/>
      <c r="L153" s="402"/>
      <c r="M153" s="402"/>
      <c r="N153" s="402"/>
      <c r="O153" s="402"/>
      <c r="P153" s="402"/>
      <c r="Q153" s="402"/>
      <c r="R153" s="402"/>
      <c r="S153" s="402"/>
      <c r="T153" s="402"/>
      <c r="U153" s="402"/>
      <c r="V153" s="402"/>
      <c r="W153" s="402"/>
      <c r="X153" s="402"/>
      <c r="Y153" s="402"/>
      <c r="Z153" s="402"/>
      <c r="AA153" s="402"/>
      <c r="AB153" s="402"/>
      <c r="AC153" s="402"/>
      <c r="AD153" s="402"/>
      <c r="AE153" s="402"/>
      <c r="AF153" s="402"/>
      <c r="AG153" s="402"/>
      <c r="AH153" s="402"/>
    </row>
    <row r="154" spans="2:34" x14ac:dyDescent="0.3">
      <c r="B154" s="402"/>
      <c r="C154" s="447"/>
      <c r="D154" s="435"/>
      <c r="E154" s="450"/>
      <c r="F154" s="435"/>
      <c r="G154" s="402"/>
      <c r="H154" s="402"/>
      <c r="I154" s="402"/>
      <c r="J154" s="402"/>
      <c r="K154" s="402"/>
      <c r="L154" s="402"/>
      <c r="M154" s="402"/>
      <c r="N154" s="402"/>
      <c r="O154" s="402"/>
      <c r="P154" s="402"/>
      <c r="Q154" s="402"/>
      <c r="R154" s="402"/>
      <c r="S154" s="402"/>
      <c r="T154" s="402"/>
      <c r="U154" s="402"/>
      <c r="V154" s="402"/>
      <c r="W154" s="402"/>
      <c r="X154" s="402"/>
      <c r="Y154" s="402"/>
      <c r="Z154" s="402"/>
      <c r="AA154" s="402"/>
      <c r="AB154" s="402"/>
      <c r="AC154" s="402"/>
      <c r="AD154" s="402"/>
      <c r="AE154" s="402"/>
      <c r="AF154" s="402"/>
      <c r="AG154" s="402"/>
      <c r="AH154" s="402"/>
    </row>
    <row r="155" spans="2:34" x14ac:dyDescent="0.3">
      <c r="B155" s="402"/>
      <c r="C155" s="447"/>
      <c r="D155" s="435"/>
      <c r="E155" s="450"/>
      <c r="F155" s="435"/>
      <c r="G155" s="402"/>
      <c r="H155" s="402"/>
      <c r="I155" s="402"/>
      <c r="J155" s="402"/>
      <c r="K155" s="402"/>
      <c r="L155" s="402"/>
      <c r="M155" s="402"/>
      <c r="N155" s="402"/>
      <c r="O155" s="402"/>
      <c r="P155" s="402"/>
      <c r="Q155" s="402"/>
      <c r="R155" s="402"/>
      <c r="S155" s="402"/>
      <c r="T155" s="402"/>
      <c r="U155" s="402"/>
      <c r="V155" s="402"/>
      <c r="W155" s="402"/>
      <c r="X155" s="402"/>
      <c r="Y155" s="402"/>
      <c r="Z155" s="402"/>
      <c r="AA155" s="402"/>
      <c r="AB155" s="402"/>
      <c r="AC155" s="402"/>
      <c r="AD155" s="402"/>
      <c r="AE155" s="402"/>
      <c r="AF155" s="402"/>
      <c r="AG155" s="402"/>
      <c r="AH155" s="402"/>
    </row>
    <row r="156" spans="2:34" x14ac:dyDescent="0.3">
      <c r="B156" s="402"/>
      <c r="C156" s="447"/>
      <c r="D156" s="435"/>
      <c r="E156" s="450"/>
      <c r="F156" s="435"/>
      <c r="G156" s="402"/>
      <c r="H156" s="402"/>
      <c r="I156" s="402"/>
      <c r="J156" s="402"/>
      <c r="K156" s="402"/>
      <c r="L156" s="402"/>
      <c r="M156" s="402"/>
      <c r="N156" s="402"/>
      <c r="O156" s="402"/>
      <c r="P156" s="402"/>
      <c r="Q156" s="402"/>
      <c r="R156" s="402"/>
      <c r="S156" s="402"/>
      <c r="T156" s="402"/>
      <c r="U156" s="402"/>
      <c r="V156" s="402"/>
      <c r="W156" s="402"/>
      <c r="X156" s="402"/>
      <c r="Y156" s="402"/>
      <c r="Z156" s="402"/>
      <c r="AA156" s="402"/>
      <c r="AB156" s="402"/>
      <c r="AC156" s="402"/>
      <c r="AD156" s="402"/>
      <c r="AE156" s="402"/>
      <c r="AF156" s="402"/>
      <c r="AG156" s="402"/>
      <c r="AH156" s="402"/>
    </row>
    <row r="157" spans="2:34" x14ac:dyDescent="0.3">
      <c r="B157" s="402"/>
      <c r="C157" s="447"/>
      <c r="D157" s="435"/>
      <c r="E157" s="450"/>
      <c r="F157" s="435"/>
      <c r="G157" s="402"/>
      <c r="H157" s="402"/>
      <c r="I157" s="402"/>
      <c r="J157" s="402"/>
      <c r="K157" s="402"/>
      <c r="L157" s="402"/>
      <c r="M157" s="402"/>
      <c r="N157" s="402"/>
      <c r="O157" s="402"/>
      <c r="P157" s="402"/>
      <c r="Q157" s="402"/>
      <c r="R157" s="402"/>
      <c r="S157" s="402"/>
      <c r="T157" s="402"/>
      <c r="U157" s="402"/>
      <c r="V157" s="402"/>
      <c r="W157" s="402"/>
      <c r="X157" s="402"/>
      <c r="Y157" s="402"/>
      <c r="Z157" s="402"/>
      <c r="AA157" s="402"/>
      <c r="AB157" s="402"/>
      <c r="AC157" s="402"/>
      <c r="AD157" s="402"/>
      <c r="AE157" s="402"/>
      <c r="AF157" s="402"/>
      <c r="AG157" s="402"/>
      <c r="AH157" s="402"/>
    </row>
    <row r="158" spans="2:34" x14ac:dyDescent="0.3">
      <c r="B158" s="402"/>
      <c r="C158" s="447"/>
      <c r="D158" s="435"/>
      <c r="E158" s="450"/>
      <c r="F158" s="435"/>
      <c r="G158" s="402"/>
      <c r="H158" s="402"/>
      <c r="I158" s="402"/>
      <c r="J158" s="402"/>
      <c r="K158" s="402"/>
      <c r="L158" s="402"/>
      <c r="M158" s="402"/>
      <c r="N158" s="402"/>
      <c r="O158" s="402"/>
      <c r="P158" s="402"/>
      <c r="Q158" s="402"/>
      <c r="R158" s="402"/>
      <c r="S158" s="402"/>
      <c r="T158" s="402"/>
      <c r="U158" s="402"/>
      <c r="V158" s="402"/>
      <c r="W158" s="402"/>
      <c r="X158" s="402"/>
      <c r="Y158" s="402"/>
      <c r="Z158" s="402"/>
      <c r="AA158" s="402"/>
      <c r="AB158" s="402"/>
      <c r="AC158" s="402"/>
      <c r="AD158" s="402"/>
      <c r="AE158" s="402"/>
      <c r="AF158" s="402"/>
      <c r="AG158" s="402"/>
      <c r="AH158" s="402"/>
    </row>
  </sheetData>
  <mergeCells count="12">
    <mergeCell ref="E55:E57"/>
    <mergeCell ref="K70:M70"/>
    <mergeCell ref="B92:B96"/>
    <mergeCell ref="D92:E96"/>
    <mergeCell ref="B8:M8"/>
    <mergeCell ref="B9:M9"/>
    <mergeCell ref="C10:E10"/>
    <mergeCell ref="G10:I10"/>
    <mergeCell ref="K10:M10"/>
    <mergeCell ref="C46:D46"/>
    <mergeCell ref="H46:I46"/>
    <mergeCell ref="L46:M46"/>
  </mergeCells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3"/>
  <sheetViews>
    <sheetView topLeftCell="B1" zoomScale="120" zoomScaleNormal="120" workbookViewId="0">
      <selection activeCell="D10" sqref="D10"/>
    </sheetView>
  </sheetViews>
  <sheetFormatPr baseColWidth="10" defaultColWidth="11.44140625" defaultRowHeight="14.4" x14ac:dyDescent="0.3"/>
  <cols>
    <col min="1" max="1" width="25" bestFit="1" customWidth="1"/>
    <col min="2" max="2" width="44.109375" bestFit="1" customWidth="1"/>
    <col min="5" max="5" width="9" customWidth="1"/>
    <col min="6" max="6" width="3.109375" customWidth="1"/>
    <col min="7" max="7" width="32.33203125" customWidth="1"/>
    <col min="8" max="8" width="16.109375" customWidth="1"/>
    <col min="10" max="10" width="1.109375" customWidth="1"/>
    <col min="11" max="11" width="18.88671875" customWidth="1"/>
    <col min="12" max="12" width="18" customWidth="1"/>
  </cols>
  <sheetData>
    <row r="1" spans="1:14" x14ac:dyDescent="0.3">
      <c r="G1" s="45">
        <v>0.8</v>
      </c>
      <c r="K1" s="45" t="s">
        <v>819</v>
      </c>
      <c r="L1" t="s">
        <v>820</v>
      </c>
    </row>
    <row r="2" spans="1:14" x14ac:dyDescent="0.3">
      <c r="B2" t="s">
        <v>987</v>
      </c>
      <c r="G2" t="s">
        <v>822</v>
      </c>
      <c r="K2" s="45" t="s">
        <v>823</v>
      </c>
      <c r="L2" t="s">
        <v>824</v>
      </c>
    </row>
    <row r="3" spans="1:14" ht="15" thickBot="1" x14ac:dyDescent="0.35">
      <c r="B3" s="10" t="s">
        <v>825</v>
      </c>
      <c r="C3" t="s">
        <v>988</v>
      </c>
      <c r="D3" t="s">
        <v>437</v>
      </c>
      <c r="E3" t="s">
        <v>989</v>
      </c>
      <c r="G3" t="s">
        <v>826</v>
      </c>
      <c r="K3" t="s">
        <v>827</v>
      </c>
      <c r="L3" t="s">
        <v>828</v>
      </c>
      <c r="N3" s="45">
        <v>0.1</v>
      </c>
    </row>
    <row r="4" spans="1:14" ht="15" thickBot="1" x14ac:dyDescent="0.35">
      <c r="A4" t="s">
        <v>829</v>
      </c>
      <c r="B4" s="46" t="s">
        <v>990</v>
      </c>
      <c r="C4" s="58">
        <v>100</v>
      </c>
      <c r="D4" s="46"/>
      <c r="E4">
        <f>C4</f>
        <v>100</v>
      </c>
      <c r="G4" s="111" t="s">
        <v>144</v>
      </c>
      <c r="H4" s="111">
        <v>100</v>
      </c>
      <c r="I4" s="111"/>
      <c r="K4" t="s">
        <v>144</v>
      </c>
      <c r="L4">
        <v>100</v>
      </c>
    </row>
    <row r="5" spans="1:14" x14ac:dyDescent="0.3">
      <c r="B5" s="57" t="s">
        <v>144</v>
      </c>
      <c r="C5" s="46"/>
      <c r="D5" s="46">
        <v>100</v>
      </c>
      <c r="G5" s="111" t="s">
        <v>831</v>
      </c>
      <c r="H5" s="111"/>
      <c r="I5" s="111">
        <v>40</v>
      </c>
      <c r="K5" t="s">
        <v>831</v>
      </c>
      <c r="M5">
        <v>40</v>
      </c>
    </row>
    <row r="6" spans="1:14" x14ac:dyDescent="0.3">
      <c r="A6" t="s">
        <v>832</v>
      </c>
      <c r="B6" t="s">
        <v>833</v>
      </c>
      <c r="C6">
        <v>100</v>
      </c>
      <c r="G6" s="111" t="s">
        <v>46</v>
      </c>
      <c r="H6" s="111"/>
      <c r="I6" s="111">
        <v>60</v>
      </c>
      <c r="K6" t="s">
        <v>46</v>
      </c>
      <c r="M6">
        <v>60</v>
      </c>
    </row>
    <row r="7" spans="1:14" ht="15" thickBot="1" x14ac:dyDescent="0.35">
      <c r="B7" s="56" t="s">
        <v>144</v>
      </c>
      <c r="D7">
        <v>100</v>
      </c>
    </row>
    <row r="8" spans="1:14" ht="15" thickBot="1" x14ac:dyDescent="0.35">
      <c r="A8" t="s">
        <v>834</v>
      </c>
      <c r="C8" s="58"/>
      <c r="D8" s="46"/>
      <c r="G8" s="111" t="s">
        <v>991</v>
      </c>
      <c r="H8" s="111">
        <v>50</v>
      </c>
      <c r="I8" s="78">
        <v>-80</v>
      </c>
      <c r="K8" t="s">
        <v>836</v>
      </c>
      <c r="L8">
        <v>30</v>
      </c>
    </row>
    <row r="9" spans="1:14" x14ac:dyDescent="0.3">
      <c r="A9" t="s">
        <v>837</v>
      </c>
      <c r="B9" s="72" t="s">
        <v>992</v>
      </c>
      <c r="C9" s="46">
        <f>D10</f>
        <v>-64</v>
      </c>
      <c r="D9" s="46"/>
      <c r="G9" t="s">
        <v>993</v>
      </c>
      <c r="I9" s="111">
        <v>20</v>
      </c>
      <c r="K9" t="s">
        <v>840</v>
      </c>
    </row>
    <row r="10" spans="1:14" x14ac:dyDescent="0.3">
      <c r="B10" s="46" t="s">
        <v>830</v>
      </c>
      <c r="D10">
        <f>I8*0.8</f>
        <v>-64</v>
      </c>
      <c r="E10">
        <f>C4+D10</f>
        <v>36</v>
      </c>
      <c r="G10" s="35" t="s">
        <v>841</v>
      </c>
      <c r="H10" s="35"/>
      <c r="I10" s="35">
        <v>20</v>
      </c>
      <c r="K10" t="s">
        <v>842</v>
      </c>
    </row>
    <row r="11" spans="1:14" x14ac:dyDescent="0.3">
      <c r="K11" t="s">
        <v>843</v>
      </c>
      <c r="L11">
        <v>18</v>
      </c>
    </row>
    <row r="12" spans="1:14" x14ac:dyDescent="0.3">
      <c r="A12" t="s">
        <v>844</v>
      </c>
      <c r="B12" s="46" t="str">
        <f>B10</f>
        <v>Activos financieros instrumentos de patrimonio: B</v>
      </c>
      <c r="C12" s="46">
        <f>I9*0.8</f>
        <v>16</v>
      </c>
      <c r="D12" s="46"/>
      <c r="E12">
        <f>C4+D10+C12</f>
        <v>52</v>
      </c>
      <c r="G12" s="35" t="s">
        <v>843</v>
      </c>
      <c r="H12" s="35">
        <f>I10</f>
        <v>20</v>
      </c>
      <c r="I12" s="35"/>
      <c r="K12" t="s">
        <v>846</v>
      </c>
      <c r="M12">
        <f>L11</f>
        <v>18</v>
      </c>
    </row>
    <row r="13" spans="1:14" x14ac:dyDescent="0.3">
      <c r="B13" s="46" t="s">
        <v>994</v>
      </c>
      <c r="C13" s="46"/>
      <c r="D13" s="46">
        <f>C12</f>
        <v>16</v>
      </c>
      <c r="G13" s="35" t="s">
        <v>846</v>
      </c>
      <c r="H13" s="35"/>
      <c r="I13" s="35">
        <f>H12</f>
        <v>20</v>
      </c>
      <c r="K13" t="s">
        <v>846</v>
      </c>
      <c r="L13">
        <f>M12</f>
        <v>18</v>
      </c>
    </row>
    <row r="14" spans="1:14" x14ac:dyDescent="0.3">
      <c r="K14" s="56" t="s">
        <v>144</v>
      </c>
      <c r="M14">
        <f>L13</f>
        <v>18</v>
      </c>
    </row>
    <row r="15" spans="1:14" x14ac:dyDescent="0.3">
      <c r="A15" t="s">
        <v>847</v>
      </c>
      <c r="G15" s="35" t="s">
        <v>846</v>
      </c>
      <c r="H15" s="35">
        <f>I13</f>
        <v>20</v>
      </c>
      <c r="I15" s="35"/>
      <c r="K15" t="s">
        <v>848</v>
      </c>
    </row>
    <row r="16" spans="1:14" x14ac:dyDescent="0.3">
      <c r="G16" s="132" t="s">
        <v>144</v>
      </c>
      <c r="H16" s="35"/>
      <c r="I16" s="35">
        <f>H15</f>
        <v>20</v>
      </c>
      <c r="K16" t="s">
        <v>849</v>
      </c>
      <c r="M16" t="s">
        <v>850</v>
      </c>
    </row>
    <row r="17" spans="1:11" ht="15" thickBot="1" x14ac:dyDescent="0.35">
      <c r="B17" s="72" t="s">
        <v>995</v>
      </c>
      <c r="C17" s="46">
        <f>I10*G1</f>
        <v>16</v>
      </c>
      <c r="D17" s="46"/>
    </row>
    <row r="18" spans="1:11" ht="15" thickBot="1" x14ac:dyDescent="0.35">
      <c r="B18" s="46" t="s">
        <v>830</v>
      </c>
      <c r="C18" s="46"/>
      <c r="D18" s="58">
        <f>C17</f>
        <v>16</v>
      </c>
    </row>
    <row r="19" spans="1:11" x14ac:dyDescent="0.3">
      <c r="H19" t="s">
        <v>996</v>
      </c>
    </row>
    <row r="20" spans="1:11" x14ac:dyDescent="0.3">
      <c r="B20" s="46" t="s">
        <v>144</v>
      </c>
      <c r="C20" s="46">
        <f>C17</f>
        <v>16</v>
      </c>
      <c r="D20" s="46"/>
      <c r="H20">
        <f>C4</f>
        <v>100</v>
      </c>
    </row>
    <row r="21" spans="1:11" x14ac:dyDescent="0.3">
      <c r="B21" s="72" t="s">
        <v>845</v>
      </c>
      <c r="C21" s="46"/>
      <c r="D21" s="46">
        <f>C20</f>
        <v>16</v>
      </c>
      <c r="H21">
        <f>C8</f>
        <v>0</v>
      </c>
    </row>
    <row r="22" spans="1:11" x14ac:dyDescent="0.3">
      <c r="A22" t="s">
        <v>854</v>
      </c>
      <c r="H22">
        <f>-D18</f>
        <v>-16</v>
      </c>
    </row>
    <row r="23" spans="1:11" x14ac:dyDescent="0.3">
      <c r="H23">
        <f>H20+H21+H22</f>
        <v>84</v>
      </c>
    </row>
    <row r="24" spans="1:11" x14ac:dyDescent="0.3">
      <c r="A24" t="s">
        <v>855</v>
      </c>
      <c r="B24" t="s">
        <v>856</v>
      </c>
      <c r="C24">
        <f>C4+C8-D18</f>
        <v>84</v>
      </c>
      <c r="H24">
        <v>6</v>
      </c>
      <c r="K24" t="s">
        <v>997</v>
      </c>
    </row>
    <row r="25" spans="1:11" x14ac:dyDescent="0.3">
      <c r="C25">
        <v>130</v>
      </c>
      <c r="D25" t="s">
        <v>998</v>
      </c>
    </row>
    <row r="26" spans="1:11" x14ac:dyDescent="0.3">
      <c r="C26">
        <f>C25-C24</f>
        <v>46</v>
      </c>
      <c r="D26" t="s">
        <v>779</v>
      </c>
    </row>
    <row r="27" spans="1:11" x14ac:dyDescent="0.3">
      <c r="A27" t="s">
        <v>857</v>
      </c>
      <c r="B27" t="s">
        <v>858</v>
      </c>
    </row>
    <row r="29" spans="1:11" x14ac:dyDescent="0.3">
      <c r="B29" t="s">
        <v>859</v>
      </c>
      <c r="C29">
        <f>L11*N3</f>
        <v>1.8</v>
      </c>
    </row>
    <row r="30" spans="1:11" x14ac:dyDescent="0.3">
      <c r="B30" s="56" t="s">
        <v>860</v>
      </c>
      <c r="D30">
        <f>C29</f>
        <v>1.8</v>
      </c>
    </row>
    <row r="32" spans="1:11" x14ac:dyDescent="0.3">
      <c r="B32" t="s">
        <v>144</v>
      </c>
      <c r="C32">
        <f>D30</f>
        <v>1.8</v>
      </c>
    </row>
    <row r="33" spans="2:4" x14ac:dyDescent="0.3">
      <c r="B33" s="56" t="str">
        <f>B29</f>
        <v>Dividendo por cobrar en C</v>
      </c>
      <c r="D33">
        <f>C32</f>
        <v>1.8</v>
      </c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C3:L13"/>
  <sheetViews>
    <sheetView workbookViewId="0">
      <selection activeCell="G21" sqref="G21"/>
    </sheetView>
  </sheetViews>
  <sheetFormatPr baseColWidth="10" defaultColWidth="11.44140625" defaultRowHeight="14.4" x14ac:dyDescent="0.3"/>
  <cols>
    <col min="3" max="3" width="38.33203125" customWidth="1"/>
  </cols>
  <sheetData>
    <row r="3" spans="3:12" x14ac:dyDescent="0.3">
      <c r="C3" t="s">
        <v>999</v>
      </c>
      <c r="I3" t="s">
        <v>1000</v>
      </c>
    </row>
    <row r="5" spans="3:12" x14ac:dyDescent="0.3">
      <c r="C5" s="59" t="s">
        <v>1001</v>
      </c>
      <c r="D5" s="59">
        <v>100</v>
      </c>
      <c r="E5" s="59"/>
      <c r="I5" t="s">
        <v>1002</v>
      </c>
      <c r="K5">
        <v>0</v>
      </c>
    </row>
    <row r="6" spans="3:12" x14ac:dyDescent="0.3">
      <c r="C6" s="60" t="s">
        <v>1003</v>
      </c>
      <c r="D6" s="59"/>
      <c r="E6" s="59">
        <v>100</v>
      </c>
      <c r="J6" t="s">
        <v>1004</v>
      </c>
      <c r="L6">
        <v>40</v>
      </c>
    </row>
    <row r="7" spans="3:12" x14ac:dyDescent="0.3">
      <c r="J7" t="s">
        <v>1005</v>
      </c>
      <c r="L7">
        <v>60</v>
      </c>
    </row>
    <row r="8" spans="3:12" x14ac:dyDescent="0.3">
      <c r="I8" s="59" t="s">
        <v>1006</v>
      </c>
      <c r="J8" s="59"/>
      <c r="K8" s="59">
        <v>100</v>
      </c>
    </row>
    <row r="9" spans="3:12" x14ac:dyDescent="0.3">
      <c r="C9" s="59" t="s">
        <v>1001</v>
      </c>
      <c r="D9" s="59">
        <f>K10*0.8</f>
        <v>40</v>
      </c>
      <c r="E9" s="59"/>
      <c r="I9" s="59" t="s">
        <v>1006</v>
      </c>
      <c r="J9" s="59"/>
      <c r="K9" s="59">
        <v>20</v>
      </c>
    </row>
    <row r="10" spans="3:12" x14ac:dyDescent="0.3">
      <c r="C10" s="60" t="s">
        <v>1007</v>
      </c>
      <c r="D10" s="59"/>
      <c r="E10" s="59">
        <f>D9</f>
        <v>40</v>
      </c>
      <c r="I10" s="46" t="s">
        <v>1008</v>
      </c>
      <c r="J10" s="46"/>
      <c r="K10" s="46">
        <v>50</v>
      </c>
    </row>
    <row r="12" spans="3:12" x14ac:dyDescent="0.3">
      <c r="C12" s="59" t="s">
        <v>1001</v>
      </c>
      <c r="D12" s="59">
        <f>K9*0.8</f>
        <v>16</v>
      </c>
      <c r="E12" s="59"/>
      <c r="J12" t="s">
        <v>1009</v>
      </c>
      <c r="L12">
        <v>20</v>
      </c>
    </row>
    <row r="13" spans="3:12" x14ac:dyDescent="0.3">
      <c r="C13" s="60" t="s">
        <v>1010</v>
      </c>
      <c r="D13" s="59"/>
      <c r="E13" s="59">
        <f>D12</f>
        <v>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I47"/>
  <sheetViews>
    <sheetView topLeftCell="A10" zoomScale="140" zoomScaleNormal="140" workbookViewId="0">
      <selection activeCell="A21" sqref="A21"/>
    </sheetView>
  </sheetViews>
  <sheetFormatPr baseColWidth="10" defaultColWidth="11.44140625" defaultRowHeight="14.4" x14ac:dyDescent="0.3"/>
  <cols>
    <col min="1" max="1" width="44.5546875" customWidth="1"/>
    <col min="3" max="3" width="5.6640625" customWidth="1"/>
    <col min="4" max="4" width="12.44140625" customWidth="1"/>
    <col min="5" max="7" width="8.6640625" customWidth="1"/>
    <col min="8" max="8" width="19" customWidth="1"/>
  </cols>
  <sheetData>
    <row r="2" spans="1:9" x14ac:dyDescent="0.3">
      <c r="A2" s="859" t="s">
        <v>369</v>
      </c>
      <c r="B2" s="859"/>
      <c r="C2" s="859"/>
      <c r="D2" s="859"/>
      <c r="E2" s="859"/>
      <c r="F2" s="10"/>
      <c r="G2" s="10"/>
      <c r="H2" t="s">
        <v>1114</v>
      </c>
    </row>
    <row r="3" spans="1:9" x14ac:dyDescent="0.3">
      <c r="A3" t="s">
        <v>12</v>
      </c>
      <c r="B3">
        <v>0</v>
      </c>
    </row>
    <row r="6" spans="1:9" x14ac:dyDescent="0.3">
      <c r="C6" t="s">
        <v>35</v>
      </c>
      <c r="D6" t="s">
        <v>44</v>
      </c>
      <c r="E6">
        <v>100</v>
      </c>
    </row>
    <row r="7" spans="1:9" x14ac:dyDescent="0.3">
      <c r="D7" t="s">
        <v>1118</v>
      </c>
      <c r="E7">
        <v>-3</v>
      </c>
      <c r="H7" s="313" t="s">
        <v>1115</v>
      </c>
      <c r="I7" s="313">
        <v>50</v>
      </c>
    </row>
    <row r="8" spans="1:9" x14ac:dyDescent="0.3">
      <c r="A8" s="313" t="s">
        <v>1119</v>
      </c>
      <c r="B8" s="313">
        <f>100-3</f>
        <v>97</v>
      </c>
      <c r="H8" s="46" t="s">
        <v>1120</v>
      </c>
      <c r="I8" s="46">
        <v>-50</v>
      </c>
    </row>
    <row r="9" spans="1:9" x14ac:dyDescent="0.3">
      <c r="D9" t="s">
        <v>1116</v>
      </c>
      <c r="E9">
        <f>SUM(E6:E8)</f>
        <v>97</v>
      </c>
      <c r="H9" s="46" t="s">
        <v>1120</v>
      </c>
      <c r="I9" s="46">
        <v>-3</v>
      </c>
    </row>
    <row r="10" spans="1:9" x14ac:dyDescent="0.3">
      <c r="A10" t="s">
        <v>1117</v>
      </c>
      <c r="B10">
        <v>0</v>
      </c>
    </row>
    <row r="15" spans="1:9" x14ac:dyDescent="0.3">
      <c r="B15" t="s">
        <v>988</v>
      </c>
      <c r="C15" t="s">
        <v>1011</v>
      </c>
      <c r="H15" t="s">
        <v>1012</v>
      </c>
    </row>
    <row r="16" spans="1:9" x14ac:dyDescent="0.3">
      <c r="H16" s="44" t="s">
        <v>11</v>
      </c>
      <c r="I16" s="44">
        <v>0</v>
      </c>
    </row>
    <row r="17" spans="1:9" x14ac:dyDescent="0.3">
      <c r="H17" s="44" t="s">
        <v>1013</v>
      </c>
      <c r="I17" s="44">
        <v>0</v>
      </c>
    </row>
    <row r="18" spans="1:9" x14ac:dyDescent="0.3">
      <c r="A18" s="253" t="s">
        <v>1014</v>
      </c>
      <c r="B18" s="253">
        <v>100</v>
      </c>
      <c r="C18" s="253"/>
      <c r="D18" t="s">
        <v>1015</v>
      </c>
      <c r="E18" s="860" t="s">
        <v>1016</v>
      </c>
      <c r="F18" s="763"/>
      <c r="G18" s="763"/>
      <c r="H18" s="762" t="s">
        <v>1105</v>
      </c>
      <c r="I18" s="762">
        <v>0</v>
      </c>
    </row>
    <row r="19" spans="1:9" x14ac:dyDescent="0.3">
      <c r="A19" s="641" t="s">
        <v>144</v>
      </c>
      <c r="B19" s="253"/>
      <c r="C19" s="253">
        <v>100</v>
      </c>
      <c r="D19" t="s">
        <v>1017</v>
      </c>
      <c r="E19" s="860"/>
      <c r="F19" s="763"/>
      <c r="G19" s="763"/>
      <c r="H19" s="46" t="s">
        <v>1018</v>
      </c>
      <c r="I19" s="46">
        <f>B26</f>
        <v>-3</v>
      </c>
    </row>
    <row r="20" spans="1:9" x14ac:dyDescent="0.3">
      <c r="H20" s="78" t="s">
        <v>1106</v>
      </c>
      <c r="I20" s="78">
        <f>I18+I19</f>
        <v>-3</v>
      </c>
    </row>
    <row r="21" spans="1:9" x14ac:dyDescent="0.3">
      <c r="A21" s="313" t="s">
        <v>1020</v>
      </c>
      <c r="B21" s="313">
        <v>97</v>
      </c>
      <c r="H21" t="s">
        <v>1021</v>
      </c>
    </row>
    <row r="22" spans="1:9" x14ac:dyDescent="0.3">
      <c r="A22" t="s">
        <v>1107</v>
      </c>
    </row>
    <row r="23" spans="1:9" x14ac:dyDescent="0.3">
      <c r="A23" s="44" t="s">
        <v>1022</v>
      </c>
      <c r="B23" s="44">
        <f>B18-B21</f>
        <v>3</v>
      </c>
      <c r="D23" t="s">
        <v>1023</v>
      </c>
      <c r="H23" t="s">
        <v>1024</v>
      </c>
    </row>
    <row r="24" spans="1:9" x14ac:dyDescent="0.3">
      <c r="A24" s="46" t="s">
        <v>1025</v>
      </c>
      <c r="B24" s="46"/>
      <c r="C24" s="46">
        <v>50</v>
      </c>
      <c r="D24" t="s">
        <v>1026</v>
      </c>
      <c r="H24" t="s">
        <v>11</v>
      </c>
      <c r="I24">
        <v>70</v>
      </c>
    </row>
    <row r="25" spans="1:9" s="642" customFormat="1" x14ac:dyDescent="0.3">
      <c r="A25" s="44"/>
      <c r="B25" s="44"/>
      <c r="C25" s="44"/>
      <c r="H25" s="642" t="s">
        <v>1013</v>
      </c>
      <c r="I25" s="642">
        <v>-45</v>
      </c>
    </row>
    <row r="26" spans="1:9" x14ac:dyDescent="0.3">
      <c r="A26" s="46" t="s">
        <v>1025</v>
      </c>
      <c r="B26" s="46">
        <f>B21-B18</f>
        <v>-3</v>
      </c>
      <c r="C26" s="46"/>
      <c r="D26">
        <v>80</v>
      </c>
      <c r="H26" t="s">
        <v>56</v>
      </c>
      <c r="I26">
        <f>SUM(I24:I25)</f>
        <v>25</v>
      </c>
    </row>
    <row r="27" spans="1:9" x14ac:dyDescent="0.3">
      <c r="A27" s="46" t="s">
        <v>1022</v>
      </c>
      <c r="B27" s="46"/>
      <c r="C27" s="46">
        <f>B26</f>
        <v>-3</v>
      </c>
      <c r="H27" t="s">
        <v>1018</v>
      </c>
      <c r="I27">
        <v>-15</v>
      </c>
    </row>
    <row r="28" spans="1:9" x14ac:dyDescent="0.3">
      <c r="A28" s="44"/>
      <c r="B28" s="44"/>
      <c r="C28" s="44"/>
      <c r="H28" t="s">
        <v>1019</v>
      </c>
      <c r="I28">
        <f>I26+I27</f>
        <v>10</v>
      </c>
    </row>
    <row r="29" spans="1:9" x14ac:dyDescent="0.3">
      <c r="A29" s="44"/>
      <c r="B29" s="44"/>
      <c r="C29" s="44"/>
      <c r="H29" t="s">
        <v>1021</v>
      </c>
    </row>
    <row r="30" spans="1:9" x14ac:dyDescent="0.3">
      <c r="A30" s="44"/>
      <c r="B30" s="44"/>
      <c r="C30" s="44"/>
      <c r="E30" s="859" t="s">
        <v>1027</v>
      </c>
      <c r="F30" s="859"/>
      <c r="G30" s="859"/>
      <c r="H30" s="859"/>
    </row>
    <row r="31" spans="1:9" x14ac:dyDescent="0.3">
      <c r="A31" s="642"/>
      <c r="B31" s="642"/>
      <c r="C31" s="642"/>
      <c r="E31" t="s">
        <v>1028</v>
      </c>
      <c r="H31" t="s">
        <v>1029</v>
      </c>
    </row>
    <row r="32" spans="1:9" x14ac:dyDescent="0.3">
      <c r="A32" t="s">
        <v>1030</v>
      </c>
      <c r="B32">
        <v>135</v>
      </c>
      <c r="E32">
        <v>50</v>
      </c>
      <c r="H32">
        <v>50</v>
      </c>
    </row>
    <row r="33" spans="1:8" x14ac:dyDescent="0.3">
      <c r="B33">
        <f>B21-B32</f>
        <v>-38</v>
      </c>
      <c r="E33">
        <f>I27</f>
        <v>-15</v>
      </c>
      <c r="H33">
        <v>-15</v>
      </c>
    </row>
    <row r="34" spans="1:8" x14ac:dyDescent="0.3">
      <c r="E34">
        <v>35</v>
      </c>
      <c r="H34">
        <f>H32+H33</f>
        <v>35</v>
      </c>
    </row>
    <row r="35" spans="1:8" x14ac:dyDescent="0.3">
      <c r="A35" t="s">
        <v>1031</v>
      </c>
      <c r="B35">
        <f>B33</f>
        <v>-38</v>
      </c>
    </row>
    <row r="36" spans="1:8" x14ac:dyDescent="0.3">
      <c r="A36" t="str">
        <f>A23</f>
        <v>Revaluación de propiedad planta y equipo</v>
      </c>
      <c r="C36">
        <f>B35</f>
        <v>-38</v>
      </c>
    </row>
    <row r="40" spans="1:8" x14ac:dyDescent="0.3">
      <c r="A40" t="s">
        <v>1032</v>
      </c>
      <c r="B40">
        <f>B18</f>
        <v>100</v>
      </c>
    </row>
    <row r="41" spans="1:8" x14ac:dyDescent="0.3">
      <c r="B41">
        <f>B23</f>
        <v>3</v>
      </c>
    </row>
    <row r="42" spans="1:8" x14ac:dyDescent="0.3">
      <c r="B42">
        <f>E33</f>
        <v>-15</v>
      </c>
    </row>
    <row r="43" spans="1:8" x14ac:dyDescent="0.3">
      <c r="B43">
        <f>SUM(B40:B42)</f>
        <v>88</v>
      </c>
    </row>
    <row r="44" spans="1:8" x14ac:dyDescent="0.3">
      <c r="A44" t="s">
        <v>1033</v>
      </c>
      <c r="B44">
        <v>-70</v>
      </c>
    </row>
    <row r="45" spans="1:8" x14ac:dyDescent="0.3">
      <c r="A45" t="s">
        <v>1034</v>
      </c>
      <c r="B45">
        <f>SUM(B43:B44)</f>
        <v>18</v>
      </c>
    </row>
    <row r="46" spans="1:8" x14ac:dyDescent="0.3">
      <c r="A46" t="s">
        <v>1035</v>
      </c>
      <c r="B46">
        <v>83</v>
      </c>
    </row>
    <row r="47" spans="1:8" x14ac:dyDescent="0.3">
      <c r="A47" t="s">
        <v>1036</v>
      </c>
      <c r="B47">
        <f>B46-B45</f>
        <v>65</v>
      </c>
    </row>
  </sheetData>
  <mergeCells count="3">
    <mergeCell ref="E30:H30"/>
    <mergeCell ref="E18:E19"/>
    <mergeCell ref="A2:E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0"/>
  <sheetViews>
    <sheetView zoomScale="110" zoomScaleNormal="110" workbookViewId="0">
      <selection activeCell="K6" sqref="K6"/>
    </sheetView>
  </sheetViews>
  <sheetFormatPr baseColWidth="10" defaultColWidth="11.44140625" defaultRowHeight="14.4" x14ac:dyDescent="0.3"/>
  <cols>
    <col min="1" max="1" width="45" customWidth="1"/>
    <col min="4" max="4" width="4.88671875" customWidth="1"/>
    <col min="5" max="5" width="26.33203125" customWidth="1"/>
    <col min="7" max="7" width="9.33203125" customWidth="1"/>
    <col min="8" max="8" width="4.109375" customWidth="1"/>
    <col min="9" max="9" width="12.33203125" customWidth="1"/>
    <col min="11" max="11" width="18.6640625" customWidth="1"/>
  </cols>
  <sheetData>
    <row r="1" spans="1:14" x14ac:dyDescent="0.3">
      <c r="A1" s="765" t="s">
        <v>130</v>
      </c>
      <c r="B1" s="765"/>
      <c r="C1" s="765"/>
      <c r="D1" s="765"/>
      <c r="E1" s="765"/>
      <c r="F1" s="765"/>
      <c r="I1" s="765" t="s">
        <v>3</v>
      </c>
      <c r="J1" s="765"/>
      <c r="K1" s="765"/>
    </row>
    <row r="2" spans="1:14" x14ac:dyDescent="0.3">
      <c r="A2" s="216" t="s">
        <v>4</v>
      </c>
      <c r="B2" s="216" t="s">
        <v>514</v>
      </c>
      <c r="C2" s="216" t="s">
        <v>523</v>
      </c>
      <c r="E2" s="216" t="s">
        <v>5</v>
      </c>
      <c r="F2" s="216" t="s">
        <v>514</v>
      </c>
      <c r="I2" s="46"/>
      <c r="J2" s="46"/>
      <c r="K2" s="46"/>
    </row>
    <row r="3" spans="1:14" x14ac:dyDescent="0.3">
      <c r="A3" t="s">
        <v>144</v>
      </c>
      <c r="B3">
        <v>0</v>
      </c>
      <c r="C3" s="44"/>
      <c r="E3" t="s">
        <v>1037</v>
      </c>
      <c r="I3" s="46" t="s">
        <v>11</v>
      </c>
      <c r="J3" s="46"/>
      <c r="K3" s="46">
        <v>0</v>
      </c>
    </row>
    <row r="4" spans="1:14" x14ac:dyDescent="0.3">
      <c r="A4" t="s">
        <v>1121</v>
      </c>
      <c r="B4">
        <f>100+16+4</f>
        <v>120</v>
      </c>
      <c r="C4" s="44"/>
      <c r="I4" s="46" t="s">
        <v>1038</v>
      </c>
      <c r="J4" s="46"/>
      <c r="K4" s="46">
        <v>0</v>
      </c>
    </row>
    <row r="5" spans="1:14" x14ac:dyDescent="0.3">
      <c r="A5" t="s">
        <v>21</v>
      </c>
      <c r="B5">
        <v>0</v>
      </c>
      <c r="C5" s="44"/>
      <c r="E5" t="s">
        <v>1039</v>
      </c>
      <c r="F5">
        <f>SUM(F3)</f>
        <v>0</v>
      </c>
      <c r="I5" s="46"/>
      <c r="J5" s="46"/>
      <c r="K5" s="46"/>
      <c r="L5" t="s">
        <v>1040</v>
      </c>
    </row>
    <row r="6" spans="1:14" x14ac:dyDescent="0.3">
      <c r="A6" t="s">
        <v>1108</v>
      </c>
      <c r="B6">
        <v>0</v>
      </c>
      <c r="C6" s="44"/>
      <c r="E6" s="216" t="s">
        <v>41</v>
      </c>
      <c r="I6" s="46" t="s">
        <v>1110</v>
      </c>
      <c r="J6" s="46"/>
      <c r="K6" s="46">
        <f>F18*0.8</f>
        <v>16</v>
      </c>
    </row>
    <row r="7" spans="1:14" ht="15" thickBot="1" x14ac:dyDescent="0.35">
      <c r="C7" s="44"/>
      <c r="E7" s="46" t="s">
        <v>44</v>
      </c>
      <c r="F7" s="46">
        <v>100</v>
      </c>
      <c r="I7" s="46"/>
      <c r="J7" s="46"/>
      <c r="K7" s="46"/>
    </row>
    <row r="8" spans="1:14" ht="15" thickBot="1" x14ac:dyDescent="0.35">
      <c r="C8" s="44"/>
      <c r="E8" s="59" t="s">
        <v>56</v>
      </c>
      <c r="F8" s="59">
        <f>K8</f>
        <v>16</v>
      </c>
      <c r="I8" s="123" t="s">
        <v>74</v>
      </c>
      <c r="J8" s="124"/>
      <c r="K8" s="134">
        <f>SUM(K3:K7)</f>
        <v>16</v>
      </c>
      <c r="L8">
        <f>K8</f>
        <v>16</v>
      </c>
    </row>
    <row r="9" spans="1:14" ht="15" thickBot="1" x14ac:dyDescent="0.35">
      <c r="C9" s="44"/>
      <c r="E9" s="59" t="s">
        <v>1109</v>
      </c>
      <c r="F9" s="59">
        <f>K12</f>
        <v>4</v>
      </c>
    </row>
    <row r="10" spans="1:14" x14ac:dyDescent="0.3">
      <c r="C10" s="44"/>
      <c r="E10" s="71" t="s">
        <v>904</v>
      </c>
      <c r="F10" s="79">
        <f>SUM(F7:F9)</f>
        <v>120</v>
      </c>
      <c r="G10">
        <f>SUM(G7:G9)</f>
        <v>0</v>
      </c>
      <c r="I10" s="133" t="s">
        <v>1041</v>
      </c>
      <c r="J10" s="110"/>
      <c r="K10" s="140"/>
      <c r="L10" s="143"/>
    </row>
    <row r="11" spans="1:14" x14ac:dyDescent="0.3">
      <c r="C11" s="44"/>
      <c r="I11" s="110" t="s">
        <v>1042</v>
      </c>
      <c r="J11" s="110"/>
      <c r="K11" s="141"/>
      <c r="L11" s="144"/>
      <c r="M11" t="s">
        <v>586</v>
      </c>
    </row>
    <row r="12" spans="1:14" x14ac:dyDescent="0.3">
      <c r="C12" s="44"/>
      <c r="I12" s="46" t="s">
        <v>1113</v>
      </c>
      <c r="J12" s="46"/>
      <c r="K12" s="764">
        <f>F19*0.8</f>
        <v>4</v>
      </c>
      <c r="L12" s="144"/>
    </row>
    <row r="13" spans="1:14" ht="15" thickBot="1" x14ac:dyDescent="0.35">
      <c r="A13" s="79" t="s">
        <v>712</v>
      </c>
      <c r="B13" s="79">
        <f>SUM(B3:B12)</f>
        <v>120</v>
      </c>
      <c r="C13" s="44">
        <f>SUM(C3:C12)</f>
        <v>0</v>
      </c>
      <c r="D13" t="s">
        <v>35</v>
      </c>
      <c r="E13" s="79" t="s">
        <v>1043</v>
      </c>
      <c r="F13" s="79">
        <f>F5+F10</f>
        <v>120</v>
      </c>
      <c r="G13">
        <f>G5+G10</f>
        <v>0</v>
      </c>
      <c r="I13" s="110" t="s">
        <v>1044</v>
      </c>
      <c r="J13" s="110"/>
      <c r="K13" s="141"/>
      <c r="L13" s="144"/>
    </row>
    <row r="14" spans="1:14" ht="15" thickBot="1" x14ac:dyDescent="0.35">
      <c r="I14" s="135" t="s">
        <v>1041</v>
      </c>
      <c r="J14" s="136"/>
      <c r="K14" s="142">
        <f>SUM(K11:K13)</f>
        <v>4</v>
      </c>
      <c r="L14" s="145"/>
      <c r="M14" t="s">
        <v>1045</v>
      </c>
      <c r="N14" t="s">
        <v>1046</v>
      </c>
    </row>
    <row r="15" spans="1:14" ht="15" thickBot="1" x14ac:dyDescent="0.35">
      <c r="M15" t="s">
        <v>1047</v>
      </c>
      <c r="N15" t="s">
        <v>1048</v>
      </c>
    </row>
    <row r="16" spans="1:14" ht="15" thickBot="1" x14ac:dyDescent="0.35">
      <c r="I16" s="137" t="s">
        <v>1049</v>
      </c>
      <c r="J16" s="138"/>
      <c r="K16" s="139">
        <f>K8+K14</f>
        <v>20</v>
      </c>
    </row>
    <row r="18" spans="1:10" x14ac:dyDescent="0.3">
      <c r="A18" t="s">
        <v>1050</v>
      </c>
      <c r="B18">
        <f>5</f>
        <v>5</v>
      </c>
      <c r="E18" s="46" t="s">
        <v>1122</v>
      </c>
      <c r="F18" s="46">
        <v>20</v>
      </c>
    </row>
    <row r="19" spans="1:10" x14ac:dyDescent="0.3">
      <c r="A19" t="s">
        <v>1051</v>
      </c>
      <c r="B19">
        <v>7</v>
      </c>
      <c r="E19" t="s">
        <v>1111</v>
      </c>
      <c r="F19">
        <v>5</v>
      </c>
    </row>
    <row r="20" spans="1:10" x14ac:dyDescent="0.3">
      <c r="A20" s="129" t="s">
        <v>1052</v>
      </c>
      <c r="B20" s="129">
        <f>B19-B18</f>
        <v>2</v>
      </c>
      <c r="C20">
        <f>C19-C18</f>
        <v>0</v>
      </c>
      <c r="E20" t="s">
        <v>1112</v>
      </c>
      <c r="G20" t="s">
        <v>1041</v>
      </c>
      <c r="H20">
        <v>5</v>
      </c>
    </row>
    <row r="21" spans="1:10" x14ac:dyDescent="0.3">
      <c r="F21">
        <v>0.8</v>
      </c>
    </row>
    <row r="22" spans="1:10" x14ac:dyDescent="0.3">
      <c r="F22">
        <f>F20*F21</f>
        <v>0</v>
      </c>
    </row>
    <row r="25" spans="1:10" x14ac:dyDescent="0.3">
      <c r="A25" t="s">
        <v>1053</v>
      </c>
    </row>
    <row r="26" spans="1:10" x14ac:dyDescent="0.3">
      <c r="A26" t="s">
        <v>1054</v>
      </c>
      <c r="B26">
        <f>0.8*J28</f>
        <v>40</v>
      </c>
      <c r="I26" s="111"/>
      <c r="J26" s="111"/>
    </row>
    <row r="27" spans="1:10" x14ac:dyDescent="0.3">
      <c r="A27" t="s">
        <v>1055</v>
      </c>
      <c r="C27">
        <f>B26</f>
        <v>40</v>
      </c>
      <c r="I27" s="861" t="s">
        <v>1056</v>
      </c>
      <c r="J27" s="861"/>
    </row>
    <row r="28" spans="1:10" x14ac:dyDescent="0.3">
      <c r="I28" s="111" t="s">
        <v>1057</v>
      </c>
      <c r="J28" s="111">
        <v>50</v>
      </c>
    </row>
    <row r="29" spans="1:10" x14ac:dyDescent="0.3">
      <c r="A29" t="s">
        <v>1041</v>
      </c>
      <c r="I29" s="111" t="s">
        <v>1041</v>
      </c>
      <c r="J29" s="111">
        <v>20</v>
      </c>
    </row>
    <row r="30" spans="1:10" x14ac:dyDescent="0.3">
      <c r="I30" s="111" t="s">
        <v>1058</v>
      </c>
      <c r="J30" s="111">
        <f>SUM(J28:J29)</f>
        <v>70</v>
      </c>
    </row>
  </sheetData>
  <mergeCells count="3">
    <mergeCell ref="A1:F1"/>
    <mergeCell ref="I27:J27"/>
    <mergeCell ref="I1:K1"/>
  </mergeCells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C5:J15"/>
  <sheetViews>
    <sheetView topLeftCell="C1" zoomScale="140" zoomScaleNormal="140" workbookViewId="0">
      <selection activeCell="E14" sqref="E14"/>
    </sheetView>
  </sheetViews>
  <sheetFormatPr baseColWidth="10" defaultColWidth="11.44140625" defaultRowHeight="14.4" x14ac:dyDescent="0.3"/>
  <cols>
    <col min="3" max="3" width="22.5546875" customWidth="1"/>
    <col min="7" max="7" width="35" customWidth="1"/>
  </cols>
  <sheetData>
    <row r="5" spans="3:10" x14ac:dyDescent="0.3">
      <c r="G5" t="s">
        <v>3</v>
      </c>
      <c r="H5">
        <v>2019</v>
      </c>
      <c r="I5">
        <v>2020</v>
      </c>
      <c r="J5">
        <v>2021</v>
      </c>
    </row>
    <row r="7" spans="3:10" x14ac:dyDescent="0.3">
      <c r="G7" t="s">
        <v>1040</v>
      </c>
      <c r="H7">
        <v>10</v>
      </c>
      <c r="I7">
        <v>13</v>
      </c>
      <c r="J7">
        <v>20</v>
      </c>
    </row>
    <row r="8" spans="3:10" x14ac:dyDescent="0.3">
      <c r="G8" t="s">
        <v>1041</v>
      </c>
      <c r="H8">
        <v>5</v>
      </c>
      <c r="I8">
        <v>-2</v>
      </c>
      <c r="J8">
        <v>-7</v>
      </c>
    </row>
    <row r="9" spans="3:10" x14ac:dyDescent="0.3">
      <c r="D9" s="191">
        <v>43800</v>
      </c>
      <c r="E9" s="191">
        <v>44166</v>
      </c>
      <c r="F9" s="191">
        <v>44531</v>
      </c>
      <c r="G9" t="s">
        <v>1059</v>
      </c>
      <c r="H9">
        <v>15</v>
      </c>
      <c r="I9">
        <f>I7+I8</f>
        <v>11</v>
      </c>
      <c r="J9">
        <f>SUM(J7:J8)</f>
        <v>13</v>
      </c>
    </row>
    <row r="10" spans="3:10" x14ac:dyDescent="0.3">
      <c r="C10" t="s">
        <v>41</v>
      </c>
    </row>
    <row r="12" spans="3:10" x14ac:dyDescent="0.3">
      <c r="C12" t="s">
        <v>63</v>
      </c>
      <c r="E12">
        <f>D13</f>
        <v>10</v>
      </c>
      <c r="F12">
        <f>E12+E13</f>
        <v>23</v>
      </c>
    </row>
    <row r="13" spans="3:10" x14ac:dyDescent="0.3">
      <c r="C13" t="s">
        <v>564</v>
      </c>
      <c r="D13">
        <f>H7</f>
        <v>10</v>
      </c>
      <c r="E13">
        <f>I7</f>
        <v>13</v>
      </c>
      <c r="F13">
        <f>J7</f>
        <v>20</v>
      </c>
    </row>
    <row r="14" spans="3:10" x14ac:dyDescent="0.3">
      <c r="C14" t="s">
        <v>1041</v>
      </c>
      <c r="D14">
        <f>H8</f>
        <v>5</v>
      </c>
      <c r="E14">
        <f>D14+I8</f>
        <v>3</v>
      </c>
      <c r="F14">
        <f>E14+J8</f>
        <v>-4</v>
      </c>
    </row>
    <row r="15" spans="3:10" x14ac:dyDescent="0.3">
      <c r="E15">
        <f>SUM(E12:E14)</f>
        <v>26</v>
      </c>
      <c r="F15">
        <f>SUM(F12:F14)</f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L77"/>
  <sheetViews>
    <sheetView topLeftCell="J9" zoomScale="140" zoomScaleNormal="140" workbookViewId="0">
      <selection activeCell="C74" sqref="C74:E74"/>
    </sheetView>
  </sheetViews>
  <sheetFormatPr baseColWidth="10" defaultColWidth="9.109375" defaultRowHeight="14.4" x14ac:dyDescent="0.3"/>
  <cols>
    <col min="1" max="1" width="1.6640625" style="984" customWidth="1"/>
    <col min="2" max="2" width="2.5546875" style="984" bestFit="1" customWidth="1"/>
    <col min="3" max="3" width="30.33203125" style="984" bestFit="1" customWidth="1"/>
    <col min="4" max="4" width="1.6640625" style="984" customWidth="1"/>
    <col min="5" max="5" width="19.44140625" style="984" customWidth="1"/>
    <col min="6" max="6" width="4.33203125" style="984" bestFit="1" customWidth="1"/>
    <col min="7" max="7" width="20.44140625" style="984" customWidth="1"/>
    <col min="8" max="8" width="6.33203125" style="984" customWidth="1"/>
    <col min="9" max="9" width="1.6640625" style="984" customWidth="1"/>
    <col min="10" max="10" width="23.33203125" style="984" customWidth="1"/>
    <col min="11" max="11" width="3.5546875" style="984" customWidth="1"/>
    <col min="12" max="12" width="1.6640625" style="984" hidden="1" customWidth="1"/>
    <col min="13" max="13" width="20" style="984" hidden="1" customWidth="1"/>
    <col min="14" max="14" width="4" style="984" hidden="1" customWidth="1"/>
    <col min="15" max="15" width="19.44140625" style="984" hidden="1" customWidth="1"/>
    <col min="16" max="16" width="5.6640625" style="984" hidden="1" customWidth="1"/>
    <col min="17" max="17" width="1.6640625" style="984" hidden="1" customWidth="1"/>
    <col min="18" max="18" width="15.33203125" style="984" hidden="1" customWidth="1"/>
    <col min="19" max="19" width="8" style="984" hidden="1" customWidth="1"/>
    <col min="20" max="20" width="22.109375" style="984" hidden="1" customWidth="1"/>
    <col min="21" max="21" width="4" style="984" hidden="1" customWidth="1"/>
    <col min="22" max="22" width="1.6640625" style="984" hidden="1" customWidth="1"/>
    <col min="23" max="23" width="22.6640625" style="984" bestFit="1" customWidth="1"/>
    <col min="24" max="24" width="3.5546875" style="984" bestFit="1" customWidth="1"/>
    <col min="25" max="25" width="18.109375" style="984" bestFit="1" customWidth="1"/>
    <col min="26" max="26" width="3.5546875" style="984" bestFit="1" customWidth="1"/>
    <col min="27" max="27" width="21" style="984" bestFit="1" customWidth="1"/>
    <col min="28" max="28" width="4.33203125" style="984" bestFit="1" customWidth="1"/>
    <col min="29" max="29" width="9.109375" style="984" customWidth="1"/>
    <col min="30" max="30" width="1.6640625" style="984" customWidth="1"/>
    <col min="31" max="31" width="22.6640625" style="984" bestFit="1" customWidth="1"/>
    <col min="32" max="32" width="3.5546875" style="984" bestFit="1" customWidth="1"/>
    <col min="33" max="33" width="18.109375" style="984" bestFit="1" customWidth="1"/>
    <col min="34" max="34" width="3.5546875" style="984" bestFit="1" customWidth="1"/>
    <col min="35" max="35" width="21" style="984" bestFit="1" customWidth="1"/>
    <col min="36" max="36" width="4.33203125" style="984" bestFit="1" customWidth="1"/>
    <col min="37" max="37" width="9.109375" style="984" bestFit="1" customWidth="1"/>
    <col min="38" max="38" width="1.6640625" style="984" customWidth="1"/>
    <col min="39" max="16384" width="9.109375" style="984"/>
  </cols>
  <sheetData>
    <row r="1" spans="2:38" x14ac:dyDescent="0.3">
      <c r="B1" s="985" t="s">
        <v>108</v>
      </c>
    </row>
    <row r="2" spans="2:38" x14ac:dyDescent="0.3">
      <c r="B2" s="985" t="s">
        <v>109</v>
      </c>
      <c r="C2" s="984" t="s">
        <v>110</v>
      </c>
    </row>
    <row r="3" spans="2:38" x14ac:dyDescent="0.3">
      <c r="B3" s="985" t="s">
        <v>111</v>
      </c>
      <c r="C3" s="986" t="s">
        <v>112</v>
      </c>
    </row>
    <row r="4" spans="2:38" x14ac:dyDescent="0.3">
      <c r="B4" s="985" t="s">
        <v>113</v>
      </c>
      <c r="C4" s="986" t="s">
        <v>114</v>
      </c>
    </row>
    <row r="5" spans="2:38" x14ac:dyDescent="0.3">
      <c r="B5" s="985" t="s">
        <v>115</v>
      </c>
      <c r="C5" s="986" t="s">
        <v>116</v>
      </c>
    </row>
    <row r="6" spans="2:38" x14ac:dyDescent="0.3">
      <c r="B6" s="985" t="s">
        <v>117</v>
      </c>
      <c r="C6" s="986" t="s">
        <v>118</v>
      </c>
    </row>
    <row r="7" spans="2:38" x14ac:dyDescent="0.3">
      <c r="B7" s="985" t="s">
        <v>119</v>
      </c>
      <c r="C7" s="986" t="s">
        <v>120</v>
      </c>
    </row>
    <row r="8" spans="2:38" ht="15" thickBot="1" x14ac:dyDescent="0.35">
      <c r="B8" s="985" t="s">
        <v>121</v>
      </c>
      <c r="C8" s="986" t="s">
        <v>122</v>
      </c>
    </row>
    <row r="9" spans="2:38" ht="15" thickBot="1" x14ac:dyDescent="0.35">
      <c r="B9" s="985" t="s">
        <v>123</v>
      </c>
      <c r="C9" s="986" t="s">
        <v>124</v>
      </c>
      <c r="M9" s="987" t="s">
        <v>125</v>
      </c>
      <c r="N9" s="988"/>
      <c r="O9" s="988"/>
      <c r="P9" s="989"/>
      <c r="R9" s="987" t="s">
        <v>126</v>
      </c>
      <c r="S9" s="988"/>
      <c r="T9" s="988"/>
      <c r="U9" s="989"/>
      <c r="W9" s="987" t="s">
        <v>127</v>
      </c>
      <c r="X9" s="988"/>
      <c r="Y9" s="988"/>
      <c r="Z9" s="988"/>
      <c r="AA9" s="988"/>
      <c r="AB9" s="988"/>
      <c r="AC9" s="989"/>
      <c r="AE9" s="987" t="s">
        <v>128</v>
      </c>
      <c r="AF9" s="988"/>
      <c r="AG9" s="988"/>
      <c r="AH9" s="988"/>
      <c r="AI9" s="988"/>
      <c r="AJ9" s="988"/>
      <c r="AK9" s="989"/>
    </row>
    <row r="10" spans="2:38" ht="13.5" customHeight="1" thickBot="1" x14ac:dyDescent="0.35">
      <c r="B10" s="987" t="s">
        <v>129</v>
      </c>
      <c r="C10" s="989"/>
      <c r="D10" s="990"/>
      <c r="E10" s="987" t="s">
        <v>130</v>
      </c>
      <c r="F10" s="988"/>
      <c r="G10" s="988"/>
      <c r="H10" s="989"/>
      <c r="I10" s="990"/>
      <c r="J10" s="987" t="s">
        <v>3</v>
      </c>
      <c r="K10" s="989"/>
      <c r="M10" s="987" t="s">
        <v>131</v>
      </c>
      <c r="N10" s="989"/>
      <c r="O10" s="987" t="s">
        <v>132</v>
      </c>
      <c r="P10" s="989"/>
      <c r="Q10" s="990"/>
      <c r="R10" s="987" t="s">
        <v>133</v>
      </c>
      <c r="S10" s="989"/>
      <c r="T10" s="987" t="s">
        <v>134</v>
      </c>
      <c r="U10" s="989"/>
      <c r="V10" s="990"/>
      <c r="W10" s="987" t="s">
        <v>135</v>
      </c>
      <c r="X10" s="989"/>
      <c r="Y10" s="987" t="s">
        <v>136</v>
      </c>
      <c r="Z10" s="989"/>
      <c r="AA10" s="987" t="s">
        <v>137</v>
      </c>
      <c r="AB10" s="989"/>
      <c r="AC10" s="991" t="s">
        <v>138</v>
      </c>
      <c r="AD10" s="990"/>
      <c r="AE10" s="987" t="s">
        <v>135</v>
      </c>
      <c r="AF10" s="989"/>
      <c r="AG10" s="987" t="s">
        <v>136</v>
      </c>
      <c r="AH10" s="989"/>
      <c r="AI10" s="987" t="s">
        <v>137</v>
      </c>
      <c r="AJ10" s="989"/>
      <c r="AK10" s="991" t="s">
        <v>138</v>
      </c>
      <c r="AL10" s="990"/>
    </row>
    <row r="11" spans="2:38" s="990" customFormat="1" ht="13.5" customHeight="1" x14ac:dyDescent="0.3">
      <c r="B11" s="992"/>
      <c r="C11" s="993"/>
      <c r="E11" s="992" t="s">
        <v>139</v>
      </c>
      <c r="F11" s="994"/>
      <c r="G11" s="994" t="s">
        <v>140</v>
      </c>
      <c r="H11" s="993"/>
      <c r="J11" s="992"/>
      <c r="K11" s="993"/>
      <c r="M11" s="992"/>
      <c r="N11" s="995"/>
      <c r="O11" s="994"/>
      <c r="P11" s="993"/>
      <c r="R11" s="992"/>
      <c r="S11" s="995"/>
      <c r="T11" s="994"/>
      <c r="U11" s="993"/>
      <c r="W11" s="992"/>
      <c r="X11" s="995"/>
      <c r="Y11" s="994"/>
      <c r="Z11" s="995"/>
      <c r="AA11" s="996" t="s">
        <v>141</v>
      </c>
      <c r="AB11" s="997">
        <v>100</v>
      </c>
      <c r="AC11" s="993"/>
      <c r="AE11" s="992"/>
      <c r="AF11" s="995"/>
      <c r="AG11" s="994"/>
      <c r="AH11" s="995"/>
      <c r="AI11" s="996" t="s">
        <v>141</v>
      </c>
      <c r="AJ11" s="997">
        <v>100</v>
      </c>
      <c r="AK11" s="993"/>
    </row>
    <row r="12" spans="2:38" s="990" customFormat="1" x14ac:dyDescent="0.3">
      <c r="B12" s="998" t="s">
        <v>142</v>
      </c>
      <c r="C12" s="315" t="s">
        <v>143</v>
      </c>
      <c r="D12" s="984"/>
      <c r="E12" s="1000" t="s">
        <v>144</v>
      </c>
      <c r="F12" s="316">
        <v>100</v>
      </c>
      <c r="G12" s="984" t="s">
        <v>145</v>
      </c>
      <c r="H12" s="315">
        <v>20</v>
      </c>
      <c r="I12" s="984"/>
      <c r="J12" s="1000"/>
      <c r="K12" s="999"/>
      <c r="M12" s="1000" t="s">
        <v>44</v>
      </c>
      <c r="N12" s="1001">
        <v>20</v>
      </c>
      <c r="O12" s="984" t="s">
        <v>144</v>
      </c>
      <c r="P12" s="999">
        <v>100</v>
      </c>
      <c r="Q12" s="984"/>
      <c r="R12" s="1000"/>
      <c r="S12" s="1001"/>
      <c r="T12" s="984"/>
      <c r="U12" s="999"/>
      <c r="V12" s="984"/>
      <c r="W12" s="1002" t="s">
        <v>146</v>
      </c>
      <c r="X12" s="1003">
        <v>0</v>
      </c>
      <c r="Y12" s="1004" t="s">
        <v>147</v>
      </c>
      <c r="Z12" s="1003">
        <v>0</v>
      </c>
      <c r="AA12" s="1004" t="s">
        <v>148</v>
      </c>
      <c r="AB12" s="1003">
        <f>AB11</f>
        <v>100</v>
      </c>
      <c r="AC12" s="999"/>
      <c r="AD12" s="984"/>
      <c r="AE12" s="1002" t="s">
        <v>149</v>
      </c>
      <c r="AF12" s="1003">
        <v>0</v>
      </c>
      <c r="AG12" s="1004" t="s">
        <v>147</v>
      </c>
      <c r="AH12" s="1003">
        <v>0</v>
      </c>
      <c r="AI12" s="1004" t="s">
        <v>148</v>
      </c>
      <c r="AJ12" s="1003">
        <f>AJ11</f>
        <v>100</v>
      </c>
      <c r="AK12" s="999"/>
      <c r="AL12" s="984"/>
    </row>
    <row r="13" spans="2:38" ht="15" thickBot="1" x14ac:dyDescent="0.35">
      <c r="B13" s="1000"/>
      <c r="C13" s="1066" t="s">
        <v>150</v>
      </c>
      <c r="E13" s="1006"/>
      <c r="F13" s="1007"/>
      <c r="G13" s="1008" t="s">
        <v>151</v>
      </c>
      <c r="H13" s="317">
        <v>80</v>
      </c>
      <c r="J13" s="1010" t="s">
        <v>152</v>
      </c>
      <c r="K13" s="999"/>
      <c r="M13" s="1011" t="s">
        <v>153</v>
      </c>
      <c r="N13" s="1012">
        <v>80</v>
      </c>
      <c r="O13" s="1007"/>
      <c r="P13" s="1009"/>
      <c r="R13" s="1006" t="s">
        <v>141</v>
      </c>
      <c r="S13" s="1012">
        <v>100</v>
      </c>
      <c r="T13" s="1007" t="s">
        <v>154</v>
      </c>
      <c r="U13" s="1009">
        <v>0</v>
      </c>
      <c r="W13" s="1013" t="s">
        <v>155</v>
      </c>
      <c r="X13" s="1014">
        <v>0</v>
      </c>
      <c r="Y13" s="1015" t="s">
        <v>156</v>
      </c>
      <c r="Z13" s="1014">
        <v>0</v>
      </c>
      <c r="AA13" s="1015" t="s">
        <v>157</v>
      </c>
      <c r="AB13" s="1014">
        <v>0</v>
      </c>
      <c r="AC13" s="999"/>
      <c r="AE13" s="1013" t="s">
        <v>158</v>
      </c>
      <c r="AF13" s="1014">
        <v>0</v>
      </c>
      <c r="AG13" s="1015" t="s">
        <v>156</v>
      </c>
      <c r="AH13" s="1014">
        <v>0</v>
      </c>
      <c r="AI13" s="1015" t="s">
        <v>157</v>
      </c>
      <c r="AJ13" s="1014">
        <v>0</v>
      </c>
      <c r="AK13" s="999"/>
    </row>
    <row r="14" spans="2:38" ht="15" thickBot="1" x14ac:dyDescent="0.35">
      <c r="B14" s="1000"/>
      <c r="C14" s="1066" t="s">
        <v>159</v>
      </c>
      <c r="E14" s="1016" t="s">
        <v>61</v>
      </c>
      <c r="F14" s="1017">
        <f>SUM(F12:F13)</f>
        <v>100</v>
      </c>
      <c r="G14" s="1017" t="s">
        <v>160</v>
      </c>
      <c r="H14" s="1018">
        <f>SUM(H12:H13)</f>
        <v>100</v>
      </c>
      <c r="J14" s="1019"/>
      <c r="K14" s="1020"/>
      <c r="M14" s="1016" t="s">
        <v>161</v>
      </c>
      <c r="N14" s="1021">
        <f>SUM(N12:N13)</f>
        <v>100</v>
      </c>
      <c r="O14" s="1017" t="s">
        <v>162</v>
      </c>
      <c r="P14" s="1018">
        <f>SUM(P12:P13)</f>
        <v>100</v>
      </c>
      <c r="R14" s="1016" t="s">
        <v>163</v>
      </c>
      <c r="S14" s="1021">
        <f>S13</f>
        <v>100</v>
      </c>
      <c r="T14" s="1017" t="s">
        <v>164</v>
      </c>
      <c r="U14" s="1018">
        <f>U13</f>
        <v>0</v>
      </c>
      <c r="W14" s="1022" t="s">
        <v>165</v>
      </c>
      <c r="X14" s="1022">
        <f>SUM(X12:X13)</f>
        <v>0</v>
      </c>
      <c r="Y14" s="1022" t="s">
        <v>166</v>
      </c>
      <c r="Z14" s="1022">
        <f>SUM(Z12:Z13)</f>
        <v>0</v>
      </c>
      <c r="AA14" s="1022" t="s">
        <v>167</v>
      </c>
      <c r="AB14" s="1022">
        <f>SUM(AB12:AB13)</f>
        <v>100</v>
      </c>
      <c r="AC14" s="1022">
        <f>X14+Z14+AB14</f>
        <v>100</v>
      </c>
      <c r="AE14" s="1022" t="s">
        <v>165</v>
      </c>
      <c r="AF14" s="1022">
        <f>SUM(AF12:AF13)</f>
        <v>0</v>
      </c>
      <c r="AG14" s="1022" t="s">
        <v>166</v>
      </c>
      <c r="AH14" s="1022">
        <f>SUM(AH12:AH13)</f>
        <v>0</v>
      </c>
      <c r="AI14" s="1022" t="s">
        <v>167</v>
      </c>
      <c r="AJ14" s="1022">
        <f>SUM(AJ12:AJ13)</f>
        <v>100</v>
      </c>
      <c r="AK14" s="1022">
        <f>AF14+AH14+AJ14</f>
        <v>100</v>
      </c>
    </row>
    <row r="15" spans="2:38" x14ac:dyDescent="0.3">
      <c r="B15" s="1023"/>
      <c r="C15" s="1024"/>
      <c r="E15" s="1023" t="s">
        <v>144</v>
      </c>
      <c r="F15" s="318">
        <f>100-50</f>
        <v>50</v>
      </c>
      <c r="G15" s="1025" t="s">
        <v>168</v>
      </c>
      <c r="H15" s="1068">
        <v>6</v>
      </c>
      <c r="J15" s="1023"/>
      <c r="K15" s="1024"/>
      <c r="M15" s="1023" t="s">
        <v>44</v>
      </c>
      <c r="N15" s="997">
        <v>20</v>
      </c>
      <c r="O15" s="1025" t="s">
        <v>144</v>
      </c>
      <c r="P15" s="1024">
        <v>100</v>
      </c>
      <c r="R15" s="1023"/>
      <c r="S15" s="997"/>
      <c r="T15" s="1025"/>
      <c r="U15" s="1024"/>
      <c r="W15" s="1023"/>
      <c r="X15" s="997"/>
      <c r="Y15" s="1025"/>
      <c r="Z15" s="997"/>
      <c r="AA15" s="1025"/>
      <c r="AB15" s="997"/>
      <c r="AC15" s="1024"/>
      <c r="AE15" s="1023"/>
      <c r="AF15" s="997"/>
      <c r="AG15" s="1025"/>
      <c r="AH15" s="997"/>
      <c r="AI15" s="1025"/>
      <c r="AJ15" s="997"/>
      <c r="AK15" s="1024"/>
    </row>
    <row r="16" spans="2:38" x14ac:dyDescent="0.3">
      <c r="B16" s="998" t="s">
        <v>169</v>
      </c>
      <c r="C16" s="315" t="s">
        <v>170</v>
      </c>
      <c r="E16" s="1000" t="s">
        <v>171</v>
      </c>
      <c r="F16" s="984">
        <v>0</v>
      </c>
      <c r="G16" s="984" t="s">
        <v>172</v>
      </c>
      <c r="H16" s="999">
        <v>0</v>
      </c>
      <c r="J16" s="1000"/>
      <c r="K16" s="999"/>
      <c r="M16" s="1010" t="s">
        <v>153</v>
      </c>
      <c r="N16" s="1001">
        <v>80</v>
      </c>
      <c r="P16" s="999"/>
      <c r="R16" s="1000" t="s">
        <v>141</v>
      </c>
      <c r="S16" s="1001">
        <v>100</v>
      </c>
      <c r="T16" s="984" t="s">
        <v>173</v>
      </c>
      <c r="U16" s="999">
        <v>-50</v>
      </c>
      <c r="W16" s="1000"/>
      <c r="X16" s="1001"/>
      <c r="Y16" s="984" t="s">
        <v>173</v>
      </c>
      <c r="Z16" s="1001">
        <v>-50</v>
      </c>
      <c r="AA16" s="984" t="s">
        <v>141</v>
      </c>
      <c r="AB16" s="1001">
        <v>100</v>
      </c>
      <c r="AC16" s="999"/>
      <c r="AE16" s="1000"/>
      <c r="AF16" s="1001"/>
      <c r="AG16" s="984" t="s">
        <v>173</v>
      </c>
      <c r="AH16" s="1001">
        <v>-50</v>
      </c>
      <c r="AI16" s="984" t="s">
        <v>141</v>
      </c>
      <c r="AJ16" s="1001">
        <v>100</v>
      </c>
      <c r="AK16" s="999"/>
    </row>
    <row r="17" spans="2:37" x14ac:dyDescent="0.3">
      <c r="B17" s="1000"/>
      <c r="C17" s="319" t="s">
        <v>174</v>
      </c>
      <c r="E17" s="1000" t="s">
        <v>175</v>
      </c>
      <c r="F17" s="316">
        <v>80</v>
      </c>
      <c r="G17" s="986" t="s">
        <v>176</v>
      </c>
      <c r="H17" s="311">
        <v>24</v>
      </c>
      <c r="J17" s="1010" t="s">
        <v>152</v>
      </c>
      <c r="K17" s="999"/>
      <c r="M17" s="1010" t="s">
        <v>177</v>
      </c>
      <c r="N17" s="1001">
        <v>50</v>
      </c>
      <c r="P17" s="999"/>
      <c r="R17" s="1000"/>
      <c r="S17" s="1001"/>
      <c r="U17" s="999"/>
      <c r="W17" s="1002" t="s">
        <v>146</v>
      </c>
      <c r="X17" s="1003">
        <v>0</v>
      </c>
      <c r="Y17" s="1004" t="s">
        <v>147</v>
      </c>
      <c r="Z17" s="1003">
        <v>0</v>
      </c>
      <c r="AA17" s="1004" t="s">
        <v>148</v>
      </c>
      <c r="AB17" s="1003">
        <f>AB16</f>
        <v>100</v>
      </c>
      <c r="AC17" s="999"/>
      <c r="AE17" s="1002" t="s">
        <v>149</v>
      </c>
      <c r="AF17" s="1003">
        <v>0</v>
      </c>
      <c r="AG17" s="1004" t="s">
        <v>147</v>
      </c>
      <c r="AH17" s="1003">
        <v>0</v>
      </c>
      <c r="AI17" s="1004" t="s">
        <v>148</v>
      </c>
      <c r="AJ17" s="1003">
        <f>AJ16</f>
        <v>100</v>
      </c>
      <c r="AK17" s="999"/>
    </row>
    <row r="18" spans="2:37" ht="15" thickBot="1" x14ac:dyDescent="0.35">
      <c r="B18" s="1000"/>
      <c r="C18" s="1067" t="s">
        <v>178</v>
      </c>
      <c r="E18" s="1006"/>
      <c r="F18" s="1007"/>
      <c r="G18" s="1007" t="s">
        <v>179</v>
      </c>
      <c r="H18" s="1009">
        <v>100</v>
      </c>
      <c r="J18" s="1000"/>
      <c r="K18" s="999"/>
      <c r="M18" s="1011" t="s">
        <v>180</v>
      </c>
      <c r="N18" s="1012">
        <v>30</v>
      </c>
      <c r="O18" s="1007" t="s">
        <v>175</v>
      </c>
      <c r="P18" s="1009">
        <v>80</v>
      </c>
      <c r="R18" s="1026"/>
      <c r="S18" s="1027"/>
      <c r="T18" s="1028"/>
      <c r="U18" s="1029"/>
      <c r="W18" s="1013" t="s">
        <v>155</v>
      </c>
      <c r="X18" s="1014">
        <v>0</v>
      </c>
      <c r="Y18" s="1015" t="s">
        <v>156</v>
      </c>
      <c r="Z18" s="1014">
        <f>Z16</f>
        <v>-50</v>
      </c>
      <c r="AA18" s="1015" t="s">
        <v>157</v>
      </c>
      <c r="AB18" s="1014">
        <v>0</v>
      </c>
      <c r="AC18" s="999"/>
      <c r="AE18" s="1013" t="s">
        <v>158</v>
      </c>
      <c r="AF18" s="1014">
        <v>0</v>
      </c>
      <c r="AG18" s="1015" t="s">
        <v>156</v>
      </c>
      <c r="AH18" s="1014">
        <f>AH16</f>
        <v>-50</v>
      </c>
      <c r="AI18" s="1015" t="s">
        <v>157</v>
      </c>
      <c r="AJ18" s="1014">
        <v>0</v>
      </c>
      <c r="AK18" s="999"/>
    </row>
    <row r="19" spans="2:37" ht="15" thickBot="1" x14ac:dyDescent="0.35">
      <c r="B19" s="1000"/>
      <c r="C19" s="1005"/>
      <c r="E19" s="1016" t="s">
        <v>61</v>
      </c>
      <c r="F19" s="1017">
        <f>F15+F17</f>
        <v>130</v>
      </c>
      <c r="G19" s="1017" t="s">
        <v>160</v>
      </c>
      <c r="H19" s="1018">
        <f>SUM(H15:H18)</f>
        <v>130</v>
      </c>
      <c r="I19" s="985"/>
      <c r="J19" s="1019"/>
      <c r="K19" s="1020"/>
      <c r="M19" s="1016" t="s">
        <v>161</v>
      </c>
      <c r="N19" s="1021">
        <f>SUM(N15:N18)</f>
        <v>180</v>
      </c>
      <c r="O19" s="1017" t="s">
        <v>162</v>
      </c>
      <c r="P19" s="1018">
        <f>SUM(P15:P18)</f>
        <v>180</v>
      </c>
      <c r="R19" s="1016" t="s">
        <v>163</v>
      </c>
      <c r="S19" s="1021">
        <f>S16</f>
        <v>100</v>
      </c>
      <c r="T19" s="1017" t="s">
        <v>164</v>
      </c>
      <c r="U19" s="1018">
        <f>U16</f>
        <v>-50</v>
      </c>
      <c r="W19" s="1022" t="s">
        <v>165</v>
      </c>
      <c r="X19" s="1022">
        <f>SUM(X15:X18)</f>
        <v>0</v>
      </c>
      <c r="Y19" s="1022" t="s">
        <v>166</v>
      </c>
      <c r="Z19" s="1022">
        <f>SUM(Z17:Z18)</f>
        <v>-50</v>
      </c>
      <c r="AA19" s="1022" t="s">
        <v>167</v>
      </c>
      <c r="AB19" s="1022">
        <f>SUM(AB17:AB18)</f>
        <v>100</v>
      </c>
      <c r="AC19" s="1022">
        <f>X19+Z19+AB19</f>
        <v>50</v>
      </c>
      <c r="AE19" s="1022" t="s">
        <v>165</v>
      </c>
      <c r="AF19" s="1022">
        <f>SUM(AF15:AF18)</f>
        <v>0</v>
      </c>
      <c r="AG19" s="1022" t="s">
        <v>166</v>
      </c>
      <c r="AH19" s="1022">
        <f>SUM(AH17:AH18)</f>
        <v>-50</v>
      </c>
      <c r="AI19" s="1022" t="s">
        <v>167</v>
      </c>
      <c r="AJ19" s="1022">
        <f>SUM(AJ17:AJ18)</f>
        <v>100</v>
      </c>
      <c r="AK19" s="1022">
        <f>AF19+AH19+AJ19</f>
        <v>50</v>
      </c>
    </row>
    <row r="20" spans="2:37" ht="15" thickBot="1" x14ac:dyDescent="0.35">
      <c r="B20" s="1023"/>
      <c r="C20" s="1030"/>
      <c r="E20" s="1023" t="s">
        <v>144</v>
      </c>
      <c r="F20" s="318">
        <f>100-50-7</f>
        <v>43</v>
      </c>
      <c r="G20" s="1031" t="s">
        <v>172</v>
      </c>
      <c r="H20" s="1069">
        <v>3</v>
      </c>
      <c r="I20" s="985"/>
      <c r="J20" s="1000"/>
      <c r="K20" s="999"/>
      <c r="M20" s="1023" t="s">
        <v>44</v>
      </c>
      <c r="N20" s="997">
        <v>20</v>
      </c>
      <c r="O20" s="1025" t="s">
        <v>144</v>
      </c>
      <c r="P20" s="1024">
        <f>100</f>
        <v>100</v>
      </c>
      <c r="R20" s="1000"/>
      <c r="S20" s="1001"/>
      <c r="U20" s="999"/>
      <c r="W20" s="1000"/>
      <c r="X20" s="1001"/>
      <c r="Z20" s="1001"/>
      <c r="AB20" s="1001"/>
      <c r="AC20" s="999"/>
      <c r="AE20" s="1032" t="s">
        <v>181</v>
      </c>
      <c r="AF20" s="1033">
        <f>K25</f>
        <v>0</v>
      </c>
      <c r="AH20" s="1001"/>
      <c r="AJ20" s="1001"/>
      <c r="AK20" s="999"/>
    </row>
    <row r="21" spans="2:37" ht="15" thickTop="1" x14ac:dyDescent="0.3">
      <c r="B21" s="1034" t="s">
        <v>113</v>
      </c>
      <c r="C21" s="1066" t="s">
        <v>182</v>
      </c>
      <c r="E21" s="1010" t="s">
        <v>171</v>
      </c>
      <c r="F21" s="316">
        <v>10</v>
      </c>
      <c r="G21" s="984" t="s">
        <v>168</v>
      </c>
      <c r="H21" s="999">
        <v>6</v>
      </c>
      <c r="I21" s="985"/>
      <c r="J21" s="1000"/>
      <c r="K21" s="999"/>
      <c r="M21" s="1010" t="s">
        <v>153</v>
      </c>
      <c r="N21" s="1001">
        <v>80</v>
      </c>
      <c r="O21" s="986" t="s">
        <v>171</v>
      </c>
      <c r="P21" s="999">
        <v>10</v>
      </c>
      <c r="R21" s="1010" t="s">
        <v>141</v>
      </c>
      <c r="S21" s="1001">
        <v>100</v>
      </c>
      <c r="T21" s="986" t="s">
        <v>173</v>
      </c>
      <c r="U21" s="999">
        <v>-50</v>
      </c>
      <c r="W21" s="1010" t="s">
        <v>183</v>
      </c>
      <c r="X21" s="1001">
        <v>-7</v>
      </c>
      <c r="Y21" s="984" t="s">
        <v>173</v>
      </c>
      <c r="Z21" s="1001">
        <v>-50</v>
      </c>
      <c r="AA21" s="984" t="s">
        <v>141</v>
      </c>
      <c r="AB21" s="1001">
        <v>100</v>
      </c>
      <c r="AC21" s="999"/>
      <c r="AE21" s="1010" t="s">
        <v>184</v>
      </c>
      <c r="AF21" s="1001">
        <f>-F21</f>
        <v>-10</v>
      </c>
      <c r="AG21" s="984" t="s">
        <v>173</v>
      </c>
      <c r="AH21" s="1001">
        <v>-50</v>
      </c>
      <c r="AI21" s="984" t="s">
        <v>141</v>
      </c>
      <c r="AJ21" s="1001">
        <v>100</v>
      </c>
      <c r="AK21" s="999"/>
    </row>
    <row r="22" spans="2:37" x14ac:dyDescent="0.3">
      <c r="B22" s="1000"/>
      <c r="C22" s="319" t="s">
        <v>185</v>
      </c>
      <c r="E22" s="1000" t="s">
        <v>186</v>
      </c>
      <c r="F22" s="984">
        <v>0</v>
      </c>
      <c r="G22" s="986" t="s">
        <v>176</v>
      </c>
      <c r="H22" s="999">
        <v>24</v>
      </c>
      <c r="I22" s="985"/>
      <c r="J22" s="1010" t="s">
        <v>152</v>
      </c>
      <c r="K22" s="999"/>
      <c r="M22" s="1010" t="s">
        <v>177</v>
      </c>
      <c r="N22" s="1001">
        <f>50+7</f>
        <v>57</v>
      </c>
      <c r="P22" s="999"/>
      <c r="R22" s="1000"/>
      <c r="S22" s="1001"/>
      <c r="T22" s="986" t="s">
        <v>183</v>
      </c>
      <c r="U22" s="999">
        <v>-7</v>
      </c>
      <c r="W22" s="1000"/>
      <c r="X22" s="1001"/>
      <c r="Z22" s="1001"/>
      <c r="AB22" s="1001"/>
      <c r="AC22" s="999"/>
      <c r="AE22" s="1000" t="s">
        <v>187</v>
      </c>
      <c r="AF22" s="1001">
        <f>H20</f>
        <v>3</v>
      </c>
      <c r="AH22" s="1001"/>
      <c r="AJ22" s="1001"/>
      <c r="AK22" s="999"/>
    </row>
    <row r="23" spans="2:37" x14ac:dyDescent="0.3">
      <c r="B23" s="1000"/>
      <c r="C23" s="1067" t="s">
        <v>188</v>
      </c>
      <c r="E23" s="1000"/>
      <c r="H23" s="999"/>
      <c r="I23" s="985"/>
      <c r="J23" s="1000"/>
      <c r="K23" s="999"/>
      <c r="M23" s="1010" t="s">
        <v>180</v>
      </c>
      <c r="N23" s="1001">
        <v>30</v>
      </c>
      <c r="P23" s="999"/>
      <c r="R23" s="1000"/>
      <c r="S23" s="1001"/>
      <c r="U23" s="999"/>
      <c r="W23" s="1002" t="s">
        <v>146</v>
      </c>
      <c r="X23" s="1003">
        <v>0</v>
      </c>
      <c r="Y23" s="1004" t="s">
        <v>147</v>
      </c>
      <c r="Z23" s="1003">
        <v>0</v>
      </c>
      <c r="AA23" s="1004" t="s">
        <v>148</v>
      </c>
      <c r="AB23" s="1003">
        <f>AB21</f>
        <v>100</v>
      </c>
      <c r="AC23" s="999"/>
      <c r="AE23" s="1002" t="s">
        <v>149</v>
      </c>
      <c r="AF23" s="1003">
        <f>AF20+AF22</f>
        <v>3</v>
      </c>
      <c r="AG23" s="1004" t="s">
        <v>147</v>
      </c>
      <c r="AH23" s="1003">
        <v>0</v>
      </c>
      <c r="AI23" s="1004" t="s">
        <v>148</v>
      </c>
      <c r="AJ23" s="1003">
        <f>AJ21</f>
        <v>100</v>
      </c>
      <c r="AK23" s="999"/>
    </row>
    <row r="24" spans="2:37" ht="15" thickBot="1" x14ac:dyDescent="0.35">
      <c r="B24" s="1000"/>
      <c r="C24" s="1005"/>
      <c r="E24" s="1006" t="s">
        <v>175</v>
      </c>
      <c r="F24" s="1007">
        <v>80</v>
      </c>
      <c r="G24" s="1007" t="s">
        <v>145</v>
      </c>
      <c r="H24" s="1009">
        <v>100</v>
      </c>
      <c r="I24" s="985"/>
      <c r="J24" s="1000"/>
      <c r="K24" s="999"/>
      <c r="M24" s="1011" t="s">
        <v>172</v>
      </c>
      <c r="N24" s="1012">
        <v>3</v>
      </c>
      <c r="O24" s="1007" t="s">
        <v>175</v>
      </c>
      <c r="P24" s="1009">
        <v>80</v>
      </c>
      <c r="R24" s="1006"/>
      <c r="S24" s="1012"/>
      <c r="T24" s="1007"/>
      <c r="U24" s="1009"/>
      <c r="W24" s="1013" t="s">
        <v>155</v>
      </c>
      <c r="X24" s="1014">
        <f>X21</f>
        <v>-7</v>
      </c>
      <c r="Y24" s="1015" t="s">
        <v>156</v>
      </c>
      <c r="Z24" s="1014">
        <f>Z21</f>
        <v>-50</v>
      </c>
      <c r="AA24" s="1015" t="s">
        <v>157</v>
      </c>
      <c r="AB24" s="1014">
        <v>0</v>
      </c>
      <c r="AC24" s="999"/>
      <c r="AE24" s="1013" t="s">
        <v>158</v>
      </c>
      <c r="AF24" s="1014">
        <f>AF21</f>
        <v>-10</v>
      </c>
      <c r="AG24" s="1015" t="s">
        <v>156</v>
      </c>
      <c r="AH24" s="1014">
        <f>AH21</f>
        <v>-50</v>
      </c>
      <c r="AI24" s="1015" t="s">
        <v>157</v>
      </c>
      <c r="AJ24" s="1014">
        <v>0</v>
      </c>
      <c r="AK24" s="999"/>
    </row>
    <row r="25" spans="2:37" ht="15" thickBot="1" x14ac:dyDescent="0.35">
      <c r="B25" s="1019"/>
      <c r="C25" s="1020"/>
      <c r="E25" s="1016" t="s">
        <v>61</v>
      </c>
      <c r="F25" s="1017">
        <f>SUM(F20:F24)</f>
        <v>133</v>
      </c>
      <c r="G25" s="1017" t="s">
        <v>160</v>
      </c>
      <c r="H25" s="1018">
        <f>SUM(H20:H24)</f>
        <v>133</v>
      </c>
      <c r="I25" s="985"/>
      <c r="J25" s="1032" t="s">
        <v>189</v>
      </c>
      <c r="K25" s="1035">
        <v>0</v>
      </c>
      <c r="M25" s="1016" t="s">
        <v>161</v>
      </c>
      <c r="N25" s="1021">
        <f>SUM(N20:N24)</f>
        <v>190</v>
      </c>
      <c r="O25" s="1017" t="s">
        <v>162</v>
      </c>
      <c r="P25" s="1018">
        <f>SUM(P20:P24)</f>
        <v>190</v>
      </c>
      <c r="R25" s="1016" t="s">
        <v>163</v>
      </c>
      <c r="S25" s="1021">
        <f>SUM(S20:S24)</f>
        <v>100</v>
      </c>
      <c r="T25" s="1017" t="s">
        <v>164</v>
      </c>
      <c r="U25" s="1018">
        <f>SUM(U20:U24)</f>
        <v>-57</v>
      </c>
      <c r="W25" s="1022" t="s">
        <v>165</v>
      </c>
      <c r="X25" s="1022">
        <f>SUM(X23:X24)</f>
        <v>-7</v>
      </c>
      <c r="Y25" s="1022" t="s">
        <v>166</v>
      </c>
      <c r="Z25" s="1022">
        <f>SUM(Z23:Z24)</f>
        <v>-50</v>
      </c>
      <c r="AA25" s="1022" t="s">
        <v>167</v>
      </c>
      <c r="AB25" s="1022">
        <f>SUM(AB23:AB24)</f>
        <v>100</v>
      </c>
      <c r="AC25" s="1022">
        <f>X25+Z25+AB25</f>
        <v>43</v>
      </c>
      <c r="AE25" s="1022" t="s">
        <v>165</v>
      </c>
      <c r="AF25" s="1022">
        <f>SUM(AF23:AF24)</f>
        <v>-7</v>
      </c>
      <c r="AG25" s="1022" t="s">
        <v>166</v>
      </c>
      <c r="AH25" s="1022">
        <f>SUM(AH23:AH24)</f>
        <v>-50</v>
      </c>
      <c r="AI25" s="1022" t="s">
        <v>167</v>
      </c>
      <c r="AJ25" s="1022">
        <f>SUM(AJ23:AJ24)</f>
        <v>100</v>
      </c>
      <c r="AK25" s="1022">
        <f>AF25+AH25+AJ25</f>
        <v>43</v>
      </c>
    </row>
    <row r="26" spans="2:37" x14ac:dyDescent="0.3">
      <c r="B26" s="1023"/>
      <c r="C26" s="1024"/>
      <c r="E26" s="1023" t="s">
        <v>144</v>
      </c>
      <c r="F26" s="314">
        <f>43+35</f>
        <v>78</v>
      </c>
      <c r="G26" s="1031" t="s">
        <v>172</v>
      </c>
      <c r="H26" s="1030">
        <v>3</v>
      </c>
      <c r="I26" s="985"/>
      <c r="J26" s="1023"/>
      <c r="K26" s="1024"/>
      <c r="M26" s="1023" t="s">
        <v>44</v>
      </c>
      <c r="N26" s="997">
        <v>20</v>
      </c>
      <c r="O26" s="1025" t="s">
        <v>144</v>
      </c>
      <c r="P26" s="1024">
        <f>100+35</f>
        <v>135</v>
      </c>
      <c r="R26" s="1023"/>
      <c r="S26" s="997"/>
      <c r="T26" s="1025"/>
      <c r="U26" s="1024"/>
      <c r="W26" s="1000"/>
      <c r="X26" s="1001"/>
      <c r="Y26" s="996"/>
      <c r="Z26" s="997"/>
      <c r="AA26" s="996"/>
      <c r="AB26" s="997"/>
      <c r="AC26" s="999"/>
      <c r="AE26" s="1036" t="s">
        <v>74</v>
      </c>
      <c r="AF26" s="1037">
        <f>K33</f>
        <v>50</v>
      </c>
      <c r="AG26" s="996"/>
      <c r="AH26" s="997"/>
      <c r="AI26" s="996"/>
      <c r="AJ26" s="997"/>
      <c r="AK26" s="1024"/>
    </row>
    <row r="27" spans="2:37" ht="15" thickBot="1" x14ac:dyDescent="0.35">
      <c r="B27" s="1000"/>
      <c r="C27" s="999"/>
      <c r="E27" s="1000" t="s">
        <v>190</v>
      </c>
      <c r="F27" s="312">
        <v>15</v>
      </c>
      <c r="G27" s="984" t="s">
        <v>168</v>
      </c>
      <c r="H27" s="999">
        <v>6</v>
      </c>
      <c r="J27" s="1000"/>
      <c r="K27" s="999"/>
      <c r="M27" s="1010" t="s">
        <v>153</v>
      </c>
      <c r="N27" s="1001">
        <v>80</v>
      </c>
      <c r="O27" s="986" t="s">
        <v>171</v>
      </c>
      <c r="P27" s="999">
        <v>10</v>
      </c>
      <c r="R27" s="1010" t="s">
        <v>141</v>
      </c>
      <c r="S27" s="1001">
        <v>100</v>
      </c>
      <c r="T27" s="986" t="s">
        <v>173</v>
      </c>
      <c r="U27" s="999">
        <v>-50</v>
      </c>
      <c r="W27" s="1010" t="s">
        <v>191</v>
      </c>
      <c r="X27" s="1001">
        <v>35</v>
      </c>
      <c r="Y27" s="1038" t="s">
        <v>173</v>
      </c>
      <c r="Z27" s="1001">
        <v>-50</v>
      </c>
      <c r="AA27" s="1038" t="s">
        <v>141</v>
      </c>
      <c r="AB27" s="1001">
        <v>100</v>
      </c>
      <c r="AC27" s="999"/>
      <c r="AE27" s="1000" t="s">
        <v>192</v>
      </c>
      <c r="AF27" s="1039">
        <f>AF26</f>
        <v>50</v>
      </c>
      <c r="AG27" s="1038" t="s">
        <v>173</v>
      </c>
      <c r="AH27" s="1001">
        <v>-50</v>
      </c>
      <c r="AI27" s="1038" t="s">
        <v>141</v>
      </c>
      <c r="AJ27" s="1001">
        <v>100</v>
      </c>
      <c r="AK27" s="999"/>
    </row>
    <row r="28" spans="2:37" ht="15" thickTop="1" x14ac:dyDescent="0.3">
      <c r="B28" s="1034" t="s">
        <v>115</v>
      </c>
      <c r="C28" s="1066" t="s">
        <v>193</v>
      </c>
      <c r="E28" s="1010" t="s">
        <v>171</v>
      </c>
      <c r="F28" s="984">
        <v>10</v>
      </c>
      <c r="H28" s="999"/>
      <c r="J28" s="1000"/>
      <c r="K28" s="999"/>
      <c r="M28" s="1010" t="s">
        <v>177</v>
      </c>
      <c r="N28" s="1001">
        <f>50+7</f>
        <v>57</v>
      </c>
      <c r="O28" s="986" t="s">
        <v>190</v>
      </c>
      <c r="P28" s="999">
        <v>15</v>
      </c>
      <c r="R28" s="1010" t="s">
        <v>194</v>
      </c>
      <c r="S28" s="1001">
        <v>35</v>
      </c>
      <c r="T28" s="986" t="s">
        <v>183</v>
      </c>
      <c r="U28" s="999">
        <v>-7</v>
      </c>
      <c r="W28" s="1010" t="s">
        <v>183</v>
      </c>
      <c r="X28" s="1001">
        <v>-7</v>
      </c>
      <c r="Y28" s="1038"/>
      <c r="Z28" s="1001"/>
      <c r="AA28" s="1038"/>
      <c r="AB28" s="1001"/>
      <c r="AC28" s="999"/>
      <c r="AE28" s="1010" t="s">
        <v>184</v>
      </c>
      <c r="AF28" s="1001">
        <f>-F28</f>
        <v>-10</v>
      </c>
      <c r="AG28" s="1038"/>
      <c r="AH28" s="1001"/>
      <c r="AI28" s="1038"/>
      <c r="AJ28" s="1001"/>
      <c r="AK28" s="999"/>
    </row>
    <row r="29" spans="2:37" x14ac:dyDescent="0.3">
      <c r="B29" s="1000"/>
      <c r="C29" s="1067" t="s">
        <v>195</v>
      </c>
      <c r="E29" s="1000"/>
      <c r="G29" s="986" t="s">
        <v>176</v>
      </c>
      <c r="H29" s="999">
        <v>24</v>
      </c>
      <c r="J29" s="1000" t="s">
        <v>11</v>
      </c>
      <c r="K29" s="999">
        <v>50</v>
      </c>
      <c r="M29" s="1010" t="s">
        <v>172</v>
      </c>
      <c r="N29" s="1001">
        <v>3</v>
      </c>
      <c r="P29" s="999"/>
      <c r="R29" s="1000"/>
      <c r="S29" s="1001"/>
      <c r="U29" s="999"/>
      <c r="W29" s="1000"/>
      <c r="X29" s="1001"/>
      <c r="Y29" s="1038"/>
      <c r="Z29" s="1001"/>
      <c r="AA29" s="1038"/>
      <c r="AB29" s="1001"/>
      <c r="AC29" s="999"/>
      <c r="AE29" s="1000" t="s">
        <v>187</v>
      </c>
      <c r="AF29" s="1001">
        <f>H26</f>
        <v>3</v>
      </c>
      <c r="AG29" s="1038"/>
      <c r="AH29" s="1001"/>
      <c r="AI29" s="1038"/>
      <c r="AJ29" s="1001"/>
      <c r="AK29" s="999"/>
    </row>
    <row r="30" spans="2:37" x14ac:dyDescent="0.3">
      <c r="B30" s="1000"/>
      <c r="C30" s="319" t="s">
        <v>196</v>
      </c>
      <c r="E30" s="1010"/>
      <c r="G30" s="986"/>
      <c r="H30" s="999"/>
      <c r="J30" s="1000" t="s">
        <v>197</v>
      </c>
      <c r="K30" s="999">
        <v>0</v>
      </c>
      <c r="M30" s="1010" t="s">
        <v>180</v>
      </c>
      <c r="N30" s="1001">
        <v>30</v>
      </c>
      <c r="P30" s="999"/>
      <c r="R30" s="1000"/>
      <c r="S30" s="1001"/>
      <c r="U30" s="999"/>
      <c r="W30" s="1000"/>
      <c r="X30" s="1001"/>
      <c r="Y30" s="1038"/>
      <c r="Z30" s="1001"/>
      <c r="AA30" s="1038"/>
      <c r="AB30" s="1001"/>
      <c r="AC30" s="999"/>
      <c r="AE30" s="1000" t="s">
        <v>198</v>
      </c>
      <c r="AF30" s="1001">
        <f>-F27</f>
        <v>-15</v>
      </c>
      <c r="AG30" s="1038"/>
      <c r="AH30" s="1001"/>
      <c r="AI30" s="1038"/>
      <c r="AJ30" s="1001"/>
      <c r="AK30" s="999"/>
    </row>
    <row r="31" spans="2:37" x14ac:dyDescent="0.3">
      <c r="B31" s="1000"/>
      <c r="C31" s="999"/>
      <c r="E31" s="1000"/>
      <c r="G31" s="984" t="s">
        <v>179</v>
      </c>
      <c r="H31" s="999">
        <v>100</v>
      </c>
      <c r="J31" s="1000"/>
      <c r="K31" s="999"/>
      <c r="M31" s="1000"/>
      <c r="N31" s="1001"/>
      <c r="P31" s="999"/>
      <c r="R31" s="1000"/>
      <c r="S31" s="1001"/>
      <c r="U31" s="999"/>
      <c r="W31" s="1002" t="s">
        <v>146</v>
      </c>
      <c r="X31" s="1003">
        <f>X27</f>
        <v>35</v>
      </c>
      <c r="Y31" s="1004" t="s">
        <v>147</v>
      </c>
      <c r="Z31" s="1003">
        <v>0</v>
      </c>
      <c r="AA31" s="1004" t="s">
        <v>148</v>
      </c>
      <c r="AB31" s="1003">
        <f>AB27</f>
        <v>100</v>
      </c>
      <c r="AC31" s="999"/>
      <c r="AE31" s="1002" t="s">
        <v>149</v>
      </c>
      <c r="AF31" s="1003">
        <f>AF27+AF29</f>
        <v>53</v>
      </c>
      <c r="AG31" s="1004" t="s">
        <v>147</v>
      </c>
      <c r="AH31" s="1003">
        <v>0</v>
      </c>
      <c r="AI31" s="1004" t="s">
        <v>148</v>
      </c>
      <c r="AJ31" s="1003">
        <f>AJ27</f>
        <v>100</v>
      </c>
      <c r="AK31" s="999"/>
    </row>
    <row r="32" spans="2:37" ht="15" thickBot="1" x14ac:dyDescent="0.35">
      <c r="B32" s="1000"/>
      <c r="C32" s="999"/>
      <c r="E32" s="1006" t="s">
        <v>175</v>
      </c>
      <c r="F32" s="1007">
        <v>80</v>
      </c>
      <c r="G32" s="1007" t="s">
        <v>56</v>
      </c>
      <c r="H32" s="320">
        <f>K33</f>
        <v>50</v>
      </c>
      <c r="J32" s="1006"/>
      <c r="K32" s="1009"/>
      <c r="M32" s="1011" t="s">
        <v>199</v>
      </c>
      <c r="N32" s="1012">
        <f>K33</f>
        <v>50</v>
      </c>
      <c r="O32" s="1007" t="s">
        <v>175</v>
      </c>
      <c r="P32" s="1009">
        <v>80</v>
      </c>
      <c r="R32" s="1019"/>
      <c r="S32" s="1040"/>
      <c r="T32" s="1041"/>
      <c r="U32" s="1020"/>
      <c r="W32" s="1013" t="s">
        <v>155</v>
      </c>
      <c r="X32" s="1014">
        <f>X28</f>
        <v>-7</v>
      </c>
      <c r="Y32" s="1015" t="s">
        <v>156</v>
      </c>
      <c r="Z32" s="1014">
        <f>Z27</f>
        <v>-50</v>
      </c>
      <c r="AA32" s="1015" t="s">
        <v>157</v>
      </c>
      <c r="AB32" s="1014">
        <v>0</v>
      </c>
      <c r="AC32" s="999"/>
      <c r="AE32" s="1013" t="s">
        <v>158</v>
      </c>
      <c r="AF32" s="1014">
        <f>AF28+AF30</f>
        <v>-25</v>
      </c>
      <c r="AG32" s="1015" t="s">
        <v>156</v>
      </c>
      <c r="AH32" s="1014">
        <f>AH27</f>
        <v>-50</v>
      </c>
      <c r="AI32" s="1015" t="s">
        <v>157</v>
      </c>
      <c r="AJ32" s="1014">
        <v>0</v>
      </c>
      <c r="AK32" s="999"/>
    </row>
    <row r="33" spans="2:37" ht="15" thickBot="1" x14ac:dyDescent="0.35">
      <c r="B33" s="1019"/>
      <c r="C33" s="1020"/>
      <c r="E33" s="1016" t="s">
        <v>61</v>
      </c>
      <c r="F33" s="1017">
        <f>SUM(F26:F32)</f>
        <v>183</v>
      </c>
      <c r="G33" s="1017" t="s">
        <v>160</v>
      </c>
      <c r="H33" s="1018">
        <f>SUM(H26:H32)</f>
        <v>183</v>
      </c>
      <c r="I33" s="985"/>
      <c r="J33" s="1016" t="s">
        <v>56</v>
      </c>
      <c r="K33" s="1018">
        <f>SUM(K29:K32)</f>
        <v>50</v>
      </c>
      <c r="M33" s="1016" t="s">
        <v>161</v>
      </c>
      <c r="N33" s="1021">
        <f>SUM(N26:N32)</f>
        <v>240</v>
      </c>
      <c r="O33" s="1017" t="s">
        <v>162</v>
      </c>
      <c r="P33" s="1018">
        <f>SUM(P26:P32)</f>
        <v>240</v>
      </c>
      <c r="R33" s="1016" t="s">
        <v>163</v>
      </c>
      <c r="S33" s="1021">
        <f>SUM(S26:S32)</f>
        <v>135</v>
      </c>
      <c r="T33" s="1017" t="s">
        <v>164</v>
      </c>
      <c r="U33" s="1018">
        <f>SUM(U26:U32)</f>
        <v>-57</v>
      </c>
      <c r="W33" s="1022" t="s">
        <v>165</v>
      </c>
      <c r="X33" s="1022">
        <f>SUM(X31:X32)</f>
        <v>28</v>
      </c>
      <c r="Y33" s="1022" t="s">
        <v>166</v>
      </c>
      <c r="Z33" s="1022">
        <f>SUM(Z31:Z32)</f>
        <v>-50</v>
      </c>
      <c r="AA33" s="1022" t="s">
        <v>167</v>
      </c>
      <c r="AB33" s="1022">
        <f>SUM(AB31:AB32)</f>
        <v>100</v>
      </c>
      <c r="AC33" s="1022">
        <f>X33+Z33+AB33</f>
        <v>78</v>
      </c>
      <c r="AE33" s="1022" t="s">
        <v>165</v>
      </c>
      <c r="AF33" s="1022">
        <f>SUM(AF31:AF32)</f>
        <v>28</v>
      </c>
      <c r="AG33" s="1022" t="s">
        <v>166</v>
      </c>
      <c r="AH33" s="1022">
        <f>SUM(AH31:AH32)</f>
        <v>-50</v>
      </c>
      <c r="AI33" s="1022" t="s">
        <v>167</v>
      </c>
      <c r="AJ33" s="1022">
        <f>SUM(AJ31:AJ32)</f>
        <v>100</v>
      </c>
      <c r="AK33" s="1022">
        <f>AF33+AH33+AJ33</f>
        <v>78</v>
      </c>
    </row>
    <row r="34" spans="2:37" x14ac:dyDescent="0.3">
      <c r="B34" s="1023"/>
      <c r="C34" s="1024"/>
      <c r="E34" s="1023" t="s">
        <v>144</v>
      </c>
      <c r="F34" s="318">
        <f>F26-9</f>
        <v>69</v>
      </c>
      <c r="G34" s="1031" t="s">
        <v>172</v>
      </c>
      <c r="H34" s="1030">
        <v>3</v>
      </c>
      <c r="I34" s="985"/>
      <c r="J34" s="1042"/>
      <c r="K34" s="1043"/>
      <c r="L34" s="985"/>
      <c r="M34" s="1023" t="s">
        <v>44</v>
      </c>
      <c r="N34" s="997">
        <v>20</v>
      </c>
      <c r="O34" s="1025" t="s">
        <v>144</v>
      </c>
      <c r="P34" s="1024">
        <f>100+35</f>
        <v>135</v>
      </c>
      <c r="R34" s="1023"/>
      <c r="S34" s="997"/>
      <c r="T34" s="1025"/>
      <c r="U34" s="1024"/>
      <c r="W34" s="1023"/>
      <c r="X34" s="997"/>
      <c r="Y34" s="996"/>
      <c r="Z34" s="997"/>
      <c r="AA34" s="996"/>
      <c r="AB34" s="997"/>
      <c r="AC34" s="1024"/>
      <c r="AE34" s="1036" t="s">
        <v>74</v>
      </c>
      <c r="AF34" s="1037">
        <f>K41</f>
        <v>41</v>
      </c>
      <c r="AG34" s="996"/>
      <c r="AH34" s="997"/>
      <c r="AI34" s="996"/>
      <c r="AJ34" s="997"/>
      <c r="AK34" s="1024"/>
    </row>
    <row r="35" spans="2:37" ht="15" thickBot="1" x14ac:dyDescent="0.35">
      <c r="B35" s="1000"/>
      <c r="C35" s="999"/>
      <c r="E35" s="1000" t="s">
        <v>190</v>
      </c>
      <c r="F35" s="984">
        <v>15</v>
      </c>
      <c r="G35" s="984" t="s">
        <v>168</v>
      </c>
      <c r="H35" s="999">
        <v>6</v>
      </c>
      <c r="I35" s="985"/>
      <c r="J35" s="1034"/>
      <c r="K35" s="1044"/>
      <c r="L35" s="985"/>
      <c r="M35" s="1000"/>
      <c r="N35" s="1001"/>
      <c r="P35" s="999"/>
      <c r="R35" s="1000"/>
      <c r="S35" s="1001"/>
      <c r="U35" s="999"/>
      <c r="W35" s="1000"/>
      <c r="X35" s="1001"/>
      <c r="Y35" s="1038"/>
      <c r="Z35" s="1001"/>
      <c r="AA35" s="1038"/>
      <c r="AB35" s="1001"/>
      <c r="AC35" s="999"/>
      <c r="AE35" s="1000" t="s">
        <v>192</v>
      </c>
      <c r="AF35" s="1039">
        <f>AF34</f>
        <v>41</v>
      </c>
      <c r="AG35" s="1038" t="s">
        <v>173</v>
      </c>
      <c r="AH35" s="1001">
        <v>-50</v>
      </c>
      <c r="AI35" s="1038" t="s">
        <v>141</v>
      </c>
      <c r="AJ35" s="1001">
        <v>100</v>
      </c>
      <c r="AK35" s="999"/>
    </row>
    <row r="36" spans="2:37" ht="15" thickTop="1" x14ac:dyDescent="0.3">
      <c r="B36" s="1000"/>
      <c r="C36" s="999"/>
      <c r="E36" s="1010" t="s">
        <v>171</v>
      </c>
      <c r="F36" s="984">
        <v>10</v>
      </c>
      <c r="G36" s="986" t="s">
        <v>176</v>
      </c>
      <c r="H36" s="999">
        <v>24</v>
      </c>
      <c r="J36" s="1000"/>
      <c r="K36" s="999"/>
      <c r="L36" s="985"/>
      <c r="M36" s="1010" t="s">
        <v>153</v>
      </c>
      <c r="N36" s="1001">
        <v>80</v>
      </c>
      <c r="O36" s="986" t="s">
        <v>171</v>
      </c>
      <c r="P36" s="999">
        <v>10</v>
      </c>
      <c r="R36" s="1000"/>
      <c r="S36" s="1001"/>
      <c r="U36" s="999"/>
      <c r="W36" s="1010" t="s">
        <v>194</v>
      </c>
      <c r="X36" s="1001">
        <v>35</v>
      </c>
      <c r="Y36" s="1038" t="s">
        <v>173</v>
      </c>
      <c r="Z36" s="1001">
        <v>-50</v>
      </c>
      <c r="AA36" s="1038" t="s">
        <v>141</v>
      </c>
      <c r="AB36" s="1001">
        <v>100</v>
      </c>
      <c r="AC36" s="999"/>
      <c r="AE36" s="1010" t="s">
        <v>184</v>
      </c>
      <c r="AF36" s="1001">
        <f>-F36</f>
        <v>-10</v>
      </c>
      <c r="AG36" s="1038"/>
      <c r="AH36" s="1001"/>
      <c r="AI36" s="1038"/>
      <c r="AJ36" s="1001"/>
      <c r="AK36" s="999"/>
    </row>
    <row r="37" spans="2:37" x14ac:dyDescent="0.3">
      <c r="B37" s="1034" t="s">
        <v>117</v>
      </c>
      <c r="C37" s="1066" t="s">
        <v>200</v>
      </c>
      <c r="E37" s="1000"/>
      <c r="H37" s="999"/>
      <c r="J37" s="1000" t="s">
        <v>11</v>
      </c>
      <c r="K37" s="999">
        <v>50</v>
      </c>
      <c r="M37" s="1010" t="s">
        <v>177</v>
      </c>
      <c r="N37" s="1001">
        <f>50+7+9</f>
        <v>66</v>
      </c>
      <c r="O37" s="986" t="s">
        <v>190</v>
      </c>
      <c r="P37" s="999">
        <v>15</v>
      </c>
      <c r="R37" s="1010" t="s">
        <v>141</v>
      </c>
      <c r="S37" s="1045">
        <v>100</v>
      </c>
      <c r="T37" s="986" t="s">
        <v>173</v>
      </c>
      <c r="U37" s="1005">
        <v>-50</v>
      </c>
      <c r="W37" s="1010" t="s">
        <v>183</v>
      </c>
      <c r="X37" s="1001">
        <v>-7</v>
      </c>
      <c r="Y37" s="1038"/>
      <c r="Z37" s="1001"/>
      <c r="AA37" s="1038"/>
      <c r="AB37" s="1001"/>
      <c r="AC37" s="999"/>
      <c r="AE37" s="1000" t="s">
        <v>187</v>
      </c>
      <c r="AF37" s="1001">
        <f>H34</f>
        <v>3</v>
      </c>
      <c r="AG37" s="1038"/>
      <c r="AH37" s="1001"/>
      <c r="AI37" s="1038"/>
      <c r="AJ37" s="1001"/>
      <c r="AK37" s="999"/>
    </row>
    <row r="38" spans="2:37" x14ac:dyDescent="0.3">
      <c r="B38" s="1000"/>
      <c r="C38" s="319" t="s">
        <v>201</v>
      </c>
      <c r="E38" s="1000"/>
      <c r="H38" s="999"/>
      <c r="J38" s="1010" t="s">
        <v>202</v>
      </c>
      <c r="K38" s="999">
        <v>-9</v>
      </c>
      <c r="M38" s="1010" t="s">
        <v>180</v>
      </c>
      <c r="N38" s="1001">
        <v>30</v>
      </c>
      <c r="P38" s="999"/>
      <c r="R38" s="1010" t="s">
        <v>194</v>
      </c>
      <c r="S38" s="1045">
        <v>35</v>
      </c>
      <c r="T38" s="986" t="s">
        <v>183</v>
      </c>
      <c r="U38" s="1005">
        <v>-7</v>
      </c>
      <c r="W38" s="1010" t="s">
        <v>203</v>
      </c>
      <c r="X38" s="1001">
        <v>-9</v>
      </c>
      <c r="Y38" s="1038"/>
      <c r="Z38" s="1001"/>
      <c r="AA38" s="1038"/>
      <c r="AB38" s="1001"/>
      <c r="AC38" s="999"/>
      <c r="AE38" s="1000" t="s">
        <v>198</v>
      </c>
      <c r="AF38" s="1001">
        <f>-F35</f>
        <v>-15</v>
      </c>
      <c r="AG38" s="1038"/>
      <c r="AH38" s="1001"/>
      <c r="AI38" s="1038"/>
      <c r="AJ38" s="1001"/>
      <c r="AK38" s="999"/>
    </row>
    <row r="39" spans="2:37" x14ac:dyDescent="0.3">
      <c r="B39" s="1000"/>
      <c r="C39" s="999"/>
      <c r="E39" s="1000"/>
      <c r="G39" s="984" t="s">
        <v>204</v>
      </c>
      <c r="H39" s="999">
        <v>100</v>
      </c>
      <c r="J39" s="1000"/>
      <c r="K39" s="999"/>
      <c r="M39" s="1010" t="s">
        <v>172</v>
      </c>
      <c r="N39" s="1001">
        <v>3</v>
      </c>
      <c r="P39" s="999"/>
      <c r="R39" s="1010"/>
      <c r="S39" s="1045"/>
      <c r="T39" s="986" t="s">
        <v>205</v>
      </c>
      <c r="U39" s="1005">
        <v>-9</v>
      </c>
      <c r="W39" s="1002" t="s">
        <v>146</v>
      </c>
      <c r="X39" s="1003">
        <f>X36</f>
        <v>35</v>
      </c>
      <c r="Y39" s="1004" t="s">
        <v>147</v>
      </c>
      <c r="Z39" s="1003">
        <v>0</v>
      </c>
      <c r="AA39" s="1004" t="s">
        <v>148</v>
      </c>
      <c r="AB39" s="1003">
        <f>AB36</f>
        <v>100</v>
      </c>
      <c r="AC39" s="999"/>
      <c r="AE39" s="1002" t="s">
        <v>149</v>
      </c>
      <c r="AF39" s="1003">
        <f>AF35+AF37</f>
        <v>44</v>
      </c>
      <c r="AG39" s="1004" t="s">
        <v>147</v>
      </c>
      <c r="AH39" s="1003">
        <v>0</v>
      </c>
      <c r="AI39" s="1004" t="s">
        <v>148</v>
      </c>
      <c r="AJ39" s="1003">
        <f>AJ35</f>
        <v>100</v>
      </c>
      <c r="AK39" s="999"/>
    </row>
    <row r="40" spans="2:37" ht="15" thickBot="1" x14ac:dyDescent="0.35">
      <c r="B40" s="1000"/>
      <c r="C40" s="999"/>
      <c r="E40" s="1006" t="s">
        <v>175</v>
      </c>
      <c r="F40" s="1007">
        <v>80</v>
      </c>
      <c r="G40" s="1007" t="s">
        <v>56</v>
      </c>
      <c r="H40" s="317">
        <f>K41</f>
        <v>41</v>
      </c>
      <c r="J40" s="1006"/>
      <c r="K40" s="1009"/>
      <c r="M40" s="1011" t="s">
        <v>199</v>
      </c>
      <c r="N40" s="1012">
        <f>K41</f>
        <v>41</v>
      </c>
      <c r="O40" s="1007" t="s">
        <v>175</v>
      </c>
      <c r="P40" s="1009">
        <v>80</v>
      </c>
      <c r="R40" s="1006"/>
      <c r="S40" s="1012"/>
      <c r="T40" s="1007"/>
      <c r="U40" s="1009"/>
      <c r="W40" s="1013" t="s">
        <v>155</v>
      </c>
      <c r="X40" s="1014">
        <f>X37+X38</f>
        <v>-16</v>
      </c>
      <c r="Y40" s="1015" t="s">
        <v>156</v>
      </c>
      <c r="Z40" s="1014">
        <f>Z36</f>
        <v>-50</v>
      </c>
      <c r="AA40" s="1015" t="s">
        <v>157</v>
      </c>
      <c r="AB40" s="1014">
        <v>0</v>
      </c>
      <c r="AC40" s="999"/>
      <c r="AE40" s="1013" t="s">
        <v>158</v>
      </c>
      <c r="AF40" s="1014">
        <f>AF36+AF38</f>
        <v>-25</v>
      </c>
      <c r="AG40" s="1015" t="s">
        <v>156</v>
      </c>
      <c r="AH40" s="1014">
        <f>AH35</f>
        <v>-50</v>
      </c>
      <c r="AI40" s="1015" t="s">
        <v>157</v>
      </c>
      <c r="AJ40" s="1014">
        <v>0</v>
      </c>
      <c r="AK40" s="999"/>
    </row>
    <row r="41" spans="2:37" ht="15" thickBot="1" x14ac:dyDescent="0.35">
      <c r="B41" s="1019"/>
      <c r="C41" s="1020"/>
      <c r="E41" s="1016" t="s">
        <v>61</v>
      </c>
      <c r="F41" s="1017">
        <f>SUM(F34:F40)</f>
        <v>174</v>
      </c>
      <c r="G41" s="1017" t="s">
        <v>160</v>
      </c>
      <c r="H41" s="1018">
        <f>SUM(H34:H40)</f>
        <v>174</v>
      </c>
      <c r="I41" s="985"/>
      <c r="J41" s="1016" t="s">
        <v>56</v>
      </c>
      <c r="K41" s="1018">
        <f>K37+K38</f>
        <v>41</v>
      </c>
      <c r="M41" s="1016" t="s">
        <v>161</v>
      </c>
      <c r="N41" s="1021">
        <f>SUM(N34:N40)</f>
        <v>240</v>
      </c>
      <c r="O41" s="1017" t="s">
        <v>162</v>
      </c>
      <c r="P41" s="1018">
        <f>SUM(P34:P40)</f>
        <v>240</v>
      </c>
      <c r="R41" s="1016" t="s">
        <v>163</v>
      </c>
      <c r="S41" s="1021">
        <f>SUM(S34:S40)</f>
        <v>135</v>
      </c>
      <c r="T41" s="1017" t="s">
        <v>164</v>
      </c>
      <c r="U41" s="1018">
        <f>SUM(U34:U40)</f>
        <v>-66</v>
      </c>
      <c r="W41" s="1022" t="s">
        <v>165</v>
      </c>
      <c r="X41" s="1022">
        <f>X36+X37+X38</f>
        <v>19</v>
      </c>
      <c r="Y41" s="1022" t="s">
        <v>166</v>
      </c>
      <c r="Z41" s="1022">
        <f>SUM(Z39:Z40)</f>
        <v>-50</v>
      </c>
      <c r="AA41" s="1022" t="s">
        <v>167</v>
      </c>
      <c r="AB41" s="1022">
        <f>SUM(AB39:AB40)</f>
        <v>100</v>
      </c>
      <c r="AC41" s="1022">
        <f>X41+Z41+AB41</f>
        <v>69</v>
      </c>
      <c r="AE41" s="1022" t="s">
        <v>165</v>
      </c>
      <c r="AF41" s="1022">
        <f>AF35+AF36+AF37+AF38</f>
        <v>19</v>
      </c>
      <c r="AG41" s="1022" t="s">
        <v>166</v>
      </c>
      <c r="AH41" s="1022">
        <f>SUM(AH39:AH40)</f>
        <v>-50</v>
      </c>
      <c r="AI41" s="1022" t="s">
        <v>167</v>
      </c>
      <c r="AJ41" s="1022">
        <f>SUM(AJ39:AJ40)</f>
        <v>100</v>
      </c>
      <c r="AK41" s="1022">
        <f>AF41+AH41+AJ41</f>
        <v>69</v>
      </c>
    </row>
    <row r="42" spans="2:37" x14ac:dyDescent="0.3">
      <c r="B42" s="1023"/>
      <c r="C42" s="1024"/>
      <c r="E42" s="1023" t="s">
        <v>144</v>
      </c>
      <c r="F42" s="1025">
        <f>43+35-9</f>
        <v>69</v>
      </c>
      <c r="G42" s="1031" t="s">
        <v>172</v>
      </c>
      <c r="H42" s="1030">
        <v>3</v>
      </c>
      <c r="I42" s="985"/>
      <c r="J42" s="1042"/>
      <c r="K42" s="1043"/>
      <c r="L42" s="985"/>
      <c r="M42" s="1023" t="s">
        <v>44</v>
      </c>
      <c r="N42" s="997">
        <v>20</v>
      </c>
      <c r="O42" s="1025" t="s">
        <v>144</v>
      </c>
      <c r="P42" s="1024">
        <f>100+35</f>
        <v>135</v>
      </c>
      <c r="R42" s="1023"/>
      <c r="S42" s="997"/>
      <c r="T42" s="1025"/>
      <c r="U42" s="1024"/>
      <c r="W42" s="1023"/>
      <c r="X42" s="997"/>
      <c r="Y42" s="996"/>
      <c r="Z42" s="997"/>
      <c r="AA42" s="996"/>
      <c r="AB42" s="997"/>
      <c r="AC42" s="1024"/>
      <c r="AE42" s="1036" t="s">
        <v>74</v>
      </c>
      <c r="AF42" s="1037">
        <f>K49</f>
        <v>33</v>
      </c>
      <c r="AG42" s="996"/>
      <c r="AH42" s="997"/>
      <c r="AI42" s="996"/>
      <c r="AJ42" s="997"/>
      <c r="AK42" s="1024"/>
    </row>
    <row r="43" spans="2:37" ht="15" thickBot="1" x14ac:dyDescent="0.35">
      <c r="B43" s="1000"/>
      <c r="C43" s="999"/>
      <c r="E43" s="1000" t="s">
        <v>190</v>
      </c>
      <c r="F43" s="984">
        <v>15</v>
      </c>
      <c r="G43" s="984" t="s">
        <v>168</v>
      </c>
      <c r="H43" s="999">
        <v>6</v>
      </c>
      <c r="I43" s="985"/>
      <c r="J43" s="1034"/>
      <c r="K43" s="1044"/>
      <c r="L43" s="985"/>
      <c r="M43" s="1010" t="s">
        <v>153</v>
      </c>
      <c r="N43" s="1001">
        <v>80</v>
      </c>
      <c r="O43" s="986" t="s">
        <v>171</v>
      </c>
      <c r="P43" s="999">
        <v>10</v>
      </c>
      <c r="R43" s="1000" t="s">
        <v>141</v>
      </c>
      <c r="S43" s="1001">
        <v>100</v>
      </c>
      <c r="T43" s="984" t="s">
        <v>173</v>
      </c>
      <c r="U43" s="999">
        <v>-50</v>
      </c>
      <c r="W43" s="1010" t="s">
        <v>194</v>
      </c>
      <c r="X43" s="1001">
        <v>35</v>
      </c>
      <c r="Y43" s="1038" t="s">
        <v>173</v>
      </c>
      <c r="Z43" s="1001">
        <v>-50</v>
      </c>
      <c r="AA43" s="1038" t="s">
        <v>141</v>
      </c>
      <c r="AB43" s="1001">
        <v>100</v>
      </c>
      <c r="AC43" s="999"/>
      <c r="AE43" s="1000" t="s">
        <v>192</v>
      </c>
      <c r="AF43" s="1039">
        <f>AF42</f>
        <v>33</v>
      </c>
      <c r="AG43" s="1038" t="s">
        <v>173</v>
      </c>
      <c r="AH43" s="1001">
        <v>-50</v>
      </c>
      <c r="AI43" s="1038" t="s">
        <v>141</v>
      </c>
      <c r="AJ43" s="1001">
        <v>100</v>
      </c>
      <c r="AK43" s="999"/>
    </row>
    <row r="44" spans="2:37" ht="15" thickTop="1" x14ac:dyDescent="0.3">
      <c r="B44" s="1000"/>
      <c r="C44" s="999"/>
      <c r="E44" s="1010" t="s">
        <v>171</v>
      </c>
      <c r="F44" s="316">
        <f>F36-8</f>
        <v>2</v>
      </c>
      <c r="G44" s="986" t="s">
        <v>176</v>
      </c>
      <c r="H44" s="999">
        <v>24</v>
      </c>
      <c r="J44" s="1000" t="s">
        <v>11</v>
      </c>
      <c r="K44" s="999">
        <v>50</v>
      </c>
      <c r="L44" s="985"/>
      <c r="M44" s="1010" t="s">
        <v>177</v>
      </c>
      <c r="N44" s="1001">
        <f>50+7+9</f>
        <v>66</v>
      </c>
      <c r="O44" s="986" t="s">
        <v>190</v>
      </c>
      <c r="P44" s="999">
        <v>15</v>
      </c>
      <c r="R44" s="1010" t="s">
        <v>194</v>
      </c>
      <c r="S44" s="1001">
        <v>35</v>
      </c>
      <c r="T44" s="986" t="s">
        <v>183</v>
      </c>
      <c r="U44" s="999">
        <v>-7</v>
      </c>
      <c r="W44" s="1010" t="s">
        <v>183</v>
      </c>
      <c r="X44" s="1001">
        <v>-7</v>
      </c>
      <c r="Y44" s="1038"/>
      <c r="Z44" s="1001"/>
      <c r="AA44" s="1038"/>
      <c r="AB44" s="1001"/>
      <c r="AC44" s="999"/>
      <c r="AE44" s="1010" t="s">
        <v>184</v>
      </c>
      <c r="AF44" s="1001">
        <f>-F44</f>
        <v>-2</v>
      </c>
      <c r="AG44" s="1038"/>
      <c r="AH44" s="1001"/>
      <c r="AI44" s="1038"/>
      <c r="AJ44" s="1001"/>
      <c r="AK44" s="999"/>
    </row>
    <row r="45" spans="2:37" x14ac:dyDescent="0.3">
      <c r="B45" s="1034" t="s">
        <v>119</v>
      </c>
      <c r="C45" s="1066" t="s">
        <v>206</v>
      </c>
      <c r="E45" s="1000"/>
      <c r="H45" s="999"/>
      <c r="J45" s="1010" t="s">
        <v>202</v>
      </c>
      <c r="K45" s="999">
        <v>-9</v>
      </c>
      <c r="M45" s="1010" t="s">
        <v>180</v>
      </c>
      <c r="N45" s="1001">
        <v>30</v>
      </c>
      <c r="P45" s="999"/>
      <c r="R45" s="1000"/>
      <c r="S45" s="1001"/>
      <c r="T45" s="986" t="s">
        <v>205</v>
      </c>
      <c r="U45" s="999">
        <v>-9</v>
      </c>
      <c r="W45" s="1010" t="s">
        <v>203</v>
      </c>
      <c r="X45" s="1001">
        <v>-9</v>
      </c>
      <c r="Y45" s="1038"/>
      <c r="Z45" s="1001"/>
      <c r="AA45" s="1038"/>
      <c r="AB45" s="1001"/>
      <c r="AC45" s="999"/>
      <c r="AE45" s="1000" t="s">
        <v>187</v>
      </c>
      <c r="AF45" s="1001">
        <f>H42</f>
        <v>3</v>
      </c>
      <c r="AG45" s="1038"/>
      <c r="AH45" s="1001"/>
      <c r="AI45" s="1038"/>
      <c r="AJ45" s="1001"/>
      <c r="AK45" s="999"/>
    </row>
    <row r="46" spans="2:37" x14ac:dyDescent="0.3">
      <c r="B46" s="1000"/>
      <c r="C46" s="319" t="s">
        <v>207</v>
      </c>
      <c r="E46" s="1000"/>
      <c r="H46" s="999"/>
      <c r="J46" s="1010" t="s">
        <v>208</v>
      </c>
      <c r="K46" s="999">
        <v>-8</v>
      </c>
      <c r="M46" s="1010" t="s">
        <v>172</v>
      </c>
      <c r="N46" s="1001">
        <v>3</v>
      </c>
      <c r="P46" s="999"/>
      <c r="R46" s="1000"/>
      <c r="S46" s="1001"/>
      <c r="U46" s="999"/>
      <c r="W46" s="1000"/>
      <c r="X46" s="1001"/>
      <c r="Y46" s="1038"/>
      <c r="Z46" s="1001"/>
      <c r="AA46" s="1038"/>
      <c r="AB46" s="1001"/>
      <c r="AC46" s="999"/>
      <c r="AE46" s="1000" t="s">
        <v>198</v>
      </c>
      <c r="AF46" s="1001">
        <f>-F43</f>
        <v>-15</v>
      </c>
      <c r="AG46" s="1038"/>
      <c r="AH46" s="1001"/>
      <c r="AI46" s="1038"/>
      <c r="AJ46" s="1001"/>
      <c r="AK46" s="999"/>
    </row>
    <row r="47" spans="2:37" x14ac:dyDescent="0.3">
      <c r="B47" s="1000"/>
      <c r="C47" s="999"/>
      <c r="E47" s="1000"/>
      <c r="G47" s="984" t="s">
        <v>145</v>
      </c>
      <c r="H47" s="999">
        <v>100</v>
      </c>
      <c r="J47" s="1000"/>
      <c r="K47" s="999"/>
      <c r="M47" s="1010" t="s">
        <v>171</v>
      </c>
      <c r="N47" s="1001">
        <v>8</v>
      </c>
      <c r="O47" s="984" t="s">
        <v>175</v>
      </c>
      <c r="P47" s="999">
        <v>80</v>
      </c>
      <c r="R47" s="1010"/>
      <c r="S47" s="1045"/>
      <c r="T47" s="986"/>
      <c r="U47" s="1005"/>
      <c r="W47" s="1002" t="s">
        <v>146</v>
      </c>
      <c r="X47" s="1003">
        <f>X43</f>
        <v>35</v>
      </c>
      <c r="Y47" s="1004" t="s">
        <v>147</v>
      </c>
      <c r="Z47" s="1003">
        <v>0</v>
      </c>
      <c r="AA47" s="1004" t="s">
        <v>148</v>
      </c>
      <c r="AB47" s="1003">
        <f>AB43</f>
        <v>100</v>
      </c>
      <c r="AC47" s="999"/>
      <c r="AE47" s="1002" t="s">
        <v>149</v>
      </c>
      <c r="AF47" s="1003">
        <f>AF43+AF45</f>
        <v>36</v>
      </c>
      <c r="AG47" s="1004" t="s">
        <v>147</v>
      </c>
      <c r="AH47" s="1003">
        <v>0</v>
      </c>
      <c r="AI47" s="1004" t="s">
        <v>148</v>
      </c>
      <c r="AJ47" s="1003">
        <f>AJ43</f>
        <v>100</v>
      </c>
      <c r="AK47" s="999"/>
    </row>
    <row r="48" spans="2:37" ht="15" thickBot="1" x14ac:dyDescent="0.35">
      <c r="B48" s="1000"/>
      <c r="C48" s="999"/>
      <c r="E48" s="1006" t="s">
        <v>175</v>
      </c>
      <c r="F48" s="1007">
        <v>80</v>
      </c>
      <c r="G48" s="1007" t="s">
        <v>56</v>
      </c>
      <c r="H48" s="317">
        <f>K49</f>
        <v>33</v>
      </c>
      <c r="J48" s="1006"/>
      <c r="K48" s="1009"/>
      <c r="M48" s="1011" t="s">
        <v>199</v>
      </c>
      <c r="N48" s="1012">
        <f>K49</f>
        <v>33</v>
      </c>
      <c r="O48" s="1008"/>
      <c r="P48" s="1046"/>
      <c r="R48" s="1006"/>
      <c r="S48" s="1012"/>
      <c r="T48" s="1007"/>
      <c r="U48" s="1009"/>
      <c r="W48" s="1013" t="s">
        <v>155</v>
      </c>
      <c r="X48" s="1015">
        <f>X44+X45</f>
        <v>-16</v>
      </c>
      <c r="Y48" s="1015" t="s">
        <v>156</v>
      </c>
      <c r="Z48" s="1014">
        <f>Z43</f>
        <v>-50</v>
      </c>
      <c r="AA48" s="1015" t="s">
        <v>157</v>
      </c>
      <c r="AB48" s="1014">
        <v>0</v>
      </c>
      <c r="AC48" s="1005"/>
      <c r="AE48" s="1013" t="s">
        <v>158</v>
      </c>
      <c r="AF48" s="1014">
        <f>AF44+AF46</f>
        <v>-17</v>
      </c>
      <c r="AG48" s="1015" t="s">
        <v>156</v>
      </c>
      <c r="AH48" s="1014">
        <f>AH43</f>
        <v>-50</v>
      </c>
      <c r="AI48" s="1015" t="s">
        <v>157</v>
      </c>
      <c r="AJ48" s="1014">
        <v>0</v>
      </c>
      <c r="AK48" s="999"/>
    </row>
    <row r="49" spans="2:37" ht="15" thickBot="1" x14ac:dyDescent="0.35">
      <c r="B49" s="1019"/>
      <c r="C49" s="1020"/>
      <c r="E49" s="1016" t="s">
        <v>61</v>
      </c>
      <c r="F49" s="1017">
        <f>SUM(F42:F48)</f>
        <v>166</v>
      </c>
      <c r="G49" s="1017" t="s">
        <v>160</v>
      </c>
      <c r="H49" s="1018">
        <f>SUM(H42:H48)</f>
        <v>166</v>
      </c>
      <c r="I49" s="985"/>
      <c r="J49" s="1016" t="s">
        <v>56</v>
      </c>
      <c r="K49" s="1018">
        <f>SUM(K44:K48)</f>
        <v>33</v>
      </c>
      <c r="M49" s="1016" t="s">
        <v>161</v>
      </c>
      <c r="N49" s="1021">
        <f>SUM(N42:N48)</f>
        <v>240</v>
      </c>
      <c r="O49" s="1017" t="s">
        <v>162</v>
      </c>
      <c r="P49" s="1018">
        <f>SUM(P42:P48)</f>
        <v>240</v>
      </c>
      <c r="R49" s="1016" t="s">
        <v>163</v>
      </c>
      <c r="S49" s="1021">
        <f>SUM(S42:S48)</f>
        <v>135</v>
      </c>
      <c r="T49" s="1017" t="s">
        <v>164</v>
      </c>
      <c r="U49" s="1018">
        <f>SUM(U42:U48)</f>
        <v>-66</v>
      </c>
      <c r="W49" s="1022" t="s">
        <v>165</v>
      </c>
      <c r="X49" s="1022">
        <f>SUM(X47:X48)</f>
        <v>19</v>
      </c>
      <c r="Y49" s="1022" t="s">
        <v>166</v>
      </c>
      <c r="Z49" s="1022">
        <f>SUM(Z47:Z48)</f>
        <v>-50</v>
      </c>
      <c r="AA49" s="1022" t="s">
        <v>167</v>
      </c>
      <c r="AB49" s="1022">
        <f>SUM(AB47:AB48)</f>
        <v>100</v>
      </c>
      <c r="AC49" s="1022">
        <f>X49+Z49+AB49</f>
        <v>69</v>
      </c>
      <c r="AE49" s="1022" t="s">
        <v>165</v>
      </c>
      <c r="AF49" s="1022">
        <f>AF43+AF44+AF45+AF46</f>
        <v>19</v>
      </c>
      <c r="AG49" s="1022" t="s">
        <v>166</v>
      </c>
      <c r="AH49" s="1022">
        <f>SUM(AH47:AH48)</f>
        <v>-50</v>
      </c>
      <c r="AI49" s="1022" t="s">
        <v>167</v>
      </c>
      <c r="AJ49" s="1022">
        <f>SUM(AJ47:AJ48)</f>
        <v>100</v>
      </c>
      <c r="AK49" s="1022">
        <f>AF49+AH49+AJ49</f>
        <v>69</v>
      </c>
    </row>
    <row r="50" spans="2:37" x14ac:dyDescent="0.3">
      <c r="B50" s="1023"/>
      <c r="C50" s="1024"/>
      <c r="E50" s="1023" t="s">
        <v>144</v>
      </c>
      <c r="F50" s="1025">
        <f>43+35-9</f>
        <v>69</v>
      </c>
      <c r="G50" s="1031" t="s">
        <v>172</v>
      </c>
      <c r="H50" s="1030">
        <v>3</v>
      </c>
      <c r="J50" s="1023"/>
      <c r="K50" s="1024"/>
      <c r="L50" s="985"/>
      <c r="M50" s="1023" t="s">
        <v>44</v>
      </c>
      <c r="N50" s="997">
        <v>20</v>
      </c>
      <c r="O50" s="1025" t="s">
        <v>144</v>
      </c>
      <c r="P50" s="1024">
        <f>100+35</f>
        <v>135</v>
      </c>
      <c r="R50" s="1023"/>
      <c r="S50" s="997"/>
      <c r="T50" s="1025"/>
      <c r="U50" s="1024"/>
      <c r="W50" s="1023"/>
      <c r="X50" s="997"/>
      <c r="Y50" s="996"/>
      <c r="Z50" s="997"/>
      <c r="AA50" s="996"/>
      <c r="AB50" s="997"/>
      <c r="AC50" s="1024"/>
      <c r="AE50" s="1023" t="s">
        <v>74</v>
      </c>
      <c r="AF50" s="997">
        <f>K58</f>
        <v>26</v>
      </c>
      <c r="AG50" s="1025"/>
      <c r="AH50" s="997"/>
      <c r="AI50" s="996"/>
      <c r="AJ50" s="997"/>
      <c r="AK50" s="1024"/>
    </row>
    <row r="51" spans="2:37" x14ac:dyDescent="0.3">
      <c r="B51" s="1000"/>
      <c r="C51" s="999"/>
      <c r="E51" s="1000"/>
      <c r="G51" s="986"/>
      <c r="H51" s="1005"/>
      <c r="J51" s="1000"/>
      <c r="K51" s="999"/>
      <c r="L51" s="985"/>
      <c r="M51" s="1010" t="s">
        <v>153</v>
      </c>
      <c r="N51" s="1001">
        <v>80</v>
      </c>
      <c r="O51" s="986" t="s">
        <v>171</v>
      </c>
      <c r="P51" s="999">
        <v>10</v>
      </c>
      <c r="R51" s="1000"/>
      <c r="S51" s="1001"/>
      <c r="U51" s="999"/>
      <c r="W51" s="1000"/>
      <c r="X51" s="1001"/>
      <c r="Y51" s="1038"/>
      <c r="Z51" s="1001"/>
      <c r="AA51" s="1038"/>
      <c r="AB51" s="1001"/>
      <c r="AC51" s="999"/>
      <c r="AE51" s="1047" t="s">
        <v>209</v>
      </c>
      <c r="AF51" s="1001">
        <f>-K56</f>
        <v>7</v>
      </c>
      <c r="AH51" s="1001"/>
      <c r="AI51" s="1038"/>
      <c r="AJ51" s="1001"/>
      <c r="AK51" s="999"/>
    </row>
    <row r="52" spans="2:37" ht="15" thickBot="1" x14ac:dyDescent="0.35">
      <c r="B52" s="1000"/>
      <c r="C52" s="999"/>
      <c r="E52" s="1000" t="s">
        <v>190</v>
      </c>
      <c r="F52" s="984">
        <v>15</v>
      </c>
      <c r="G52" s="984" t="s">
        <v>168</v>
      </c>
      <c r="H52" s="999">
        <v>6</v>
      </c>
      <c r="J52" s="1000"/>
      <c r="K52" s="999"/>
      <c r="M52" s="1000"/>
      <c r="O52" s="986" t="s">
        <v>190</v>
      </c>
      <c r="P52" s="999">
        <v>15</v>
      </c>
      <c r="R52" s="1000" t="s">
        <v>141</v>
      </c>
      <c r="S52" s="1001">
        <v>100</v>
      </c>
      <c r="T52" s="984" t="s">
        <v>173</v>
      </c>
      <c r="U52" s="999">
        <v>-50</v>
      </c>
      <c r="W52" s="1010" t="s">
        <v>194</v>
      </c>
      <c r="X52" s="1001">
        <v>35</v>
      </c>
      <c r="Y52" s="1038" t="s">
        <v>173</v>
      </c>
      <c r="Z52" s="1001">
        <v>-50</v>
      </c>
      <c r="AA52" s="1038" t="s">
        <v>141</v>
      </c>
      <c r="AB52" s="1001">
        <v>100</v>
      </c>
      <c r="AC52" s="999"/>
      <c r="AE52" s="1032" t="s">
        <v>192</v>
      </c>
      <c r="AF52" s="1048">
        <f>SUM(AF50:AF51)</f>
        <v>33</v>
      </c>
      <c r="AG52" s="984" t="s">
        <v>173</v>
      </c>
      <c r="AH52" s="1001">
        <v>-50</v>
      </c>
      <c r="AI52" s="1038" t="s">
        <v>141</v>
      </c>
      <c r="AJ52" s="1001">
        <v>100</v>
      </c>
      <c r="AK52" s="999"/>
    </row>
    <row r="53" spans="2:37" ht="15" thickTop="1" x14ac:dyDescent="0.3">
      <c r="B53" s="1000"/>
      <c r="C53" s="999"/>
      <c r="E53" s="1010" t="s">
        <v>171</v>
      </c>
      <c r="F53" s="984">
        <f>10-8</f>
        <v>2</v>
      </c>
      <c r="G53" s="986" t="s">
        <v>176</v>
      </c>
      <c r="H53" s="999">
        <v>24</v>
      </c>
      <c r="J53" s="1000" t="s">
        <v>11</v>
      </c>
      <c r="K53" s="999">
        <v>50</v>
      </c>
      <c r="M53" s="1010" t="s">
        <v>177</v>
      </c>
      <c r="N53" s="1001">
        <f>50+7+9</f>
        <v>66</v>
      </c>
      <c r="P53" s="999"/>
      <c r="R53" s="1010" t="s">
        <v>194</v>
      </c>
      <c r="S53" s="1001">
        <v>35</v>
      </c>
      <c r="T53" s="986" t="s">
        <v>183</v>
      </c>
      <c r="U53" s="999">
        <v>-7</v>
      </c>
      <c r="W53" s="1010" t="s">
        <v>183</v>
      </c>
      <c r="X53" s="1001">
        <v>-7</v>
      </c>
      <c r="Y53" s="1038"/>
      <c r="Z53" s="1001"/>
      <c r="AA53" s="1038"/>
      <c r="AB53" s="1001"/>
      <c r="AC53" s="999"/>
      <c r="AE53" s="1010" t="s">
        <v>184</v>
      </c>
      <c r="AF53" s="1001">
        <f>-F53</f>
        <v>-2</v>
      </c>
      <c r="AH53" s="1001"/>
      <c r="AI53" s="1038"/>
      <c r="AJ53" s="1001"/>
      <c r="AK53" s="999"/>
    </row>
    <row r="54" spans="2:37" x14ac:dyDescent="0.3">
      <c r="B54" s="1034" t="s">
        <v>121</v>
      </c>
      <c r="C54" s="1066" t="s">
        <v>210</v>
      </c>
      <c r="E54" s="1000"/>
      <c r="H54" s="999"/>
      <c r="J54" s="1010" t="s">
        <v>202</v>
      </c>
      <c r="K54" s="999">
        <v>-9</v>
      </c>
      <c r="M54" s="1010" t="s">
        <v>180</v>
      </c>
      <c r="N54" s="1001">
        <v>30</v>
      </c>
      <c r="P54" s="999"/>
      <c r="R54" s="1000"/>
      <c r="S54" s="1001"/>
      <c r="T54" s="986" t="s">
        <v>205</v>
      </c>
      <c r="U54" s="999">
        <v>-9</v>
      </c>
      <c r="W54" s="1010" t="s">
        <v>203</v>
      </c>
      <c r="X54" s="1001">
        <v>-9</v>
      </c>
      <c r="Y54" s="1038"/>
      <c r="Z54" s="1001"/>
      <c r="AA54" s="1038"/>
      <c r="AB54" s="1001"/>
      <c r="AC54" s="1005"/>
      <c r="AE54" s="1000" t="s">
        <v>187</v>
      </c>
      <c r="AF54" s="1001">
        <f>H50</f>
        <v>3</v>
      </c>
      <c r="AH54" s="1001"/>
      <c r="AI54" s="1038"/>
      <c r="AJ54" s="1001"/>
      <c r="AK54" s="999"/>
    </row>
    <row r="55" spans="2:37" x14ac:dyDescent="0.3">
      <c r="B55" s="1000"/>
      <c r="C55" s="319" t="s">
        <v>211</v>
      </c>
      <c r="E55" s="1000" t="s">
        <v>175</v>
      </c>
      <c r="F55" s="984">
        <v>80</v>
      </c>
      <c r="G55" s="984" t="s">
        <v>212</v>
      </c>
      <c r="H55" s="999">
        <v>100</v>
      </c>
      <c r="J55" s="1010" t="s">
        <v>208</v>
      </c>
      <c r="K55" s="999">
        <v>-8</v>
      </c>
      <c r="M55" s="1010" t="s">
        <v>172</v>
      </c>
      <c r="N55" s="1001">
        <v>3</v>
      </c>
      <c r="P55" s="999"/>
      <c r="R55" s="1000"/>
      <c r="S55" s="1001"/>
      <c r="U55" s="999"/>
      <c r="W55" s="1000"/>
      <c r="X55" s="1001"/>
      <c r="Y55" s="1038"/>
      <c r="Z55" s="1001"/>
      <c r="AA55" s="1038"/>
      <c r="AB55" s="1001"/>
      <c r="AC55" s="999"/>
      <c r="AE55" s="1000" t="s">
        <v>198</v>
      </c>
      <c r="AF55" s="1001">
        <f>-F52</f>
        <v>-15</v>
      </c>
      <c r="AH55" s="1001"/>
      <c r="AI55" s="1038"/>
      <c r="AJ55" s="1001"/>
      <c r="AK55" s="999"/>
    </row>
    <row r="56" spans="2:37" x14ac:dyDescent="0.3">
      <c r="B56" s="1000"/>
      <c r="C56" s="999"/>
      <c r="E56" s="1010" t="s">
        <v>45</v>
      </c>
      <c r="F56" s="53">
        <f>K56</f>
        <v>-7</v>
      </c>
      <c r="G56" s="984" t="s">
        <v>56</v>
      </c>
      <c r="H56" s="315">
        <f>K58</f>
        <v>26</v>
      </c>
      <c r="I56" s="985"/>
      <c r="J56" s="1010" t="s">
        <v>213</v>
      </c>
      <c r="K56" s="999">
        <v>-7</v>
      </c>
      <c r="M56" s="1010" t="s">
        <v>171</v>
      </c>
      <c r="N56" s="1001">
        <v>8</v>
      </c>
      <c r="O56" s="984" t="s">
        <v>175</v>
      </c>
      <c r="P56" s="999">
        <v>80</v>
      </c>
      <c r="R56" s="1010"/>
      <c r="S56" s="1045"/>
      <c r="T56" s="986"/>
      <c r="U56" s="1005"/>
      <c r="W56" s="1002" t="s">
        <v>146</v>
      </c>
      <c r="X56" s="1003">
        <f>X52</f>
        <v>35</v>
      </c>
      <c r="Y56" s="1004" t="s">
        <v>147</v>
      </c>
      <c r="Z56" s="1003">
        <v>0</v>
      </c>
      <c r="AA56" s="1004" t="s">
        <v>148</v>
      </c>
      <c r="AB56" s="1003">
        <f>AB52</f>
        <v>100</v>
      </c>
      <c r="AC56" s="999"/>
      <c r="AE56" s="1002" t="s">
        <v>149</v>
      </c>
      <c r="AF56" s="1003">
        <f>AF50+AF51+AF54</f>
        <v>36</v>
      </c>
      <c r="AG56" s="1049" t="s">
        <v>147</v>
      </c>
      <c r="AH56" s="1003">
        <v>0</v>
      </c>
      <c r="AI56" s="1004" t="s">
        <v>148</v>
      </c>
      <c r="AJ56" s="1003">
        <f>AJ52</f>
        <v>100</v>
      </c>
      <c r="AK56" s="999"/>
    </row>
    <row r="57" spans="2:37" ht="15" thickBot="1" x14ac:dyDescent="0.35">
      <c r="B57" s="1000"/>
      <c r="C57" s="999"/>
      <c r="E57" s="1006"/>
      <c r="F57" s="1007"/>
      <c r="G57" s="1007"/>
      <c r="H57" s="1009"/>
      <c r="J57" s="1006"/>
      <c r="K57" s="1009"/>
      <c r="L57" s="985"/>
      <c r="M57" s="1011" t="s">
        <v>199</v>
      </c>
      <c r="N57" s="1012">
        <f>K58+7</f>
        <v>33</v>
      </c>
      <c r="O57" s="1008"/>
      <c r="P57" s="1046"/>
      <c r="R57" s="1006"/>
      <c r="S57" s="1012"/>
      <c r="T57" s="1007"/>
      <c r="U57" s="1009"/>
      <c r="W57" s="1013" t="s">
        <v>155</v>
      </c>
      <c r="X57" s="1015">
        <f>X53+X54</f>
        <v>-16</v>
      </c>
      <c r="Y57" s="1015" t="s">
        <v>156</v>
      </c>
      <c r="Z57" s="1014">
        <f>Z52</f>
        <v>-50</v>
      </c>
      <c r="AA57" s="1015" t="s">
        <v>157</v>
      </c>
      <c r="AB57" s="1014">
        <v>0</v>
      </c>
      <c r="AC57" s="999"/>
      <c r="AE57" s="1013" t="s">
        <v>158</v>
      </c>
      <c r="AF57" s="1014">
        <f>AF53+AF55</f>
        <v>-17</v>
      </c>
      <c r="AG57" s="1050" t="s">
        <v>156</v>
      </c>
      <c r="AH57" s="1014">
        <f>AH52</f>
        <v>-50</v>
      </c>
      <c r="AI57" s="1015" t="s">
        <v>157</v>
      </c>
      <c r="AJ57" s="1014">
        <v>0</v>
      </c>
      <c r="AK57" s="999"/>
    </row>
    <row r="58" spans="2:37" ht="15" thickBot="1" x14ac:dyDescent="0.35">
      <c r="B58" s="1019"/>
      <c r="C58" s="1020"/>
      <c r="E58" s="1016" t="s">
        <v>61</v>
      </c>
      <c r="F58" s="1017">
        <f>SUM(F50:F57)</f>
        <v>159</v>
      </c>
      <c r="G58" s="1017" t="s">
        <v>160</v>
      </c>
      <c r="H58" s="1018">
        <f>SUM(H50:H57)</f>
        <v>159</v>
      </c>
      <c r="J58" s="1016" t="s">
        <v>56</v>
      </c>
      <c r="K58" s="1018">
        <f>SUM(K53:K57)</f>
        <v>26</v>
      </c>
      <c r="M58" s="1016" t="s">
        <v>161</v>
      </c>
      <c r="N58" s="1021">
        <f>SUM(N50:N57)</f>
        <v>240</v>
      </c>
      <c r="O58" s="1017" t="s">
        <v>162</v>
      </c>
      <c r="P58" s="1018">
        <f>SUM(P50:P57)</f>
        <v>240</v>
      </c>
      <c r="R58" s="1016" t="s">
        <v>163</v>
      </c>
      <c r="S58" s="1021">
        <f>SUM(S50:S57)</f>
        <v>135</v>
      </c>
      <c r="T58" s="1017" t="s">
        <v>164</v>
      </c>
      <c r="U58" s="1018">
        <f>SUM(U50:U57)</f>
        <v>-66</v>
      </c>
      <c r="W58" s="1022" t="s">
        <v>165</v>
      </c>
      <c r="X58" s="1022">
        <f>SUM(X56:X57)</f>
        <v>19</v>
      </c>
      <c r="Y58" s="1022" t="s">
        <v>166</v>
      </c>
      <c r="Z58" s="1022">
        <f>SUM(Z56:Z57)</f>
        <v>-50</v>
      </c>
      <c r="AA58" s="1022" t="s">
        <v>167</v>
      </c>
      <c r="AB58" s="1022">
        <f>SUM(AB56:AB57)</f>
        <v>100</v>
      </c>
      <c r="AC58" s="1022">
        <f>X58+Z58+AB58</f>
        <v>69</v>
      </c>
      <c r="AE58" s="1022" t="s">
        <v>165</v>
      </c>
      <c r="AF58" s="1022">
        <f>AF52+AF53+AF54+AF55</f>
        <v>19</v>
      </c>
      <c r="AG58" s="1022" t="s">
        <v>166</v>
      </c>
      <c r="AH58" s="1022">
        <f>SUM(AH56:AH57)</f>
        <v>-50</v>
      </c>
      <c r="AI58" s="1022" t="s">
        <v>167</v>
      </c>
      <c r="AJ58" s="1022">
        <f>SUM(AJ56:AJ57)</f>
        <v>100</v>
      </c>
      <c r="AK58" s="1022">
        <f>AF58+AH58+AJ58</f>
        <v>69</v>
      </c>
    </row>
    <row r="59" spans="2:37" x14ac:dyDescent="0.3">
      <c r="B59" s="1023"/>
      <c r="C59" s="1024"/>
      <c r="E59" s="1023" t="s">
        <v>144</v>
      </c>
      <c r="F59" s="314">
        <f>F50+14</f>
        <v>83</v>
      </c>
      <c r="G59" s="1031" t="s">
        <v>172</v>
      </c>
      <c r="H59" s="1030">
        <v>3</v>
      </c>
      <c r="J59" s="1042"/>
      <c r="K59" s="1043"/>
      <c r="M59" s="1023" t="s">
        <v>44</v>
      </c>
      <c r="N59" s="997">
        <v>20</v>
      </c>
      <c r="O59" s="1025" t="s">
        <v>144</v>
      </c>
      <c r="P59" s="1024">
        <f>100+35+14</f>
        <v>149</v>
      </c>
      <c r="R59" s="1023" t="s">
        <v>141</v>
      </c>
      <c r="S59" s="997">
        <v>100</v>
      </c>
      <c r="T59" s="1025" t="s">
        <v>173</v>
      </c>
      <c r="U59" s="1024">
        <v>-50</v>
      </c>
      <c r="W59" s="1051" t="s">
        <v>194</v>
      </c>
      <c r="X59" s="997">
        <f>X52+14</f>
        <v>49</v>
      </c>
      <c r="Y59" s="996" t="s">
        <v>173</v>
      </c>
      <c r="Z59" s="997">
        <v>-50</v>
      </c>
      <c r="AA59" s="996" t="s">
        <v>141</v>
      </c>
      <c r="AB59" s="997">
        <v>100</v>
      </c>
      <c r="AC59" s="1024"/>
      <c r="AE59" s="1023" t="s">
        <v>74</v>
      </c>
      <c r="AF59" s="997">
        <f>K69</f>
        <v>26</v>
      </c>
      <c r="AG59" s="1025"/>
      <c r="AH59" s="997"/>
      <c r="AI59" s="996"/>
      <c r="AJ59" s="997"/>
      <c r="AK59" s="1024"/>
    </row>
    <row r="60" spans="2:37" x14ac:dyDescent="0.3">
      <c r="B60" s="1000"/>
      <c r="C60" s="999"/>
      <c r="E60" s="1000" t="s">
        <v>190</v>
      </c>
      <c r="F60" s="53">
        <f>F52-14</f>
        <v>1</v>
      </c>
      <c r="G60" s="984" t="s">
        <v>168</v>
      </c>
      <c r="H60" s="999">
        <v>6</v>
      </c>
      <c r="J60" s="1034"/>
      <c r="K60" s="1044"/>
      <c r="M60" s="1010" t="s">
        <v>153</v>
      </c>
      <c r="N60" s="1001">
        <v>80</v>
      </c>
      <c r="O60" s="986" t="s">
        <v>171</v>
      </c>
      <c r="P60" s="999">
        <v>10</v>
      </c>
      <c r="R60" s="1000"/>
      <c r="S60" s="1001"/>
      <c r="U60" s="999"/>
      <c r="W60" s="1010" t="s">
        <v>183</v>
      </c>
      <c r="X60" s="1001">
        <v>-7</v>
      </c>
      <c r="Y60" s="1038"/>
      <c r="Z60" s="1001"/>
      <c r="AA60" s="1038"/>
      <c r="AB60" s="1001"/>
      <c r="AC60" s="999"/>
      <c r="AE60" s="1047" t="s">
        <v>209</v>
      </c>
      <c r="AF60" s="1001">
        <f>-K64</f>
        <v>7</v>
      </c>
      <c r="AH60" s="1001"/>
      <c r="AI60" s="1038"/>
      <c r="AJ60" s="1001"/>
      <c r="AK60" s="999"/>
    </row>
    <row r="61" spans="2:37" ht="15" thickBot="1" x14ac:dyDescent="0.35">
      <c r="B61" s="1000"/>
      <c r="C61" s="999"/>
      <c r="E61" s="1010" t="s">
        <v>171</v>
      </c>
      <c r="F61" s="984">
        <f>10-8</f>
        <v>2</v>
      </c>
      <c r="G61" s="985"/>
      <c r="H61" s="1044"/>
      <c r="J61" s="1000" t="s">
        <v>11</v>
      </c>
      <c r="K61" s="999">
        <v>50</v>
      </c>
      <c r="M61" s="1010" t="s">
        <v>214</v>
      </c>
      <c r="N61" s="1001">
        <v>6</v>
      </c>
      <c r="O61" s="986" t="s">
        <v>190</v>
      </c>
      <c r="P61" s="999">
        <v>15</v>
      </c>
      <c r="R61" s="1000"/>
      <c r="S61" s="1001"/>
      <c r="U61" s="999"/>
      <c r="W61" s="1010" t="s">
        <v>203</v>
      </c>
      <c r="X61" s="1001">
        <v>-9</v>
      </c>
      <c r="Y61" s="1038"/>
      <c r="Z61" s="1001"/>
      <c r="AA61" s="1038"/>
      <c r="AB61" s="1001"/>
      <c r="AC61" s="999"/>
      <c r="AE61" s="1000" t="s">
        <v>192</v>
      </c>
      <c r="AF61" s="1039">
        <f>SUM(AF59:AF60)</f>
        <v>33</v>
      </c>
      <c r="AG61" s="984" t="s">
        <v>173</v>
      </c>
      <c r="AH61" s="1001">
        <v>-50</v>
      </c>
      <c r="AI61" s="1038" t="s">
        <v>141</v>
      </c>
      <c r="AJ61" s="1001">
        <v>100</v>
      </c>
      <c r="AK61" s="999"/>
    </row>
    <row r="62" spans="2:37" ht="15" thickTop="1" x14ac:dyDescent="0.3">
      <c r="B62" s="1000"/>
      <c r="C62" s="999"/>
      <c r="E62" s="1000"/>
      <c r="G62" s="986" t="s">
        <v>176</v>
      </c>
      <c r="H62" s="999">
        <v>24</v>
      </c>
      <c r="J62" s="1010" t="s">
        <v>202</v>
      </c>
      <c r="K62" s="999">
        <v>-9</v>
      </c>
      <c r="M62" s="1010" t="s">
        <v>177</v>
      </c>
      <c r="N62" s="1001">
        <f>50+7+9</f>
        <v>66</v>
      </c>
      <c r="P62" s="999"/>
      <c r="R62" s="1010" t="s">
        <v>194</v>
      </c>
      <c r="S62" s="1001">
        <v>35</v>
      </c>
      <c r="T62" s="986" t="s">
        <v>183</v>
      </c>
      <c r="U62" s="999">
        <v>-7</v>
      </c>
      <c r="W62" s="1000"/>
      <c r="Y62" s="1038"/>
      <c r="Z62" s="1001"/>
      <c r="AA62" s="1038"/>
      <c r="AB62" s="1001"/>
      <c r="AC62" s="999"/>
      <c r="AE62" s="1010" t="s">
        <v>184</v>
      </c>
      <c r="AF62" s="1001">
        <f>-F61</f>
        <v>-2</v>
      </c>
      <c r="AH62" s="1001"/>
      <c r="AI62" s="1038"/>
      <c r="AJ62" s="1001"/>
      <c r="AK62" s="999"/>
    </row>
    <row r="63" spans="2:37" x14ac:dyDescent="0.3">
      <c r="B63" s="1000"/>
      <c r="C63" s="999"/>
      <c r="E63" s="1000"/>
      <c r="H63" s="999"/>
      <c r="J63" s="1010" t="s">
        <v>208</v>
      </c>
      <c r="K63" s="999">
        <v>-8</v>
      </c>
      <c r="M63" s="1010" t="s">
        <v>215</v>
      </c>
      <c r="N63" s="1001">
        <v>24</v>
      </c>
      <c r="P63" s="999"/>
      <c r="R63" s="1010" t="s">
        <v>216</v>
      </c>
      <c r="S63" s="1001">
        <v>14</v>
      </c>
      <c r="T63" s="986" t="s">
        <v>205</v>
      </c>
      <c r="U63" s="999">
        <v>-9</v>
      </c>
      <c r="W63" s="1000"/>
      <c r="Y63" s="1038"/>
      <c r="Z63" s="1001"/>
      <c r="AA63" s="1038"/>
      <c r="AB63" s="1001"/>
      <c r="AC63" s="999"/>
      <c r="AE63" s="1000" t="s">
        <v>187</v>
      </c>
      <c r="AF63" s="1001">
        <f>H59</f>
        <v>3</v>
      </c>
      <c r="AH63" s="1001"/>
      <c r="AI63" s="1038"/>
      <c r="AJ63" s="1001"/>
      <c r="AK63" s="999"/>
    </row>
    <row r="64" spans="2:37" x14ac:dyDescent="0.3">
      <c r="B64" s="1034" t="s">
        <v>123</v>
      </c>
      <c r="C64" s="1066" t="s">
        <v>217</v>
      </c>
      <c r="E64" s="1000"/>
      <c r="H64" s="999"/>
      <c r="J64" s="1010" t="s">
        <v>213</v>
      </c>
      <c r="K64" s="999">
        <v>-7</v>
      </c>
      <c r="M64" s="1010" t="s">
        <v>172</v>
      </c>
      <c r="N64" s="1001">
        <v>3</v>
      </c>
      <c r="P64" s="999"/>
      <c r="R64" s="1000"/>
      <c r="S64" s="1001"/>
      <c r="U64" s="999"/>
      <c r="W64" s="1000"/>
      <c r="X64" s="1001"/>
      <c r="Y64" s="1038"/>
      <c r="Z64" s="1001"/>
      <c r="AA64" s="1038"/>
      <c r="AB64" s="1001"/>
      <c r="AC64" s="999"/>
      <c r="AE64" s="1000" t="s">
        <v>198</v>
      </c>
      <c r="AF64" s="1001">
        <f>-F60</f>
        <v>-1</v>
      </c>
      <c r="AH64" s="1001"/>
      <c r="AI64" s="1038"/>
      <c r="AJ64" s="1001"/>
      <c r="AK64" s="999"/>
    </row>
    <row r="65" spans="2:37" x14ac:dyDescent="0.3">
      <c r="B65" s="1000"/>
      <c r="C65" s="319" t="s">
        <v>218</v>
      </c>
      <c r="E65" s="1000"/>
      <c r="H65" s="999"/>
      <c r="J65" s="1000"/>
      <c r="K65" s="999"/>
      <c r="M65" s="1010" t="s">
        <v>171</v>
      </c>
      <c r="N65" s="1001">
        <v>8</v>
      </c>
      <c r="P65" s="999"/>
      <c r="R65" s="1026"/>
      <c r="S65" s="1012"/>
      <c r="T65" s="1007"/>
      <c r="U65" s="1029"/>
      <c r="W65" s="1002" t="s">
        <v>146</v>
      </c>
      <c r="X65" s="1003">
        <f>X59</f>
        <v>49</v>
      </c>
      <c r="Y65" s="1004" t="s">
        <v>147</v>
      </c>
      <c r="Z65" s="1003">
        <v>0</v>
      </c>
      <c r="AA65" s="1004" t="s">
        <v>148</v>
      </c>
      <c r="AB65" s="1003">
        <f>AB59</f>
        <v>100</v>
      </c>
      <c r="AC65" s="999"/>
      <c r="AE65" s="1002" t="s">
        <v>149</v>
      </c>
      <c r="AF65" s="1003">
        <f>AF59+AF60+AF63</f>
        <v>36</v>
      </c>
      <c r="AG65" s="1049" t="s">
        <v>147</v>
      </c>
      <c r="AH65" s="1003">
        <v>0</v>
      </c>
      <c r="AI65" s="1004" t="s">
        <v>148</v>
      </c>
      <c r="AJ65" s="1003">
        <f>AJ61</f>
        <v>100</v>
      </c>
      <c r="AK65" s="999"/>
    </row>
    <row r="66" spans="2:37" ht="15" thickBot="1" x14ac:dyDescent="0.35">
      <c r="B66" s="1000"/>
      <c r="C66" s="1005"/>
      <c r="E66" s="1000" t="s">
        <v>175</v>
      </c>
      <c r="F66" s="984">
        <v>80</v>
      </c>
      <c r="G66" s="984" t="s">
        <v>145</v>
      </c>
      <c r="H66" s="999">
        <v>100</v>
      </c>
      <c r="J66" s="1000"/>
      <c r="K66" s="999"/>
      <c r="M66" s="1010" t="s">
        <v>219</v>
      </c>
      <c r="N66" s="1001">
        <v>14</v>
      </c>
      <c r="P66" s="999"/>
      <c r="R66" s="1016" t="s">
        <v>163</v>
      </c>
      <c r="S66" s="1021">
        <f>SUM(S59:S65)</f>
        <v>149</v>
      </c>
      <c r="T66" s="1017" t="s">
        <v>164</v>
      </c>
      <c r="U66" s="1018">
        <f>SUM(U59:U65)</f>
        <v>-66</v>
      </c>
      <c r="W66" s="1013" t="s">
        <v>155</v>
      </c>
      <c r="X66" s="1014">
        <f>X60+X61</f>
        <v>-16</v>
      </c>
      <c r="Y66" s="1015" t="s">
        <v>156</v>
      </c>
      <c r="Z66" s="1014">
        <f>Z59</f>
        <v>-50</v>
      </c>
      <c r="AA66" s="1015" t="s">
        <v>157</v>
      </c>
      <c r="AB66" s="1014">
        <v>0</v>
      </c>
      <c r="AC66" s="999"/>
      <c r="AE66" s="1013" t="s">
        <v>158</v>
      </c>
      <c r="AF66" s="1014">
        <f>AF62+AF64</f>
        <v>-3</v>
      </c>
      <c r="AG66" s="1050" t="s">
        <v>156</v>
      </c>
      <c r="AH66" s="1014">
        <f>AH61</f>
        <v>-50</v>
      </c>
      <c r="AI66" s="1015" t="s">
        <v>157</v>
      </c>
      <c r="AJ66" s="1014">
        <v>0</v>
      </c>
      <c r="AK66" s="999"/>
    </row>
    <row r="67" spans="2:37" ht="15" thickBot="1" x14ac:dyDescent="0.35">
      <c r="B67" s="1000"/>
      <c r="C67" s="1005"/>
      <c r="E67" s="1010" t="s">
        <v>45</v>
      </c>
      <c r="F67" s="984">
        <f>K64</f>
        <v>-7</v>
      </c>
      <c r="G67" s="984" t="s">
        <v>56</v>
      </c>
      <c r="H67" s="999">
        <f>K69</f>
        <v>26</v>
      </c>
      <c r="J67" s="1000"/>
      <c r="K67" s="999"/>
      <c r="M67" s="1000"/>
      <c r="N67" s="1001"/>
      <c r="O67" s="984" t="s">
        <v>175</v>
      </c>
      <c r="P67" s="999">
        <v>80</v>
      </c>
      <c r="R67" s="1052" t="s">
        <v>220</v>
      </c>
      <c r="S67" s="1053"/>
      <c r="T67" s="1054"/>
      <c r="U67" s="1053">
        <f>S66+U66</f>
        <v>83</v>
      </c>
      <c r="W67" s="1022" t="s">
        <v>165</v>
      </c>
      <c r="X67" s="1022">
        <f>SUM(X65:X66)</f>
        <v>33</v>
      </c>
      <c r="Y67" s="1022" t="s">
        <v>166</v>
      </c>
      <c r="Z67" s="1022">
        <f>SUM(Z65:Z66)</f>
        <v>-50</v>
      </c>
      <c r="AA67" s="1022" t="s">
        <v>167</v>
      </c>
      <c r="AB67" s="1022">
        <f>SUM(AB65:AB66)</f>
        <v>100</v>
      </c>
      <c r="AC67" s="1022">
        <f>X67+Z67+AB67</f>
        <v>83</v>
      </c>
      <c r="AE67" s="1022" t="s">
        <v>165</v>
      </c>
      <c r="AF67" s="1022">
        <f>AF65+AF66</f>
        <v>33</v>
      </c>
      <c r="AG67" s="1022" t="s">
        <v>166</v>
      </c>
      <c r="AH67" s="1022">
        <f>SUM(AH65:AH66)</f>
        <v>-50</v>
      </c>
      <c r="AI67" s="1022" t="s">
        <v>167</v>
      </c>
      <c r="AJ67" s="1022">
        <f>SUM(AJ65:AJ66)</f>
        <v>100</v>
      </c>
      <c r="AK67" s="1022">
        <f>AF67+AH67+AJ67</f>
        <v>83</v>
      </c>
    </row>
    <row r="68" spans="2:37" ht="15" thickBot="1" x14ac:dyDescent="0.35">
      <c r="B68" s="1000"/>
      <c r="C68" s="1005"/>
      <c r="E68" s="1006"/>
      <c r="F68" s="1007"/>
      <c r="G68" s="1007"/>
      <c r="H68" s="1009"/>
      <c r="J68" s="1006"/>
      <c r="K68" s="1009"/>
      <c r="M68" s="1011" t="s">
        <v>199</v>
      </c>
      <c r="N68" s="1012">
        <f>K69+7</f>
        <v>33</v>
      </c>
      <c r="O68" s="1008"/>
      <c r="P68" s="1046"/>
      <c r="R68" s="1055" t="s">
        <v>221</v>
      </c>
      <c r="S68" s="1056"/>
      <c r="T68" s="1025"/>
      <c r="U68" s="1024">
        <v>0</v>
      </c>
      <c r="W68" s="1057" t="s">
        <v>221</v>
      </c>
      <c r="X68" s="1058"/>
      <c r="Y68" s="1058"/>
      <c r="Z68" s="1058"/>
      <c r="AA68" s="1058"/>
      <c r="AB68" s="1059"/>
      <c r="AC68" s="1060">
        <v>0</v>
      </c>
      <c r="AE68" s="1057" t="s">
        <v>221</v>
      </c>
      <c r="AF68" s="1058"/>
      <c r="AG68" s="1058"/>
      <c r="AH68" s="1058"/>
      <c r="AI68" s="1058"/>
      <c r="AJ68" s="1059"/>
      <c r="AK68" s="1060">
        <v>0</v>
      </c>
    </row>
    <row r="69" spans="2:37" ht="15" thickBot="1" x14ac:dyDescent="0.35">
      <c r="B69" s="1019"/>
      <c r="C69" s="1020"/>
      <c r="E69" s="1016" t="s">
        <v>61</v>
      </c>
      <c r="F69" s="1017">
        <f>SUM(F59:F68)</f>
        <v>159</v>
      </c>
      <c r="G69" s="1017" t="s">
        <v>160</v>
      </c>
      <c r="H69" s="1018">
        <f>SUM(H59:H68)</f>
        <v>159</v>
      </c>
      <c r="J69" s="1016" t="s">
        <v>56</v>
      </c>
      <c r="K69" s="1018">
        <f>SUM(K61:K68)</f>
        <v>26</v>
      </c>
      <c r="M69" s="1016" t="s">
        <v>161</v>
      </c>
      <c r="N69" s="1021">
        <f>SUM(N59:N68)</f>
        <v>254</v>
      </c>
      <c r="O69" s="1017" t="s">
        <v>162</v>
      </c>
      <c r="P69" s="1018">
        <f>SUM(P59:P68)</f>
        <v>254</v>
      </c>
      <c r="R69" s="1061" t="s">
        <v>222</v>
      </c>
      <c r="S69" s="1062"/>
      <c r="T69" s="1041"/>
      <c r="U69" s="1018">
        <f>U68+U67</f>
        <v>83</v>
      </c>
      <c r="W69" s="1063" t="s">
        <v>222</v>
      </c>
      <c r="X69" s="1064"/>
      <c r="Y69" s="1064"/>
      <c r="Z69" s="1064"/>
      <c r="AA69" s="1064"/>
      <c r="AB69" s="1065"/>
      <c r="AC69" s="1022">
        <f>AC67</f>
        <v>83</v>
      </c>
      <c r="AE69" s="1063" t="s">
        <v>222</v>
      </c>
      <c r="AF69" s="1064"/>
      <c r="AG69" s="1064"/>
      <c r="AH69" s="1064"/>
      <c r="AI69" s="1064"/>
      <c r="AJ69" s="1065"/>
      <c r="AK69" s="1022">
        <f>AK67</f>
        <v>83</v>
      </c>
    </row>
    <row r="70" spans="2:37" ht="15" thickBot="1" x14ac:dyDescent="0.35"/>
    <row r="71" spans="2:37" x14ac:dyDescent="0.3">
      <c r="C71" s="1023" t="s">
        <v>223</v>
      </c>
      <c r="D71" s="1076" t="s">
        <v>1131</v>
      </c>
      <c r="E71" s="1077"/>
    </row>
    <row r="72" spans="2:37" x14ac:dyDescent="0.3">
      <c r="C72" s="1000" t="s">
        <v>224</v>
      </c>
      <c r="D72" s="1078"/>
      <c r="E72" s="1079"/>
    </row>
    <row r="73" spans="2:37" ht="15" thickBot="1" x14ac:dyDescent="0.35">
      <c r="C73" s="1019" t="s">
        <v>225</v>
      </c>
      <c r="D73" s="1080"/>
      <c r="E73" s="1081"/>
    </row>
    <row r="74" spans="2:37" ht="15" thickBot="1" x14ac:dyDescent="0.35">
      <c r="C74" s="1057"/>
      <c r="D74" s="1058"/>
      <c r="E74" s="1059"/>
    </row>
    <row r="75" spans="2:37" x14ac:dyDescent="0.3">
      <c r="C75" s="1023" t="s">
        <v>226</v>
      </c>
      <c r="D75" s="1074" t="s">
        <v>1132</v>
      </c>
      <c r="E75" s="1075"/>
    </row>
    <row r="76" spans="2:37" x14ac:dyDescent="0.3">
      <c r="C76" s="1000" t="s">
        <v>227</v>
      </c>
      <c r="D76" s="1070"/>
      <c r="E76" s="1071"/>
    </row>
    <row r="77" spans="2:37" ht="15" thickBot="1" x14ac:dyDescent="0.35">
      <c r="C77" s="1019" t="s">
        <v>228</v>
      </c>
      <c r="D77" s="1072"/>
      <c r="E77" s="1073"/>
    </row>
  </sheetData>
  <mergeCells count="26">
    <mergeCell ref="D71:E73"/>
    <mergeCell ref="D75:E77"/>
    <mergeCell ref="AG10:AH10"/>
    <mergeCell ref="R68:S68"/>
    <mergeCell ref="W68:AB68"/>
    <mergeCell ref="AE68:AJ68"/>
    <mergeCell ref="R69:S69"/>
    <mergeCell ref="W69:AB69"/>
    <mergeCell ref="AE69:AJ69"/>
    <mergeCell ref="C74:E74"/>
    <mergeCell ref="M9:P9"/>
    <mergeCell ref="R9:U9"/>
    <mergeCell ref="W9:AC9"/>
    <mergeCell ref="AE9:AK9"/>
    <mergeCell ref="B10:C10"/>
    <mergeCell ref="E10:H10"/>
    <mergeCell ref="J10:K10"/>
    <mergeCell ref="M10:N10"/>
    <mergeCell ref="O10:P10"/>
    <mergeCell ref="R10:S10"/>
    <mergeCell ref="AI10:AJ10"/>
    <mergeCell ref="T10:U10"/>
    <mergeCell ref="W10:X10"/>
    <mergeCell ref="Y10:Z10"/>
    <mergeCell ref="AA10:AB10"/>
    <mergeCell ref="AE10:AF1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R52"/>
  <sheetViews>
    <sheetView zoomScale="90" zoomScaleNormal="90" workbookViewId="0">
      <selection activeCell="H42" sqref="H42"/>
    </sheetView>
  </sheetViews>
  <sheetFormatPr baseColWidth="10" defaultColWidth="11.44140625" defaultRowHeight="13.8" x14ac:dyDescent="0.25"/>
  <cols>
    <col min="1" max="1" width="11.33203125" style="262" customWidth="1"/>
    <col min="2" max="2" width="29" style="262" customWidth="1"/>
    <col min="3" max="3" width="13.6640625" style="262" customWidth="1"/>
    <col min="4" max="4" width="15.5546875" style="288" customWidth="1"/>
    <col min="5" max="5" width="17.5546875" style="262" customWidth="1"/>
    <col min="6" max="6" width="21.5546875" style="262" customWidth="1"/>
    <col min="7" max="7" width="14.44140625" style="262" bestFit="1" customWidth="1"/>
    <col min="8" max="8" width="11" style="262" customWidth="1"/>
    <col min="9" max="9" width="13.6640625" style="262" customWidth="1"/>
    <col min="10" max="12" width="11.44140625" style="645"/>
    <col min="13" max="15" width="11.44140625" style="262"/>
    <col min="16" max="16" width="14.88671875" style="262" customWidth="1"/>
    <col min="17" max="16384" width="11.44140625" style="262"/>
  </cols>
  <sheetData>
    <row r="1" spans="1:18" x14ac:dyDescent="0.25">
      <c r="A1" s="867" t="s">
        <v>1060</v>
      </c>
      <c r="B1" s="868"/>
      <c r="C1" s="868"/>
      <c r="D1" s="868"/>
      <c r="E1" s="868"/>
      <c r="F1" s="868"/>
      <c r="G1" s="868"/>
      <c r="H1" s="868"/>
      <c r="I1" s="869"/>
    </row>
    <row r="2" spans="1:18" x14ac:dyDescent="0.25">
      <c r="A2" s="862" t="s">
        <v>269</v>
      </c>
      <c r="B2" s="863"/>
      <c r="C2" s="863"/>
      <c r="D2" s="863"/>
      <c r="E2" s="863"/>
      <c r="F2" s="863"/>
      <c r="G2" s="863"/>
      <c r="H2" s="863"/>
      <c r="I2" s="864"/>
      <c r="J2" s="646">
        <f>C6</f>
        <v>161994</v>
      </c>
    </row>
    <row r="3" spans="1:18" x14ac:dyDescent="0.25">
      <c r="A3" s="862" t="s">
        <v>231</v>
      </c>
      <c r="B3" s="863"/>
      <c r="C3" s="863"/>
      <c r="D3" s="863"/>
      <c r="E3" s="863"/>
      <c r="F3" s="863"/>
      <c r="G3" s="863"/>
      <c r="H3" s="863"/>
      <c r="I3" s="864"/>
      <c r="J3" s="646">
        <f>G7</f>
        <v>-119552</v>
      </c>
      <c r="M3" s="262" t="s">
        <v>146</v>
      </c>
      <c r="N3" s="262" t="s">
        <v>155</v>
      </c>
      <c r="P3" s="262" t="s">
        <v>1061</v>
      </c>
    </row>
    <row r="4" spans="1:18" x14ac:dyDescent="0.25">
      <c r="A4" s="870" t="s">
        <v>1088</v>
      </c>
      <c r="B4" s="871"/>
      <c r="C4" s="871"/>
      <c r="D4" s="731"/>
      <c r="E4" s="871" t="s">
        <v>1089</v>
      </c>
      <c r="F4" s="871"/>
      <c r="G4" s="871"/>
      <c r="H4" s="263"/>
      <c r="I4" s="264"/>
      <c r="J4" s="646">
        <f>G6</f>
        <v>-54712</v>
      </c>
      <c r="N4" s="262" t="s">
        <v>1062</v>
      </c>
    </row>
    <row r="5" spans="1:18" x14ac:dyDescent="0.25">
      <c r="A5" s="629"/>
      <c r="B5" s="630"/>
      <c r="C5" s="630"/>
      <c r="D5" s="748"/>
      <c r="E5" s="619" t="s">
        <v>1063</v>
      </c>
      <c r="F5" s="632"/>
      <c r="G5" s="631">
        <v>0</v>
      </c>
      <c r="H5" s="619"/>
      <c r="I5" s="627"/>
      <c r="J5" s="646">
        <f>J2+J3+J4</f>
        <v>-12270</v>
      </c>
      <c r="N5" s="262" t="s">
        <v>1064</v>
      </c>
    </row>
    <row r="6" spans="1:18" ht="14.4" thickBot="1" x14ac:dyDescent="0.3">
      <c r="A6" s="872" t="s">
        <v>271</v>
      </c>
      <c r="B6" s="873"/>
      <c r="C6" s="618">
        <f>30249+59221+53997+1442+3663+30+2619+268+6396+4109</f>
        <v>161994</v>
      </c>
      <c r="D6" s="748"/>
      <c r="E6" s="619" t="s">
        <v>251</v>
      </c>
      <c r="F6" s="619"/>
      <c r="G6" s="626">
        <v>-54712</v>
      </c>
      <c r="H6" s="619"/>
      <c r="I6" s="627"/>
      <c r="J6" s="646">
        <f>C7</f>
        <v>11820</v>
      </c>
      <c r="N6" s="262" t="s">
        <v>1065</v>
      </c>
    </row>
    <row r="7" spans="1:18" ht="15" thickTop="1" thickBot="1" x14ac:dyDescent="0.3">
      <c r="A7" s="730" t="s">
        <v>1090</v>
      </c>
      <c r="B7" s="619"/>
      <c r="C7" s="618">
        <v>11820</v>
      </c>
      <c r="D7" s="749"/>
      <c r="E7" s="874" t="s">
        <v>1066</v>
      </c>
      <c r="F7" s="874"/>
      <c r="G7" s="626">
        <f>-29788-2855-7647-15649-5541-42220-15018-834</f>
        <v>-119552</v>
      </c>
      <c r="H7" s="619"/>
      <c r="I7" s="627"/>
      <c r="J7" s="646">
        <f>J5+J6</f>
        <v>-450</v>
      </c>
    </row>
    <row r="8" spans="1:18" ht="15" thickTop="1" thickBot="1" x14ac:dyDescent="0.3">
      <c r="A8" s="875" t="s">
        <v>1067</v>
      </c>
      <c r="B8" s="876"/>
      <c r="C8" s="620">
        <f>SUM(C6:C7)</f>
        <v>173814</v>
      </c>
      <c r="D8" s="750"/>
      <c r="E8" s="877" t="s">
        <v>1068</v>
      </c>
      <c r="F8" s="877"/>
      <c r="G8" s="628">
        <f>SUM(G5:G7)</f>
        <v>-174264</v>
      </c>
      <c r="H8" s="621" t="s">
        <v>239</v>
      </c>
      <c r="I8" s="622">
        <f>C8+G8</f>
        <v>-450</v>
      </c>
      <c r="J8" s="646"/>
      <c r="K8" s="646">
        <f>C10</f>
        <v>41559</v>
      </c>
      <c r="M8" s="262" t="s">
        <v>1069</v>
      </c>
      <c r="O8" s="262" t="s">
        <v>146</v>
      </c>
      <c r="R8" s="262">
        <v>1</v>
      </c>
    </row>
    <row r="9" spans="1:18" ht="14.4" thickTop="1" x14ac:dyDescent="0.25">
      <c r="A9" s="878"/>
      <c r="B9" s="879"/>
      <c r="C9" s="269"/>
      <c r="D9" s="644"/>
      <c r="E9" s="879"/>
      <c r="F9" s="879"/>
      <c r="G9" s="270"/>
      <c r="H9" s="267"/>
      <c r="I9" s="271"/>
      <c r="J9" s="646"/>
      <c r="K9" s="646">
        <f>G10</f>
        <v>-54189</v>
      </c>
      <c r="M9" s="262" t="s">
        <v>1070</v>
      </c>
      <c r="O9" s="262" t="s">
        <v>1071</v>
      </c>
    </row>
    <row r="10" spans="1:18" ht="14.4" thickBot="1" x14ac:dyDescent="0.3">
      <c r="A10" s="865" t="s">
        <v>243</v>
      </c>
      <c r="B10" s="866"/>
      <c r="C10" s="291">
        <f>41401+158</f>
        <v>41559</v>
      </c>
      <c r="D10" s="625">
        <v>41559</v>
      </c>
      <c r="E10" s="866" t="s">
        <v>244</v>
      </c>
      <c r="F10" s="866"/>
      <c r="G10" s="306">
        <f>-28494-19800-5895</f>
        <v>-54189</v>
      </c>
      <c r="H10" s="600" t="s">
        <v>245</v>
      </c>
      <c r="I10" s="601">
        <f>C10+G10</f>
        <v>-12630</v>
      </c>
      <c r="J10" s="646"/>
      <c r="K10" s="646">
        <f>K8+K9</f>
        <v>-12630</v>
      </c>
    </row>
    <row r="11" spans="1:18" ht="14.4" thickTop="1" x14ac:dyDescent="0.25">
      <c r="A11" s="878"/>
      <c r="B11" s="879"/>
      <c r="C11" s="269"/>
      <c r="D11" s="734"/>
      <c r="E11" s="886"/>
      <c r="F11" s="886"/>
      <c r="G11" s="269"/>
      <c r="H11" s="272"/>
      <c r="I11" s="271"/>
      <c r="J11" s="646"/>
      <c r="K11" s="646"/>
      <c r="L11" s="646">
        <f>C14</f>
        <v>366161</v>
      </c>
    </row>
    <row r="12" spans="1:18" x14ac:dyDescent="0.25">
      <c r="A12" s="606"/>
      <c r="B12" s="607"/>
      <c r="C12" s="607"/>
      <c r="D12" s="751"/>
      <c r="E12" s="607" t="s">
        <v>1072</v>
      </c>
      <c r="F12" s="607"/>
      <c r="G12" s="608">
        <f>-250783-23690-16497</f>
        <v>-290970</v>
      </c>
      <c r="H12" s="609"/>
      <c r="I12" s="610"/>
      <c r="J12" s="646"/>
      <c r="K12" s="646"/>
      <c r="L12" s="646">
        <f>I8</f>
        <v>-450</v>
      </c>
      <c r="M12" s="262" t="s">
        <v>1069</v>
      </c>
      <c r="O12" s="262" t="s">
        <v>146</v>
      </c>
    </row>
    <row r="13" spans="1:18" x14ac:dyDescent="0.25">
      <c r="A13" s="611"/>
      <c r="B13" s="612"/>
      <c r="C13" s="612"/>
      <c r="D13" s="640"/>
      <c r="E13" s="887" t="s">
        <v>1073</v>
      </c>
      <c r="F13" s="887"/>
      <c r="G13" s="608">
        <v>-61033</v>
      </c>
      <c r="H13" s="729"/>
      <c r="I13" s="613"/>
      <c r="K13" s="646"/>
      <c r="L13" s="646">
        <f>I10</f>
        <v>-12630</v>
      </c>
      <c r="M13" s="262" t="s">
        <v>1074</v>
      </c>
      <c r="O13" s="262" t="s">
        <v>1075</v>
      </c>
    </row>
    <row r="14" spans="1:18" ht="14.4" thickBot="1" x14ac:dyDescent="0.3">
      <c r="A14" s="888" t="s">
        <v>253</v>
      </c>
      <c r="B14" s="889"/>
      <c r="C14" s="614">
        <v>366161</v>
      </c>
      <c r="D14" s="640"/>
      <c r="E14" s="890" t="s">
        <v>254</v>
      </c>
      <c r="F14" s="890"/>
      <c r="G14" s="615">
        <f>SUM(G12:G13)</f>
        <v>-352003</v>
      </c>
      <c r="H14" s="616" t="s">
        <v>255</v>
      </c>
      <c r="I14" s="617">
        <f>C14+G14</f>
        <v>14158</v>
      </c>
      <c r="K14" s="646"/>
      <c r="L14" s="646">
        <f>G12</f>
        <v>-290970</v>
      </c>
    </row>
    <row r="15" spans="1:18" ht="15" thickTop="1" thickBot="1" x14ac:dyDescent="0.3">
      <c r="A15" s="726"/>
      <c r="B15" s="727"/>
      <c r="C15" s="277"/>
      <c r="D15" s="733"/>
      <c r="E15" s="728" t="s">
        <v>1076</v>
      </c>
      <c r="F15" s="278"/>
      <c r="G15" s="279"/>
      <c r="H15" s="267" t="s">
        <v>1077</v>
      </c>
      <c r="I15" s="268">
        <v>0</v>
      </c>
      <c r="K15" s="646"/>
      <c r="L15" s="646">
        <f>G13</f>
        <v>-61033</v>
      </c>
    </row>
    <row r="16" spans="1:18" ht="14.4" thickTop="1" x14ac:dyDescent="0.25">
      <c r="A16" s="726"/>
      <c r="B16" s="727"/>
      <c r="C16" s="277"/>
      <c r="D16" s="735"/>
      <c r="E16" s="728"/>
      <c r="F16" s="728"/>
      <c r="G16" s="277"/>
      <c r="H16" s="267"/>
      <c r="I16" s="280"/>
      <c r="K16" s="646"/>
      <c r="L16" s="646">
        <f>G17</f>
        <v>-1078</v>
      </c>
      <c r="M16" s="262">
        <v>2018</v>
      </c>
      <c r="N16" s="262">
        <v>2019</v>
      </c>
      <c r="O16" s="262">
        <v>2020</v>
      </c>
      <c r="P16" s="262" t="s">
        <v>1078</v>
      </c>
    </row>
    <row r="17" spans="1:16" x14ac:dyDescent="0.25">
      <c r="A17" s="880" t="s">
        <v>276</v>
      </c>
      <c r="B17" s="881"/>
      <c r="C17" s="602"/>
      <c r="D17" s="752" t="s">
        <v>259</v>
      </c>
      <c r="E17" s="882" t="s">
        <v>260</v>
      </c>
      <c r="F17" s="882"/>
      <c r="G17" s="602">
        <f>-I17</f>
        <v>-1078</v>
      </c>
      <c r="H17" s="623" t="s">
        <v>261</v>
      </c>
      <c r="I17" s="624">
        <f>I8+I10+I14+I15</f>
        <v>1078</v>
      </c>
      <c r="K17" s="646"/>
      <c r="L17" s="646">
        <f>L11+L12+L13+L14+L15+L16</f>
        <v>0</v>
      </c>
    </row>
    <row r="18" spans="1:16" ht="14.4" thickTop="1" x14ac:dyDescent="0.25">
      <c r="A18" s="276"/>
      <c r="B18" s="263"/>
      <c r="C18" s="277"/>
      <c r="D18" s="733"/>
      <c r="E18" s="723"/>
      <c r="F18" s="723"/>
      <c r="G18" s="277"/>
      <c r="H18" s="633" t="s">
        <v>262</v>
      </c>
      <c r="I18" s="634">
        <f>I38</f>
        <v>42052</v>
      </c>
      <c r="L18" s="646"/>
    </row>
    <row r="19" spans="1:16" x14ac:dyDescent="0.25">
      <c r="A19" s="883" t="s">
        <v>264</v>
      </c>
      <c r="B19" s="884"/>
      <c r="C19" s="281">
        <f>C8+C10+C14+C17</f>
        <v>581534</v>
      </c>
      <c r="D19" s="736" t="s">
        <v>281</v>
      </c>
      <c r="E19" s="885" t="s">
        <v>265</v>
      </c>
      <c r="F19" s="885"/>
      <c r="G19" s="281">
        <f>G8+G10+G14+G15+G17</f>
        <v>-581534</v>
      </c>
      <c r="H19" s="635" t="s">
        <v>266</v>
      </c>
      <c r="I19" s="636">
        <f>I18+I17</f>
        <v>43130</v>
      </c>
      <c r="L19" s="646"/>
      <c r="N19" s="262">
        <v>2019</v>
      </c>
      <c r="O19" s="262">
        <v>2020</v>
      </c>
      <c r="P19" s="262" t="s">
        <v>1079</v>
      </c>
    </row>
    <row r="20" spans="1:16" x14ac:dyDescent="0.25">
      <c r="A20" s="867" t="s">
        <v>1060</v>
      </c>
      <c r="B20" s="868"/>
      <c r="C20" s="868"/>
      <c r="D20" s="868"/>
      <c r="E20" s="868"/>
      <c r="F20" s="868"/>
      <c r="G20" s="868"/>
      <c r="H20" s="868"/>
      <c r="I20" s="869"/>
    </row>
    <row r="21" spans="1:16" x14ac:dyDescent="0.25">
      <c r="A21" s="862" t="s">
        <v>1091</v>
      </c>
      <c r="B21" s="863"/>
      <c r="C21" s="863"/>
      <c r="D21" s="863"/>
      <c r="E21" s="863"/>
      <c r="F21" s="863"/>
      <c r="G21" s="863"/>
      <c r="H21" s="863"/>
      <c r="I21" s="864"/>
      <c r="P21" s="262" t="s">
        <v>1081</v>
      </c>
    </row>
    <row r="22" spans="1:16" x14ac:dyDescent="0.25">
      <c r="A22" s="862" t="s">
        <v>1082</v>
      </c>
      <c r="B22" s="863"/>
      <c r="C22" s="863"/>
      <c r="D22" s="863"/>
      <c r="E22" s="863"/>
      <c r="F22" s="863"/>
      <c r="G22" s="863"/>
      <c r="H22" s="863"/>
      <c r="I22" s="864"/>
    </row>
    <row r="23" spans="1:16" x14ac:dyDescent="0.25">
      <c r="A23" s="870" t="s">
        <v>233</v>
      </c>
      <c r="B23" s="871"/>
      <c r="C23" s="871"/>
      <c r="D23" s="731"/>
      <c r="E23" s="871" t="s">
        <v>234</v>
      </c>
      <c r="F23" s="871"/>
      <c r="G23" s="871"/>
      <c r="H23" s="263"/>
      <c r="I23" s="264"/>
    </row>
    <row r="24" spans="1:16" ht="14.4" thickBot="1" x14ac:dyDescent="0.3">
      <c r="A24" s="629"/>
      <c r="B24" s="630"/>
      <c r="C24" s="630"/>
      <c r="D24" s="748">
        <v>24866</v>
      </c>
      <c r="E24" s="619" t="s">
        <v>1063</v>
      </c>
      <c r="F24" s="619"/>
      <c r="G24" s="626">
        <v>-24866</v>
      </c>
      <c r="H24" s="619"/>
      <c r="I24" s="627"/>
      <c r="J24" s="645" t="s">
        <v>1092</v>
      </c>
      <c r="K24" s="645" t="s">
        <v>1093</v>
      </c>
      <c r="L24" s="645" t="s">
        <v>1094</v>
      </c>
    </row>
    <row r="25" spans="1:16" ht="15" thickTop="1" thickBot="1" x14ac:dyDescent="0.3">
      <c r="A25" s="629"/>
      <c r="B25" s="630"/>
      <c r="C25" s="630"/>
      <c r="D25" s="748">
        <v>61974</v>
      </c>
      <c r="E25" s="619" t="s">
        <v>251</v>
      </c>
      <c r="F25" s="619"/>
      <c r="G25" s="626">
        <v>-61974</v>
      </c>
      <c r="H25" s="619"/>
      <c r="I25" s="627"/>
      <c r="J25" s="646">
        <f>C27</f>
        <v>244235</v>
      </c>
    </row>
    <row r="26" spans="1:16" ht="15" thickTop="1" thickBot="1" x14ac:dyDescent="0.3">
      <c r="A26" s="891"/>
      <c r="B26" s="892"/>
      <c r="C26" s="892"/>
      <c r="D26" s="749">
        <v>82203</v>
      </c>
      <c r="E26" s="874" t="s">
        <v>1095</v>
      </c>
      <c r="F26" s="874"/>
      <c r="G26" s="626">
        <f>-56717-2389-7445-51-3686-958-8108-1090-1759</f>
        <v>-82203</v>
      </c>
      <c r="H26" s="619"/>
      <c r="I26" s="627"/>
      <c r="J26" s="646">
        <f>G26</f>
        <v>-82203</v>
      </c>
    </row>
    <row r="27" spans="1:16" ht="15" thickTop="1" thickBot="1" x14ac:dyDescent="0.3">
      <c r="A27" s="875" t="s">
        <v>271</v>
      </c>
      <c r="B27" s="876"/>
      <c r="C27" s="604">
        <f>59691+59531+58144+4581+3358+1001+142+400+57387</f>
        <v>244235</v>
      </c>
      <c r="D27" s="753"/>
      <c r="E27" s="877" t="s">
        <v>272</v>
      </c>
      <c r="F27" s="877"/>
      <c r="G27" s="628">
        <f>SUM(G24:G26)</f>
        <v>-169043</v>
      </c>
      <c r="H27" s="621" t="s">
        <v>239</v>
      </c>
      <c r="I27" s="622">
        <f>C27+G27</f>
        <v>75192</v>
      </c>
      <c r="J27" s="646">
        <f>G24</f>
        <v>-24866</v>
      </c>
    </row>
    <row r="28" spans="1:16" ht="14.4" thickTop="1" x14ac:dyDescent="0.25">
      <c r="A28" s="878"/>
      <c r="B28" s="879"/>
      <c r="C28" s="269"/>
      <c r="D28" s="644"/>
      <c r="E28" s="879"/>
      <c r="F28" s="879"/>
      <c r="G28" s="270"/>
      <c r="H28" s="267"/>
      <c r="I28" s="271"/>
      <c r="J28" s="646">
        <f>G25</f>
        <v>-61974</v>
      </c>
    </row>
    <row r="29" spans="1:16" ht="14.4" thickBot="1" x14ac:dyDescent="0.3">
      <c r="A29" s="865" t="s">
        <v>243</v>
      </c>
      <c r="B29" s="866"/>
      <c r="C29" s="291">
        <f>40388+162</f>
        <v>40550</v>
      </c>
      <c r="D29" s="625">
        <v>40550</v>
      </c>
      <c r="E29" s="866" t="s">
        <v>244</v>
      </c>
      <c r="F29" s="866"/>
      <c r="G29" s="306">
        <f>-37981-18936-15580</f>
        <v>-72497</v>
      </c>
      <c r="H29" s="600" t="s">
        <v>245</v>
      </c>
      <c r="I29" s="601">
        <f>C29+G29</f>
        <v>-31947</v>
      </c>
      <c r="J29" s="646">
        <f>G32</f>
        <v>-56928</v>
      </c>
      <c r="K29" s="646">
        <f>C29</f>
        <v>40550</v>
      </c>
    </row>
    <row r="30" spans="1:16" ht="14.4" thickTop="1" x14ac:dyDescent="0.25">
      <c r="A30" s="878"/>
      <c r="B30" s="879"/>
      <c r="C30" s="269"/>
      <c r="D30" s="747">
        <v>31947</v>
      </c>
      <c r="E30" s="747">
        <v>56928</v>
      </c>
      <c r="F30" s="747">
        <v>18264</v>
      </c>
      <c r="G30" s="269"/>
      <c r="H30" s="272"/>
      <c r="I30" s="271"/>
      <c r="J30" s="647">
        <f>J25+J26+J27+J28+J29</f>
        <v>18264</v>
      </c>
      <c r="K30" s="646">
        <f>G29</f>
        <v>-72497</v>
      </c>
    </row>
    <row r="31" spans="1:16" x14ac:dyDescent="0.25">
      <c r="A31" s="606"/>
      <c r="B31" s="607"/>
      <c r="C31" s="607"/>
      <c r="D31" s="755">
        <v>399796</v>
      </c>
      <c r="E31" s="607" t="s">
        <v>1072</v>
      </c>
      <c r="F31" s="607"/>
      <c r="G31" s="608">
        <f>-390258-10644-17158</f>
        <v>-418060</v>
      </c>
      <c r="H31" s="609"/>
      <c r="I31" s="610"/>
      <c r="J31" s="648">
        <f>-F30</f>
        <v>-18264</v>
      </c>
      <c r="K31" s="646">
        <f>K29+K30</f>
        <v>-31947</v>
      </c>
    </row>
    <row r="32" spans="1:16" x14ac:dyDescent="0.25">
      <c r="A32" s="611"/>
      <c r="B32" s="612"/>
      <c r="C32" s="612"/>
      <c r="D32" s="640">
        <v>31947</v>
      </c>
      <c r="E32" s="887" t="s">
        <v>1096</v>
      </c>
      <c r="F32" s="887"/>
      <c r="G32" s="608">
        <v>-56928</v>
      </c>
      <c r="H32" s="729"/>
      <c r="I32" s="613"/>
      <c r="J32" s="649">
        <f>J30+J31</f>
        <v>0</v>
      </c>
      <c r="K32" s="648">
        <f>D32</f>
        <v>31947</v>
      </c>
    </row>
    <row r="33" spans="1:12" ht="14.4" thickBot="1" x14ac:dyDescent="0.3">
      <c r="A33" s="888" t="s">
        <v>253</v>
      </c>
      <c r="B33" s="889"/>
      <c r="C33" s="614">
        <f>438803+28045</f>
        <v>466848</v>
      </c>
      <c r="D33" s="640"/>
      <c r="E33" s="890" t="s">
        <v>254</v>
      </c>
      <c r="F33" s="890"/>
      <c r="G33" s="615">
        <f>SUM(G31:G32)</f>
        <v>-474988</v>
      </c>
      <c r="H33" s="616" t="s">
        <v>255</v>
      </c>
      <c r="I33" s="617">
        <f>C33+G33</f>
        <v>-8140</v>
      </c>
      <c r="K33" s="650">
        <f>K31+K32</f>
        <v>0</v>
      </c>
      <c r="L33" s="646">
        <f>C33</f>
        <v>466848</v>
      </c>
    </row>
    <row r="34" spans="1:12" ht="15" thickTop="1" thickBot="1" x14ac:dyDescent="0.3">
      <c r="A34" s="726"/>
      <c r="B34" s="727"/>
      <c r="C34" s="277"/>
      <c r="D34" s="733"/>
      <c r="E34" s="728" t="s">
        <v>1076</v>
      </c>
      <c r="F34" s="278"/>
      <c r="G34" s="279">
        <v>0</v>
      </c>
      <c r="H34" s="267" t="s">
        <v>1077</v>
      </c>
      <c r="I34" s="268">
        <v>0</v>
      </c>
      <c r="L34" s="646">
        <f>I29</f>
        <v>-31947</v>
      </c>
    </row>
    <row r="35" spans="1:12" ht="14.4" thickTop="1" x14ac:dyDescent="0.25">
      <c r="A35" s="726"/>
      <c r="B35" s="727"/>
      <c r="C35" s="277"/>
      <c r="D35" s="605">
        <v>35105</v>
      </c>
      <c r="E35" s="728"/>
      <c r="F35" s="728"/>
      <c r="G35" s="277"/>
      <c r="H35" s="267"/>
      <c r="I35" s="280"/>
      <c r="L35" s="646">
        <f>L33+L34</f>
        <v>434901</v>
      </c>
    </row>
    <row r="36" spans="1:12" ht="14.4" thickBot="1" x14ac:dyDescent="0.3">
      <c r="A36" s="893" t="s">
        <v>276</v>
      </c>
      <c r="B36" s="894"/>
      <c r="C36" s="602"/>
      <c r="D36" s="754"/>
      <c r="E36" s="895" t="s">
        <v>260</v>
      </c>
      <c r="F36" s="895"/>
      <c r="G36" s="602">
        <f>-I36</f>
        <v>-35105</v>
      </c>
      <c r="H36" s="623" t="s">
        <v>261</v>
      </c>
      <c r="I36" s="624">
        <f>I27+I29+I33+I34</f>
        <v>35105</v>
      </c>
      <c r="L36" s="646">
        <f>G31+18264</f>
        <v>-399796</v>
      </c>
    </row>
    <row r="37" spans="1:12" ht="14.4" thickTop="1" x14ac:dyDescent="0.25">
      <c r="A37" s="276"/>
      <c r="B37" s="263"/>
      <c r="C37" s="277"/>
      <c r="D37" s="733"/>
      <c r="E37" s="723"/>
      <c r="F37" s="723"/>
      <c r="G37" s="277"/>
      <c r="H37" s="603" t="s">
        <v>262</v>
      </c>
      <c r="I37" s="637">
        <v>6947</v>
      </c>
      <c r="L37" s="651">
        <f>L35+L36</f>
        <v>35105</v>
      </c>
    </row>
    <row r="38" spans="1:12" ht="14.4" thickBot="1" x14ac:dyDescent="0.3">
      <c r="A38" s="883" t="s">
        <v>264</v>
      </c>
      <c r="B38" s="884"/>
      <c r="C38" s="281">
        <f>C27+C29+C33+C36</f>
        <v>751633</v>
      </c>
      <c r="D38" s="737"/>
      <c r="E38" s="885" t="s">
        <v>265</v>
      </c>
      <c r="F38" s="885"/>
      <c r="G38" s="281">
        <f>G27+G29+G33+G36</f>
        <v>-751633</v>
      </c>
      <c r="H38" s="638" t="s">
        <v>266</v>
      </c>
      <c r="I38" s="639">
        <f>I37+I36</f>
        <v>42052</v>
      </c>
      <c r="L38" s="645">
        <f>-D35</f>
        <v>-35105</v>
      </c>
    </row>
    <row r="39" spans="1:12" x14ac:dyDescent="0.25">
      <c r="A39" s="263"/>
      <c r="B39" s="263"/>
      <c r="C39" s="263"/>
      <c r="D39" s="733"/>
      <c r="E39" s="263"/>
      <c r="F39" s="263"/>
      <c r="G39" s="263"/>
      <c r="I39" s="284"/>
      <c r="L39" s="646">
        <f>L37+L38</f>
        <v>0</v>
      </c>
    </row>
    <row r="41" spans="1:12" x14ac:dyDescent="0.25">
      <c r="H41" s="760" t="s">
        <v>1097</v>
      </c>
      <c r="I41" s="760" t="s">
        <v>1098</v>
      </c>
    </row>
    <row r="42" spans="1:12" x14ac:dyDescent="0.25">
      <c r="B42" s="285" t="s">
        <v>1084</v>
      </c>
      <c r="D42" s="288" t="s">
        <v>1099</v>
      </c>
      <c r="H42" s="761">
        <f>(C8/(-(G7+G6+G5+G13)))</f>
        <v>0.73870045091947623</v>
      </c>
      <c r="I42" s="761">
        <f>(C27/(-(G26+G25+G24+G32)))</f>
        <v>1.0808245305813577</v>
      </c>
    </row>
    <row r="43" spans="1:12" x14ac:dyDescent="0.25">
      <c r="B43" s="285"/>
      <c r="H43" s="761"/>
      <c r="I43" s="761"/>
    </row>
    <row r="44" spans="1:12" x14ac:dyDescent="0.25">
      <c r="B44" s="285" t="s">
        <v>1086</v>
      </c>
      <c r="D44" s="288" t="s">
        <v>1100</v>
      </c>
      <c r="H44" s="761">
        <f>(C8/(-(G7+G6+G5+G13+G12)))</f>
        <v>0.33027721669798793</v>
      </c>
      <c r="I44" s="761">
        <f>(C27/(-(G26+G25+G24+G32+G31)))</f>
        <v>0.37922863961517378</v>
      </c>
    </row>
    <row r="46" spans="1:12" x14ac:dyDescent="0.25">
      <c r="F46" s="288"/>
    </row>
    <row r="47" spans="1:12" x14ac:dyDescent="0.25">
      <c r="F47" s="288"/>
      <c r="H47" s="288"/>
    </row>
    <row r="48" spans="1:12" x14ac:dyDescent="0.25">
      <c r="F48" s="288"/>
    </row>
    <row r="49" spans="6:8" x14ac:dyDescent="0.25">
      <c r="F49" s="288"/>
      <c r="H49" s="289"/>
    </row>
    <row r="50" spans="6:8" x14ac:dyDescent="0.25">
      <c r="F50" s="288"/>
      <c r="H50" s="290"/>
    </row>
    <row r="51" spans="6:8" x14ac:dyDescent="0.25">
      <c r="F51" s="288"/>
    </row>
    <row r="52" spans="6:8" x14ac:dyDescent="0.25">
      <c r="F52" s="288"/>
    </row>
  </sheetData>
  <mergeCells count="43">
    <mergeCell ref="A36:B36"/>
    <mergeCell ref="E36:F36"/>
    <mergeCell ref="A38:B38"/>
    <mergeCell ref="E38:F38"/>
    <mergeCell ref="A33:B33"/>
    <mergeCell ref="E33:F33"/>
    <mergeCell ref="A29:B29"/>
    <mergeCell ref="E29:F29"/>
    <mergeCell ref="A30:B30"/>
    <mergeCell ref="E32:F32"/>
    <mergeCell ref="A23:C23"/>
    <mergeCell ref="E23:G23"/>
    <mergeCell ref="A26:C26"/>
    <mergeCell ref="E26:F26"/>
    <mergeCell ref="A27:B27"/>
    <mergeCell ref="E27:F27"/>
    <mergeCell ref="A28:B28"/>
    <mergeCell ref="E28:F28"/>
    <mergeCell ref="E17:F17"/>
    <mergeCell ref="A19:B19"/>
    <mergeCell ref="E19:F19"/>
    <mergeCell ref="A20:I20"/>
    <mergeCell ref="A11:B11"/>
    <mergeCell ref="E11:F11"/>
    <mergeCell ref="E13:F13"/>
    <mergeCell ref="A14:B14"/>
    <mergeCell ref="E14:F14"/>
    <mergeCell ref="A21:I21"/>
    <mergeCell ref="A22:I22"/>
    <mergeCell ref="A10:B10"/>
    <mergeCell ref="E10:F10"/>
    <mergeCell ref="A1:I1"/>
    <mergeCell ref="A2:I2"/>
    <mergeCell ref="A3:I3"/>
    <mergeCell ref="A4:C4"/>
    <mergeCell ref="E4:G4"/>
    <mergeCell ref="A6:B6"/>
    <mergeCell ref="E7:F7"/>
    <mergeCell ref="A8:B8"/>
    <mergeCell ref="E8:F8"/>
    <mergeCell ref="A9:B9"/>
    <mergeCell ref="E9:F9"/>
    <mergeCell ref="A17:B17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49"/>
  <sheetViews>
    <sheetView zoomScale="90" zoomScaleNormal="90" workbookViewId="0">
      <selection activeCell="P3" sqref="P3"/>
    </sheetView>
  </sheetViews>
  <sheetFormatPr baseColWidth="10" defaultColWidth="11.44140625" defaultRowHeight="13.8" x14ac:dyDescent="0.25"/>
  <cols>
    <col min="1" max="1" width="11.33203125" style="262" customWidth="1"/>
    <col min="2" max="2" width="29" style="262" customWidth="1"/>
    <col min="3" max="3" width="13.6640625" style="262" customWidth="1"/>
    <col min="4" max="4" width="15.5546875" style="743" customWidth="1"/>
    <col min="5" max="5" width="17.5546875" style="262" customWidth="1"/>
    <col min="6" max="6" width="22.6640625" style="262" customWidth="1"/>
    <col min="7" max="7" width="14.44140625" style="262" bestFit="1" customWidth="1"/>
    <col min="8" max="8" width="13.88671875" style="262" customWidth="1"/>
    <col min="9" max="9" width="13.6640625" style="262" customWidth="1"/>
    <col min="10" max="12" width="11.44140625" style="303"/>
    <col min="13" max="13" width="11.44140625" style="262"/>
    <col min="14" max="14" width="18.109375" style="262" customWidth="1"/>
    <col min="15" max="15" width="25.88671875" style="262" customWidth="1"/>
    <col min="16" max="17" width="11.44140625" style="756"/>
    <col min="18" max="16384" width="11.44140625" style="262"/>
  </cols>
  <sheetData>
    <row r="1" spans="1:17" x14ac:dyDescent="0.25">
      <c r="A1" s="901" t="s">
        <v>1080</v>
      </c>
      <c r="B1" s="902"/>
      <c r="C1" s="902"/>
      <c r="D1" s="902"/>
      <c r="E1" s="902"/>
      <c r="F1" s="902"/>
      <c r="G1" s="902"/>
      <c r="H1" s="902"/>
      <c r="I1" s="903"/>
    </row>
    <row r="2" spans="1:17" x14ac:dyDescent="0.25">
      <c r="A2" s="904" t="s">
        <v>230</v>
      </c>
      <c r="B2" s="905"/>
      <c r="C2" s="905"/>
      <c r="D2" s="905"/>
      <c r="E2" s="905"/>
      <c r="F2" s="905"/>
      <c r="G2" s="905"/>
      <c r="H2" s="905"/>
      <c r="I2" s="906"/>
      <c r="P2" s="756">
        <v>2020</v>
      </c>
      <c r="Q2" s="756">
        <v>2019</v>
      </c>
    </row>
    <row r="3" spans="1:17" ht="44.25" customHeight="1" x14ac:dyDescent="0.25">
      <c r="A3" s="904" t="s">
        <v>231</v>
      </c>
      <c r="B3" s="905"/>
      <c r="C3" s="905"/>
      <c r="D3" s="905"/>
      <c r="E3" s="905"/>
      <c r="F3" s="905"/>
      <c r="G3" s="905"/>
      <c r="H3" s="905"/>
      <c r="I3" s="906"/>
      <c r="L3" s="303" t="s">
        <v>1101</v>
      </c>
      <c r="O3" s="262" t="s">
        <v>146</v>
      </c>
      <c r="P3" s="758">
        <f>(C7/-(G6+G5+G12))</f>
        <v>0.98904084195992825</v>
      </c>
      <c r="Q3" s="758">
        <f>(C25/(-(G24+G23+G30)))</f>
        <v>0.96957876939281007</v>
      </c>
    </row>
    <row r="4" spans="1:17" ht="37.5" customHeight="1" x14ac:dyDescent="0.25">
      <c r="A4" s="870" t="s">
        <v>233</v>
      </c>
      <c r="B4" s="871"/>
      <c r="C4" s="871"/>
      <c r="D4" s="738"/>
      <c r="E4" s="871" t="s">
        <v>234</v>
      </c>
      <c r="F4" s="871"/>
      <c r="G4" s="871"/>
      <c r="H4" s="263"/>
      <c r="I4" s="264"/>
      <c r="J4" s="304"/>
      <c r="O4" s="262" t="s">
        <v>1102</v>
      </c>
      <c r="P4" s="757"/>
      <c r="Q4" s="757"/>
    </row>
    <row r="5" spans="1:17" ht="14.4" thickBot="1" x14ac:dyDescent="0.3">
      <c r="A5" s="724"/>
      <c r="B5" s="725"/>
      <c r="C5" s="725"/>
      <c r="D5" s="605">
        <v>15420</v>
      </c>
      <c r="E5" s="263" t="s">
        <v>1063</v>
      </c>
      <c r="F5" s="263"/>
      <c r="G5" s="265">
        <v>-15420</v>
      </c>
      <c r="H5" s="263"/>
      <c r="I5" s="264"/>
      <c r="J5" s="304"/>
      <c r="P5" s="757"/>
      <c r="Q5" s="757"/>
    </row>
    <row r="6" spans="1:17" ht="37.5" customHeight="1" thickTop="1" thickBot="1" x14ac:dyDescent="0.3">
      <c r="A6" s="907"/>
      <c r="B6" s="908"/>
      <c r="C6" s="908"/>
      <c r="D6" s="732">
        <v>284932</v>
      </c>
      <c r="E6" s="897" t="s">
        <v>1083</v>
      </c>
      <c r="F6" s="897"/>
      <c r="G6" s="265">
        <f>-196000-83548-2095-3289</f>
        <v>-284932</v>
      </c>
      <c r="H6" s="263"/>
      <c r="I6" s="264"/>
      <c r="J6" s="304"/>
      <c r="P6" s="757"/>
      <c r="Q6" s="757"/>
    </row>
    <row r="7" spans="1:17" ht="31.5" customHeight="1" thickTop="1" thickBot="1" x14ac:dyDescent="0.3">
      <c r="A7" s="898" t="s">
        <v>237</v>
      </c>
      <c r="B7" s="899"/>
      <c r="C7" s="291">
        <f>296127+3640+484+6519+2690</f>
        <v>309460</v>
      </c>
      <c r="D7" s="739"/>
      <c r="E7" s="900" t="s">
        <v>238</v>
      </c>
      <c r="F7" s="900"/>
      <c r="G7" s="292">
        <f>SUM(G5:G6)</f>
        <v>-300352</v>
      </c>
      <c r="H7" s="267" t="s">
        <v>239</v>
      </c>
      <c r="I7" s="293">
        <f>C7+G7</f>
        <v>9108</v>
      </c>
      <c r="J7" s="304"/>
      <c r="L7" s="303" t="s">
        <v>1103</v>
      </c>
      <c r="O7" s="262" t="s">
        <v>146</v>
      </c>
      <c r="P7" s="759">
        <f>(C7/-(G6+G5+G12+G11))</f>
        <v>0.85215945014154004</v>
      </c>
      <c r="Q7" s="759">
        <f>(C25/(-(G24+G23+G30+G29)))</f>
        <v>0.74045822092052138</v>
      </c>
    </row>
    <row r="8" spans="1:17" ht="27.75" customHeight="1" thickTop="1" x14ac:dyDescent="0.25">
      <c r="A8" s="878"/>
      <c r="B8" s="879"/>
      <c r="C8" s="269"/>
      <c r="D8" s="732">
        <v>9108</v>
      </c>
      <c r="E8" s="879"/>
      <c r="F8" s="879"/>
      <c r="G8" s="270"/>
      <c r="H8" s="267"/>
      <c r="I8" s="271"/>
      <c r="J8" s="304"/>
      <c r="O8" s="262" t="s">
        <v>1104</v>
      </c>
    </row>
    <row r="9" spans="1:17" ht="14.4" thickBot="1" x14ac:dyDescent="0.3">
      <c r="A9" s="898" t="s">
        <v>243</v>
      </c>
      <c r="B9" s="899"/>
      <c r="C9" s="294">
        <f>3650+151</f>
        <v>3801</v>
      </c>
      <c r="D9" s="739">
        <v>0</v>
      </c>
      <c r="E9" s="899" t="s">
        <v>244</v>
      </c>
      <c r="F9" s="899"/>
      <c r="G9" s="295">
        <v>0</v>
      </c>
      <c r="H9" s="267" t="s">
        <v>245</v>
      </c>
      <c r="I9" s="296">
        <f>C9+G9</f>
        <v>3801</v>
      </c>
      <c r="J9" s="304"/>
      <c r="K9" s="304">
        <f>C9</f>
        <v>3801</v>
      </c>
    </row>
    <row r="10" spans="1:17" ht="14.4" thickTop="1" x14ac:dyDescent="0.25">
      <c r="A10" s="878"/>
      <c r="B10" s="879"/>
      <c r="C10" s="269"/>
      <c r="D10" s="747">
        <v>3429</v>
      </c>
      <c r="E10" s="896">
        <v>357</v>
      </c>
      <c r="F10" s="896"/>
      <c r="G10" s="269"/>
      <c r="H10" s="272"/>
      <c r="I10" s="271"/>
      <c r="J10" s="304"/>
      <c r="K10" s="304">
        <f>-D10</f>
        <v>-3429</v>
      </c>
    </row>
    <row r="11" spans="1:17" x14ac:dyDescent="0.25">
      <c r="A11" s="273"/>
      <c r="D11" s="740"/>
      <c r="E11" s="262" t="s">
        <v>1072</v>
      </c>
      <c r="G11" s="269">
        <v>-50259</v>
      </c>
      <c r="H11" s="274"/>
      <c r="I11" s="275"/>
      <c r="J11" s="304">
        <f>G12</f>
        <v>-12537</v>
      </c>
      <c r="K11" s="304">
        <f>K9+K10</f>
        <v>372</v>
      </c>
      <c r="L11" s="304">
        <f>G11</f>
        <v>-50259</v>
      </c>
    </row>
    <row r="12" spans="1:17" x14ac:dyDescent="0.25">
      <c r="A12" s="276"/>
      <c r="B12" s="263"/>
      <c r="C12" s="263"/>
      <c r="D12" s="605"/>
      <c r="E12" s="897" t="s">
        <v>251</v>
      </c>
      <c r="F12" s="897"/>
      <c r="G12" s="269">
        <v>-12537</v>
      </c>
      <c r="H12" s="723"/>
      <c r="I12" s="271"/>
      <c r="J12" s="744">
        <f>D8</f>
        <v>9108</v>
      </c>
      <c r="K12" s="304">
        <f>F14</f>
        <v>15</v>
      </c>
      <c r="L12" s="744">
        <f>E10</f>
        <v>357</v>
      </c>
    </row>
    <row r="13" spans="1:17" ht="14.4" thickBot="1" x14ac:dyDescent="0.3">
      <c r="A13" s="898" t="s">
        <v>253</v>
      </c>
      <c r="B13" s="899"/>
      <c r="C13" s="297">
        <v>46974</v>
      </c>
      <c r="D13" s="605">
        <v>46974</v>
      </c>
      <c r="E13" s="900" t="s">
        <v>254</v>
      </c>
      <c r="F13" s="900"/>
      <c r="G13" s="298">
        <f>SUM(G11:G12)</f>
        <v>-62796</v>
      </c>
      <c r="H13" s="267" t="s">
        <v>255</v>
      </c>
      <c r="I13" s="299">
        <f>C13+G13</f>
        <v>-15822</v>
      </c>
      <c r="J13" s="304">
        <f>J11+J12</f>
        <v>-3429</v>
      </c>
      <c r="K13" s="304">
        <f>K11-K12</f>
        <v>357</v>
      </c>
      <c r="L13" s="304">
        <f>L11+L12</f>
        <v>-49902</v>
      </c>
    </row>
    <row r="14" spans="1:17" ht="15" thickTop="1" thickBot="1" x14ac:dyDescent="0.3">
      <c r="A14" s="726"/>
      <c r="B14" s="727"/>
      <c r="C14" s="277"/>
      <c r="D14" s="739"/>
      <c r="E14" s="728" t="s">
        <v>1076</v>
      </c>
      <c r="F14" s="732">
        <v>15</v>
      </c>
      <c r="G14" s="279">
        <f>I14</f>
        <v>-15</v>
      </c>
      <c r="H14" s="267" t="s">
        <v>1077</v>
      </c>
      <c r="I14" s="268">
        <v>-15</v>
      </c>
      <c r="L14" s="304">
        <f>D13</f>
        <v>46974</v>
      </c>
    </row>
    <row r="15" spans="1:17" ht="14.4" thickTop="1" x14ac:dyDescent="0.25">
      <c r="A15" s="726"/>
      <c r="B15" s="727"/>
      <c r="C15" s="277"/>
      <c r="D15" s="605">
        <v>2928</v>
      </c>
      <c r="E15" s="728"/>
      <c r="F15" s="728"/>
      <c r="G15" s="277"/>
      <c r="H15" s="267"/>
      <c r="I15" s="280"/>
      <c r="L15" s="304">
        <f>D15</f>
        <v>2928</v>
      </c>
    </row>
    <row r="16" spans="1:17" ht="14.4" thickBot="1" x14ac:dyDescent="0.3">
      <c r="A16" s="898" t="s">
        <v>276</v>
      </c>
      <c r="B16" s="899"/>
      <c r="C16" s="305">
        <f>-I16</f>
        <v>2928</v>
      </c>
      <c r="D16" s="739"/>
      <c r="E16" s="897" t="s">
        <v>260</v>
      </c>
      <c r="F16" s="897"/>
      <c r="G16" s="266">
        <v>0</v>
      </c>
      <c r="H16" s="301" t="s">
        <v>261</v>
      </c>
      <c r="I16" s="302">
        <f>I7+I9+I13+I14</f>
        <v>-2928</v>
      </c>
      <c r="L16" s="304">
        <f>L13+L14+L15</f>
        <v>0</v>
      </c>
    </row>
    <row r="17" spans="1:12" ht="14.4" thickTop="1" x14ac:dyDescent="0.25">
      <c r="A17" s="276"/>
      <c r="B17" s="263"/>
      <c r="C17" s="277"/>
      <c r="D17" s="739"/>
      <c r="E17" s="723"/>
      <c r="F17" s="723"/>
      <c r="G17" s="277"/>
      <c r="H17" s="267" t="s">
        <v>262</v>
      </c>
      <c r="I17" s="280">
        <f>I36</f>
        <v>4441</v>
      </c>
      <c r="L17" s="304"/>
    </row>
    <row r="18" spans="1:12" ht="14.4" thickBot="1" x14ac:dyDescent="0.3">
      <c r="A18" s="883" t="s">
        <v>264</v>
      </c>
      <c r="B18" s="884"/>
      <c r="C18" s="300">
        <f>C7+C9+C13+C16</f>
        <v>363163</v>
      </c>
      <c r="D18" s="741" t="s">
        <v>281</v>
      </c>
      <c r="E18" s="885" t="s">
        <v>265</v>
      </c>
      <c r="F18" s="885"/>
      <c r="G18" s="300">
        <f>G7+G9+G13+G14+G16</f>
        <v>-363163</v>
      </c>
      <c r="H18" s="282" t="s">
        <v>266</v>
      </c>
      <c r="I18" s="283">
        <f>I17+I16</f>
        <v>1513</v>
      </c>
      <c r="L18" s="304"/>
    </row>
    <row r="19" spans="1:12" x14ac:dyDescent="0.25">
      <c r="A19" s="909" t="s">
        <v>1080</v>
      </c>
      <c r="B19" s="910"/>
      <c r="C19" s="910"/>
      <c r="D19" s="910"/>
      <c r="E19" s="910"/>
      <c r="F19" s="910"/>
      <c r="G19" s="910"/>
      <c r="H19" s="910"/>
      <c r="I19" s="911"/>
    </row>
    <row r="20" spans="1:12" x14ac:dyDescent="0.25">
      <c r="A20" s="912" t="s">
        <v>230</v>
      </c>
      <c r="B20" s="913"/>
      <c r="C20" s="913"/>
      <c r="D20" s="913"/>
      <c r="E20" s="913"/>
      <c r="F20" s="913"/>
      <c r="G20" s="913"/>
      <c r="H20" s="913"/>
      <c r="I20" s="914"/>
    </row>
    <row r="21" spans="1:12" x14ac:dyDescent="0.25">
      <c r="A21" s="912" t="s">
        <v>1082</v>
      </c>
      <c r="B21" s="913"/>
      <c r="C21" s="913"/>
      <c r="D21" s="913"/>
      <c r="E21" s="913"/>
      <c r="F21" s="913"/>
      <c r="G21" s="913"/>
      <c r="H21" s="913"/>
      <c r="I21" s="914"/>
    </row>
    <row r="22" spans="1:12" x14ac:dyDescent="0.25">
      <c r="A22" s="870" t="s">
        <v>233</v>
      </c>
      <c r="B22" s="871"/>
      <c r="C22" s="871"/>
      <c r="D22" s="738"/>
      <c r="E22" s="871" t="s">
        <v>234</v>
      </c>
      <c r="F22" s="871"/>
      <c r="G22" s="871"/>
      <c r="H22" s="263"/>
      <c r="I22" s="264"/>
    </row>
    <row r="23" spans="1:12" ht="14.4" thickBot="1" x14ac:dyDescent="0.3">
      <c r="A23" s="724"/>
      <c r="B23" s="725"/>
      <c r="C23" s="725"/>
      <c r="D23" s="605">
        <v>17285</v>
      </c>
      <c r="E23" s="263" t="s">
        <v>1063</v>
      </c>
      <c r="F23" s="263"/>
      <c r="G23" s="643">
        <f>-17285</f>
        <v>-17285</v>
      </c>
      <c r="H23" s="263"/>
      <c r="I23" s="264"/>
    </row>
    <row r="24" spans="1:12" ht="15" thickTop="1" thickBot="1" x14ac:dyDescent="0.3">
      <c r="A24" s="907"/>
      <c r="B24" s="908"/>
      <c r="C24" s="908"/>
      <c r="D24" s="732">
        <v>366795</v>
      </c>
      <c r="E24" s="897" t="s">
        <v>1083</v>
      </c>
      <c r="F24" s="897"/>
      <c r="G24" s="643">
        <f>-261937-98262-1888-4708</f>
        <v>-366795</v>
      </c>
      <c r="H24" s="263"/>
      <c r="I24" s="264"/>
    </row>
    <row r="25" spans="1:12" ht="15" thickTop="1" thickBot="1" x14ac:dyDescent="0.3">
      <c r="A25" s="898" t="s">
        <v>237</v>
      </c>
      <c r="B25" s="899"/>
      <c r="C25" s="291">
        <f>375123+4482+680+3110+1393</f>
        <v>384788</v>
      </c>
      <c r="D25" s="605"/>
      <c r="E25" s="900" t="s">
        <v>238</v>
      </c>
      <c r="F25" s="900"/>
      <c r="G25" s="292">
        <f>SUM(G23:G24)</f>
        <v>-384080</v>
      </c>
      <c r="H25" s="267" t="s">
        <v>239</v>
      </c>
      <c r="I25" s="293">
        <f>C25+G25</f>
        <v>708</v>
      </c>
    </row>
    <row r="26" spans="1:12" ht="14.4" thickTop="1" x14ac:dyDescent="0.25">
      <c r="A26" s="878"/>
      <c r="B26" s="879"/>
      <c r="C26" s="269"/>
      <c r="D26" s="732"/>
      <c r="E26" s="879"/>
      <c r="F26" s="879"/>
      <c r="G26" s="270"/>
      <c r="H26" s="267"/>
      <c r="I26" s="271"/>
    </row>
    <row r="27" spans="1:12" ht="14.4" thickBot="1" x14ac:dyDescent="0.3">
      <c r="A27" s="898" t="s">
        <v>243</v>
      </c>
      <c r="B27" s="899"/>
      <c r="C27" s="294">
        <v>234</v>
      </c>
      <c r="D27" s="605">
        <v>234</v>
      </c>
      <c r="E27" s="899" t="s">
        <v>244</v>
      </c>
      <c r="F27" s="899"/>
      <c r="G27" s="294">
        <v>-332</v>
      </c>
      <c r="H27" s="267" t="s">
        <v>245</v>
      </c>
      <c r="I27" s="718">
        <f>C27+G27</f>
        <v>-98</v>
      </c>
    </row>
    <row r="28" spans="1:12" ht="14.4" thickTop="1" x14ac:dyDescent="0.25">
      <c r="A28" s="878"/>
      <c r="B28" s="879"/>
      <c r="C28" s="269"/>
      <c r="D28" s="747"/>
      <c r="E28" s="740">
        <v>708</v>
      </c>
      <c r="F28" s="740">
        <v>98</v>
      </c>
      <c r="G28" s="269"/>
      <c r="H28" s="272"/>
      <c r="I28" s="271"/>
    </row>
    <row r="29" spans="1:12" x14ac:dyDescent="0.25">
      <c r="A29" s="273"/>
      <c r="D29" s="745">
        <v>122801</v>
      </c>
      <c r="E29" s="262" t="s">
        <v>1072</v>
      </c>
      <c r="G29" s="269">
        <v>-122801</v>
      </c>
      <c r="H29" s="274"/>
      <c r="I29" s="719"/>
    </row>
    <row r="30" spans="1:12" x14ac:dyDescent="0.25">
      <c r="A30" s="276"/>
      <c r="B30" s="263"/>
      <c r="C30" s="263"/>
      <c r="D30" s="746">
        <v>12073</v>
      </c>
      <c r="E30" s="897" t="s">
        <v>251</v>
      </c>
      <c r="F30" s="897"/>
      <c r="G30" s="269">
        <f>-12781</f>
        <v>-12781</v>
      </c>
      <c r="H30" s="723"/>
      <c r="I30" s="271"/>
      <c r="J30" s="304">
        <f>G30</f>
        <v>-12781</v>
      </c>
    </row>
    <row r="31" spans="1:12" ht="14.4" thickBot="1" x14ac:dyDescent="0.3">
      <c r="A31" s="898" t="s">
        <v>253</v>
      </c>
      <c r="B31" s="899"/>
      <c r="C31" s="297">
        <v>137230</v>
      </c>
      <c r="D31" s="605"/>
      <c r="E31" s="900" t="s">
        <v>254</v>
      </c>
      <c r="F31" s="900"/>
      <c r="G31" s="298">
        <f>SUM(G29:G30)</f>
        <v>-135582</v>
      </c>
      <c r="H31" s="267" t="s">
        <v>255</v>
      </c>
      <c r="I31" s="720">
        <f>C31+G31</f>
        <v>1648</v>
      </c>
      <c r="J31" s="744">
        <f>E28</f>
        <v>708</v>
      </c>
    </row>
    <row r="32" spans="1:12" ht="15" thickTop="1" thickBot="1" x14ac:dyDescent="0.3">
      <c r="A32" s="726"/>
      <c r="B32" s="727"/>
      <c r="C32" s="277"/>
      <c r="D32" s="605"/>
      <c r="E32" s="728" t="s">
        <v>1076</v>
      </c>
      <c r="F32" s="278"/>
      <c r="G32" s="279">
        <f>I32</f>
        <v>-79</v>
      </c>
      <c r="H32" s="267" t="s">
        <v>1077</v>
      </c>
      <c r="I32" s="268">
        <v>-79</v>
      </c>
      <c r="J32" s="304">
        <f>J30+J31</f>
        <v>-12073</v>
      </c>
    </row>
    <row r="33" spans="1:10" ht="14.4" thickTop="1" x14ac:dyDescent="0.25">
      <c r="A33" s="726"/>
      <c r="B33" s="727"/>
      <c r="C33" s="277"/>
      <c r="D33" s="605"/>
      <c r="E33" s="728"/>
      <c r="F33" s="745">
        <v>2179</v>
      </c>
      <c r="G33" s="277"/>
      <c r="H33" s="267"/>
      <c r="I33" s="280"/>
    </row>
    <row r="34" spans="1:10" ht="14.4" thickBot="1" x14ac:dyDescent="0.3">
      <c r="A34" s="898" t="s">
        <v>276</v>
      </c>
      <c r="B34" s="899"/>
      <c r="C34" s="266">
        <v>0</v>
      </c>
      <c r="D34" s="605"/>
      <c r="E34" s="897" t="s">
        <v>260</v>
      </c>
      <c r="F34" s="897"/>
      <c r="G34" s="266">
        <f>-I34</f>
        <v>-2179</v>
      </c>
      <c r="H34" s="301" t="s">
        <v>261</v>
      </c>
      <c r="I34" s="302">
        <f>I25+I27+I31+I32</f>
        <v>2179</v>
      </c>
      <c r="J34" s="304">
        <f>C31</f>
        <v>137230</v>
      </c>
    </row>
    <row r="35" spans="1:10" ht="14.4" thickTop="1" x14ac:dyDescent="0.25">
      <c r="A35" s="276"/>
      <c r="B35" s="263"/>
      <c r="C35" s="277"/>
      <c r="D35" s="605"/>
      <c r="E35" s="723"/>
      <c r="F35" s="723"/>
      <c r="G35" s="277"/>
      <c r="H35" s="267" t="s">
        <v>262</v>
      </c>
      <c r="I35" s="280">
        <f>2262</f>
        <v>2262</v>
      </c>
      <c r="J35" s="744">
        <f>F28</f>
        <v>98</v>
      </c>
    </row>
    <row r="36" spans="1:10" ht="14.4" thickBot="1" x14ac:dyDescent="0.3">
      <c r="A36" s="883" t="s">
        <v>264</v>
      </c>
      <c r="B36" s="884"/>
      <c r="C36" s="281">
        <f>C25+C27+C31+C34</f>
        <v>522252</v>
      </c>
      <c r="D36" s="742"/>
      <c r="E36" s="885" t="s">
        <v>265</v>
      </c>
      <c r="F36" s="885"/>
      <c r="G36" s="281">
        <f>G25+G27+G31+G32+G34</f>
        <v>-522252</v>
      </c>
      <c r="H36" s="282" t="s">
        <v>266</v>
      </c>
      <c r="I36" s="283">
        <f>I35+I34</f>
        <v>4441</v>
      </c>
      <c r="J36" s="744">
        <f>D29</f>
        <v>122801</v>
      </c>
    </row>
    <row r="37" spans="1:10" x14ac:dyDescent="0.25">
      <c r="A37" s="263"/>
      <c r="B37" s="263"/>
      <c r="C37" s="263"/>
      <c r="E37" s="263"/>
      <c r="F37" s="263"/>
      <c r="G37" s="263"/>
      <c r="I37" s="284"/>
      <c r="J37" s="744">
        <f>D30</f>
        <v>12073</v>
      </c>
    </row>
    <row r="39" spans="1:10" x14ac:dyDescent="0.25">
      <c r="B39" s="285" t="s">
        <v>1084</v>
      </c>
      <c r="D39" s="743" t="s">
        <v>1085</v>
      </c>
      <c r="I39" s="286">
        <f>C25/-(G24+G30)</f>
        <v>1.0137311105022446</v>
      </c>
    </row>
    <row r="40" spans="1:10" x14ac:dyDescent="0.25">
      <c r="B40" s="285"/>
    </row>
    <row r="41" spans="1:10" x14ac:dyDescent="0.25">
      <c r="B41" s="285" t="s">
        <v>1086</v>
      </c>
      <c r="D41" s="743" t="s">
        <v>1087</v>
      </c>
      <c r="I41" s="287">
        <f>C25/-(G24+G30+G29)</f>
        <v>0.76593474621648683</v>
      </c>
    </row>
    <row r="43" spans="1:10" x14ac:dyDescent="0.25">
      <c r="F43" s="288">
        <v>10350</v>
      </c>
      <c r="H43" s="262">
        <v>95168</v>
      </c>
    </row>
    <row r="44" spans="1:10" x14ac:dyDescent="0.25">
      <c r="F44" s="288">
        <v>1817</v>
      </c>
      <c r="H44" s="288">
        <v>7301</v>
      </c>
    </row>
    <row r="45" spans="1:10" x14ac:dyDescent="0.25">
      <c r="F45" s="288">
        <f>F43-F44</f>
        <v>8533</v>
      </c>
      <c r="H45" s="262">
        <f>H43-H44</f>
        <v>87867</v>
      </c>
    </row>
    <row r="46" spans="1:10" x14ac:dyDescent="0.25">
      <c r="F46" s="288">
        <v>1204</v>
      </c>
      <c r="H46" s="289">
        <v>81616</v>
      </c>
    </row>
    <row r="47" spans="1:10" x14ac:dyDescent="0.25">
      <c r="F47" s="288">
        <f>F45-F46</f>
        <v>7329</v>
      </c>
      <c r="H47" s="290">
        <v>6251</v>
      </c>
    </row>
    <row r="48" spans="1:10" x14ac:dyDescent="0.25">
      <c r="F48" s="288">
        <v>28</v>
      </c>
      <c r="H48" s="262">
        <f>H45-H46-H47</f>
        <v>0</v>
      </c>
    </row>
    <row r="49" spans="6:6" x14ac:dyDescent="0.25">
      <c r="F49" s="288">
        <f>F47-F48</f>
        <v>7301</v>
      </c>
    </row>
  </sheetData>
  <mergeCells count="43">
    <mergeCell ref="A24:C24"/>
    <mergeCell ref="E24:F24"/>
    <mergeCell ref="A19:I19"/>
    <mergeCell ref="A20:I20"/>
    <mergeCell ref="A21:I21"/>
    <mergeCell ref="A22:C22"/>
    <mergeCell ref="E22:G22"/>
    <mergeCell ref="A36:B36"/>
    <mergeCell ref="E36:F36"/>
    <mergeCell ref="A34:B34"/>
    <mergeCell ref="E34:F34"/>
    <mergeCell ref="A25:B25"/>
    <mergeCell ref="E25:F25"/>
    <mergeCell ref="A26:B26"/>
    <mergeCell ref="E26:F26"/>
    <mergeCell ref="A27:B27"/>
    <mergeCell ref="E27:F27"/>
    <mergeCell ref="A28:B28"/>
    <mergeCell ref="E30:F30"/>
    <mergeCell ref="A31:B31"/>
    <mergeCell ref="E31:F31"/>
    <mergeCell ref="A9:B9"/>
    <mergeCell ref="E9:F9"/>
    <mergeCell ref="A1:I1"/>
    <mergeCell ref="A2:I2"/>
    <mergeCell ref="A3:I3"/>
    <mergeCell ref="A4:C4"/>
    <mergeCell ref="E4:G4"/>
    <mergeCell ref="E6:F6"/>
    <mergeCell ref="A7:B7"/>
    <mergeCell ref="E7:F7"/>
    <mergeCell ref="A8:B8"/>
    <mergeCell ref="E8:F8"/>
    <mergeCell ref="A6:C6"/>
    <mergeCell ref="A18:B18"/>
    <mergeCell ref="E18:F18"/>
    <mergeCell ref="A10:B10"/>
    <mergeCell ref="E10:F10"/>
    <mergeCell ref="E12:F12"/>
    <mergeCell ref="A13:B13"/>
    <mergeCell ref="E13:F13"/>
    <mergeCell ref="A16:B16"/>
    <mergeCell ref="E16:F16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"/>
  <sheetViews>
    <sheetView tabSelected="1" zoomScale="120" zoomScaleNormal="120" workbookViewId="0">
      <selection activeCell="I16" sqref="I16"/>
    </sheetView>
  </sheetViews>
  <sheetFormatPr baseColWidth="10" defaultColWidth="11.44140625" defaultRowHeight="13.8" x14ac:dyDescent="0.3"/>
  <cols>
    <col min="1" max="1" width="11.44140625" style="1086"/>
    <col min="2" max="2" width="28" style="1086" customWidth="1"/>
    <col min="3" max="3" width="11.44140625" style="1086"/>
    <col min="4" max="4" width="5.44140625" style="1086" customWidth="1"/>
    <col min="5" max="5" width="11.44140625" style="1086"/>
    <col min="6" max="6" width="20.44140625" style="1086" customWidth="1"/>
    <col min="7" max="7" width="7.33203125" style="1086" customWidth="1"/>
    <col min="8" max="8" width="9.6640625" style="1086" customWidth="1"/>
    <col min="9" max="9" width="9.109375" style="1086" customWidth="1"/>
    <col min="10" max="10" width="37.109375" style="1086" customWidth="1"/>
    <col min="11" max="11" width="4" style="1086" customWidth="1"/>
    <col min="12" max="15" width="11.44140625" style="1086"/>
    <col min="16" max="16" width="18" style="1086" customWidth="1"/>
    <col min="17" max="16384" width="11.44140625" style="1086"/>
  </cols>
  <sheetData>
    <row r="1" spans="1:14" x14ac:dyDescent="0.3">
      <c r="A1" s="1082" t="s">
        <v>229</v>
      </c>
      <c r="B1" s="1083"/>
      <c r="C1" s="1083"/>
      <c r="D1" s="1083"/>
      <c r="E1" s="1083"/>
      <c r="F1" s="1083"/>
      <c r="G1" s="1083"/>
      <c r="H1" s="1083"/>
      <c r="I1" s="1084"/>
      <c r="J1" s="1085"/>
    </row>
    <row r="2" spans="1:14" x14ac:dyDescent="0.3">
      <c r="A2" s="1087" t="s">
        <v>230</v>
      </c>
      <c r="B2" s="1088"/>
      <c r="C2" s="1088"/>
      <c r="D2" s="1088"/>
      <c r="E2" s="1088"/>
      <c r="F2" s="1088"/>
      <c r="G2" s="1088"/>
      <c r="H2" s="1088"/>
      <c r="I2" s="1089"/>
      <c r="J2" s="1085"/>
    </row>
    <row r="3" spans="1:14" ht="23.4" x14ac:dyDescent="0.45">
      <c r="A3" s="1087" t="s">
        <v>1133</v>
      </c>
      <c r="B3" s="1088"/>
      <c r="C3" s="1088"/>
      <c r="D3" s="1088"/>
      <c r="E3" s="1088"/>
      <c r="F3" s="1088"/>
      <c r="G3" s="1088"/>
      <c r="H3" s="1088"/>
      <c r="I3" s="1089"/>
      <c r="J3" s="1085"/>
      <c r="N3" s="1090" t="s">
        <v>232</v>
      </c>
    </row>
    <row r="4" spans="1:14" ht="14.4" thickBot="1" x14ac:dyDescent="0.35">
      <c r="A4" s="1091"/>
      <c r="B4" s="1092"/>
      <c r="C4" s="1092"/>
      <c r="D4" s="1093"/>
      <c r="E4" s="1092" t="s">
        <v>234</v>
      </c>
      <c r="F4" s="1092"/>
      <c r="G4" s="1092"/>
      <c r="H4" s="1094"/>
      <c r="I4" s="1095"/>
      <c r="J4" s="1094" t="s">
        <v>146</v>
      </c>
    </row>
    <row r="5" spans="1:14" x14ac:dyDescent="0.3">
      <c r="A5" s="1096"/>
      <c r="B5" s="1097"/>
      <c r="C5" s="1097"/>
      <c r="D5" s="1098">
        <v>16</v>
      </c>
      <c r="E5" s="1097"/>
      <c r="F5" s="1097"/>
      <c r="G5" s="1097"/>
      <c r="H5" s="1094"/>
      <c r="I5" s="1095"/>
      <c r="J5" s="1094" t="s">
        <v>235</v>
      </c>
      <c r="L5" s="1099" t="s">
        <v>236</v>
      </c>
      <c r="M5" s="1086" t="s">
        <v>146</v>
      </c>
    </row>
    <row r="6" spans="1:14" ht="14.4" thickBot="1" x14ac:dyDescent="0.35">
      <c r="A6" s="1154" t="s">
        <v>237</v>
      </c>
      <c r="B6" s="1155"/>
      <c r="C6" s="1156">
        <v>49</v>
      </c>
      <c r="D6" s="1157"/>
      <c r="E6" s="1158" t="s">
        <v>238</v>
      </c>
      <c r="F6" s="1158"/>
      <c r="G6" s="1156">
        <f>'EEFF Las Sabrositas Clase'!X66</f>
        <v>-16</v>
      </c>
      <c r="H6" s="1159" t="s">
        <v>239</v>
      </c>
      <c r="I6" s="1160">
        <f>C6+G6</f>
        <v>33</v>
      </c>
      <c r="J6" s="1106" t="s">
        <v>240</v>
      </c>
      <c r="L6" s="1107"/>
      <c r="M6" s="1086" t="s">
        <v>241</v>
      </c>
    </row>
    <row r="7" spans="1:14" ht="15" thickTop="1" thickBot="1" x14ac:dyDescent="0.35">
      <c r="A7" s="1108"/>
      <c r="B7" s="1109"/>
      <c r="C7" s="1110"/>
      <c r="D7" s="1098">
        <v>0</v>
      </c>
      <c r="E7" s="1109"/>
      <c r="F7" s="1109"/>
      <c r="G7" s="1110"/>
      <c r="H7" s="1104"/>
      <c r="I7" s="1111"/>
      <c r="J7" s="1106" t="s">
        <v>242</v>
      </c>
      <c r="L7" s="1112"/>
    </row>
    <row r="8" spans="1:14" ht="14.4" thickBot="1" x14ac:dyDescent="0.35">
      <c r="A8" s="1147" t="s">
        <v>243</v>
      </c>
      <c r="B8" s="1148"/>
      <c r="C8" s="1149">
        <v>0</v>
      </c>
      <c r="D8" s="1150"/>
      <c r="E8" s="1148" t="s">
        <v>244</v>
      </c>
      <c r="F8" s="1148"/>
      <c r="G8" s="1151">
        <f>'EEFF Las Sabrositas Clase'!Z66</f>
        <v>-50</v>
      </c>
      <c r="H8" s="1152" t="s">
        <v>245</v>
      </c>
      <c r="I8" s="1153">
        <f>C8+G8</f>
        <v>-50</v>
      </c>
      <c r="J8" s="1106" t="s">
        <v>246</v>
      </c>
    </row>
    <row r="9" spans="1:14" ht="15" thickTop="1" thickBot="1" x14ac:dyDescent="0.35">
      <c r="A9" s="1108"/>
      <c r="B9" s="1109"/>
      <c r="C9" s="1110"/>
      <c r="D9" s="1094"/>
      <c r="E9" s="1115" t="s">
        <v>247</v>
      </c>
      <c r="F9" s="1115"/>
      <c r="G9" s="1110"/>
      <c r="H9" s="1104"/>
      <c r="I9" s="1111"/>
      <c r="J9" s="1106" t="s">
        <v>248</v>
      </c>
    </row>
    <row r="10" spans="1:14" x14ac:dyDescent="0.3">
      <c r="A10" s="1116"/>
      <c r="B10" s="1115"/>
      <c r="C10" s="1115"/>
      <c r="D10" s="1117">
        <v>50</v>
      </c>
      <c r="E10" s="1115" t="s">
        <v>249</v>
      </c>
      <c r="F10" s="1115"/>
      <c r="G10" s="1110"/>
      <c r="H10" s="1118"/>
      <c r="I10" s="1119"/>
      <c r="J10" s="1115"/>
      <c r="L10" s="1099" t="s">
        <v>250</v>
      </c>
      <c r="M10" s="1086" t="s">
        <v>146</v>
      </c>
    </row>
    <row r="11" spans="1:14" x14ac:dyDescent="0.3">
      <c r="A11" s="1120"/>
      <c r="B11" s="1094"/>
      <c r="C11" s="1094"/>
      <c r="D11" s="1117"/>
      <c r="E11" s="1121" t="s">
        <v>251</v>
      </c>
      <c r="F11" s="1121"/>
      <c r="G11" s="1110"/>
      <c r="H11" s="1122"/>
      <c r="I11" s="1111"/>
      <c r="J11" s="1106" t="s">
        <v>147</v>
      </c>
      <c r="L11" s="1107"/>
      <c r="M11" s="1086" t="s">
        <v>252</v>
      </c>
    </row>
    <row r="12" spans="1:14" ht="14.4" thickBot="1" x14ac:dyDescent="0.35">
      <c r="A12" s="1161" t="s">
        <v>253</v>
      </c>
      <c r="B12" s="1162"/>
      <c r="C12" s="1163">
        <f>'EEFF Las Sabrositas Clase'!AB65</f>
        <v>100</v>
      </c>
      <c r="D12" s="1164"/>
      <c r="E12" s="1165" t="s">
        <v>254</v>
      </c>
      <c r="F12" s="1165"/>
      <c r="G12" s="1166">
        <f>'EEFF Las Sabrositas Clase'!AB66</f>
        <v>0</v>
      </c>
      <c r="H12" s="1167" t="s">
        <v>255</v>
      </c>
      <c r="I12" s="1168">
        <f>C12+G12</f>
        <v>100</v>
      </c>
      <c r="J12" s="1123" t="s">
        <v>256</v>
      </c>
      <c r="L12" s="1112"/>
    </row>
    <row r="13" spans="1:14" ht="15" thickTop="1" thickBot="1" x14ac:dyDescent="0.35">
      <c r="A13" s="1124"/>
      <c r="B13" s="1085"/>
      <c r="C13" s="1125"/>
      <c r="D13" s="1094"/>
      <c r="E13" s="1126"/>
      <c r="F13" s="1126"/>
      <c r="G13" s="1127"/>
      <c r="H13" s="1104"/>
      <c r="I13" s="1105"/>
      <c r="J13" s="1123" t="s">
        <v>257</v>
      </c>
    </row>
    <row r="14" spans="1:14" ht="14.4" thickTop="1" x14ac:dyDescent="0.3">
      <c r="A14" s="1124"/>
      <c r="B14" s="1085"/>
      <c r="C14" s="1125"/>
      <c r="D14" s="1094"/>
      <c r="E14" s="1128">
        <v>50</v>
      </c>
      <c r="F14" s="1128">
        <v>33</v>
      </c>
      <c r="G14" s="1125"/>
      <c r="H14" s="1104"/>
      <c r="I14" s="1129"/>
      <c r="J14" s="1123"/>
    </row>
    <row r="15" spans="1:14" ht="14.4" thickBot="1" x14ac:dyDescent="0.35">
      <c r="A15" s="1100" t="s">
        <v>258</v>
      </c>
      <c r="B15" s="1101"/>
      <c r="C15" s="1102"/>
      <c r="D15" s="1130" t="s">
        <v>259</v>
      </c>
      <c r="E15" s="1121" t="s">
        <v>260</v>
      </c>
      <c r="F15" s="1121"/>
      <c r="G15" s="1102">
        <f>-I15</f>
        <v>-83</v>
      </c>
      <c r="H15" s="1104" t="s">
        <v>261</v>
      </c>
      <c r="I15" s="1114">
        <f>I6+I8+I12</f>
        <v>83</v>
      </c>
      <c r="J15" s="1123" t="s">
        <v>148</v>
      </c>
    </row>
    <row r="16" spans="1:14" ht="14.4" thickTop="1" x14ac:dyDescent="0.3">
      <c r="A16" s="1120"/>
      <c r="B16" s="1094"/>
      <c r="C16" s="1125"/>
      <c r="D16" s="1094"/>
      <c r="E16" s="1122"/>
      <c r="F16" s="1122"/>
      <c r="G16" s="1125"/>
      <c r="H16" s="1104" t="s">
        <v>262</v>
      </c>
      <c r="I16" s="1129">
        <f>'EEFF Las Sabrositas SAS'!F13</f>
        <v>0</v>
      </c>
      <c r="J16" s="1123" t="s">
        <v>263</v>
      </c>
    </row>
    <row r="17" spans="1:14" ht="14.4" thickBot="1" x14ac:dyDescent="0.35">
      <c r="A17" s="1131" t="s">
        <v>264</v>
      </c>
      <c r="B17" s="1132"/>
      <c r="C17" s="1133">
        <f>C6+C8+C12+C15</f>
        <v>149</v>
      </c>
      <c r="D17" s="1134" t="s">
        <v>35</v>
      </c>
      <c r="E17" s="1135" t="s">
        <v>265</v>
      </c>
      <c r="F17" s="1135"/>
      <c r="G17" s="1133">
        <f>G6+G8+G12+G15</f>
        <v>-149</v>
      </c>
      <c r="H17" s="1136" t="s">
        <v>266</v>
      </c>
      <c r="I17" s="1137">
        <f>'EEFF Las Sabrositas SAS'!F59</f>
        <v>83</v>
      </c>
      <c r="J17" s="1123" t="s">
        <v>267</v>
      </c>
    </row>
    <row r="18" spans="1:14" ht="14.4" thickBot="1" x14ac:dyDescent="0.35">
      <c r="J18" s="1086" t="s">
        <v>268</v>
      </c>
    </row>
    <row r="19" spans="1:14" x14ac:dyDescent="0.3">
      <c r="A19" s="1082" t="s">
        <v>229</v>
      </c>
      <c r="B19" s="1083"/>
      <c r="C19" s="1083"/>
      <c r="D19" s="1083"/>
      <c r="E19" s="1083"/>
      <c r="F19" s="1083"/>
      <c r="G19" s="1083"/>
      <c r="H19" s="1083"/>
      <c r="I19" s="1084"/>
      <c r="J19" s="1085"/>
    </row>
    <row r="20" spans="1:14" x14ac:dyDescent="0.3">
      <c r="A20" s="1087" t="s">
        <v>269</v>
      </c>
      <c r="B20" s="1088"/>
      <c r="C20" s="1088"/>
      <c r="D20" s="1088"/>
      <c r="E20" s="1088"/>
      <c r="F20" s="1088"/>
      <c r="G20" s="1088"/>
      <c r="H20" s="1088"/>
      <c r="I20" s="1089"/>
      <c r="J20" s="1085" t="s">
        <v>270</v>
      </c>
    </row>
    <row r="21" spans="1:14" ht="23.4" x14ac:dyDescent="0.45">
      <c r="A21" s="1087" t="s">
        <v>231</v>
      </c>
      <c r="B21" s="1088"/>
      <c r="C21" s="1088"/>
      <c r="D21" s="1088"/>
      <c r="E21" s="1088"/>
      <c r="F21" s="1088"/>
      <c r="G21" s="1088"/>
      <c r="H21" s="1088"/>
      <c r="I21" s="1089"/>
      <c r="J21" s="1085"/>
      <c r="N21" s="1090" t="s">
        <v>232</v>
      </c>
    </row>
    <row r="22" spans="1:14" ht="14.4" thickBot="1" x14ac:dyDescent="0.35">
      <c r="A22" s="1091" t="s">
        <v>233</v>
      </c>
      <c r="B22" s="1092"/>
      <c r="C22" s="1092"/>
      <c r="D22" s="1093"/>
      <c r="E22" s="1092" t="s">
        <v>234</v>
      </c>
      <c r="F22" s="1092"/>
      <c r="G22" s="1092"/>
      <c r="H22" s="1094"/>
      <c r="I22" s="1095"/>
      <c r="J22" s="1094"/>
    </row>
    <row r="23" spans="1:14" x14ac:dyDescent="0.3">
      <c r="A23" s="1138"/>
      <c r="B23" s="1130"/>
      <c r="C23" s="1130"/>
      <c r="D23" s="1098">
        <v>3</v>
      </c>
      <c r="E23" s="1103"/>
      <c r="F23" s="1103"/>
      <c r="G23" s="1110"/>
      <c r="H23" s="1094"/>
      <c r="I23" s="1095"/>
      <c r="J23" s="1094" t="s">
        <v>146</v>
      </c>
      <c r="L23" s="1099" t="s">
        <v>236</v>
      </c>
      <c r="M23" s="1086" t="s">
        <v>149</v>
      </c>
    </row>
    <row r="24" spans="1:14" ht="14.4" thickBot="1" x14ac:dyDescent="0.35">
      <c r="A24" s="1100" t="s">
        <v>271</v>
      </c>
      <c r="B24" s="1101"/>
      <c r="C24" s="1102">
        <f>'EEFF Las Sabrositas Clase'!AF65</f>
        <v>36</v>
      </c>
      <c r="D24" s="1094"/>
      <c r="E24" s="1103" t="s">
        <v>272</v>
      </c>
      <c r="F24" s="1103"/>
      <c r="G24" s="1113">
        <f>'EEFF Las Sabrositas Clase'!AF66</f>
        <v>-3</v>
      </c>
      <c r="H24" s="1104" t="s">
        <v>239</v>
      </c>
      <c r="I24" s="1105">
        <f>C24+G24</f>
        <v>33</v>
      </c>
      <c r="J24" s="1094" t="s">
        <v>235</v>
      </c>
      <c r="L24" s="1107"/>
      <c r="M24" s="1086" t="s">
        <v>273</v>
      </c>
    </row>
    <row r="25" spans="1:14" ht="15" thickTop="1" thickBot="1" x14ac:dyDescent="0.35">
      <c r="A25" s="1108"/>
      <c r="B25" s="1109"/>
      <c r="C25" s="1110"/>
      <c r="D25" s="1098">
        <v>0</v>
      </c>
      <c r="E25" s="1109"/>
      <c r="F25" s="1109"/>
      <c r="G25" s="1110"/>
      <c r="H25" s="1104"/>
      <c r="I25" s="1111"/>
      <c r="J25" s="1106" t="s">
        <v>240</v>
      </c>
      <c r="L25" s="1112"/>
    </row>
    <row r="26" spans="1:14" ht="14.4" thickBot="1" x14ac:dyDescent="0.35">
      <c r="A26" s="1100" t="s">
        <v>243</v>
      </c>
      <c r="B26" s="1101"/>
      <c r="C26" s="1102">
        <f>'EEFF Las Sabrositas Clase'!AH65</f>
        <v>0</v>
      </c>
      <c r="D26" s="1094"/>
      <c r="E26" s="1101" t="s">
        <v>244</v>
      </c>
      <c r="F26" s="1101"/>
      <c r="G26" s="1113">
        <f>'EEFF Las Sabrositas Clase'!AH66</f>
        <v>-50</v>
      </c>
      <c r="H26" s="1104" t="s">
        <v>245</v>
      </c>
      <c r="I26" s="1114">
        <f>C26+G26</f>
        <v>-50</v>
      </c>
      <c r="J26" s="1106" t="s">
        <v>242</v>
      </c>
    </row>
    <row r="27" spans="1:14" ht="15" thickTop="1" thickBot="1" x14ac:dyDescent="0.35">
      <c r="A27" s="1108"/>
      <c r="B27" s="1109"/>
      <c r="C27" s="1110"/>
      <c r="D27" s="1094"/>
      <c r="E27" s="1121"/>
      <c r="F27" s="1121"/>
      <c r="G27" s="1110"/>
      <c r="H27" s="1104"/>
      <c r="I27" s="1111"/>
      <c r="J27" s="1106" t="s">
        <v>246</v>
      </c>
    </row>
    <row r="28" spans="1:14" x14ac:dyDescent="0.3">
      <c r="A28" s="1116"/>
      <c r="B28" s="1115"/>
      <c r="C28" s="1115"/>
      <c r="D28" s="1139">
        <v>50</v>
      </c>
      <c r="E28" s="1115" t="s">
        <v>249</v>
      </c>
      <c r="F28" s="1115"/>
      <c r="G28" s="1110"/>
      <c r="H28" s="1118"/>
      <c r="I28" s="1119"/>
      <c r="J28" s="1106" t="s">
        <v>248</v>
      </c>
      <c r="L28" s="1099" t="s">
        <v>250</v>
      </c>
      <c r="M28" s="1086" t="s">
        <v>149</v>
      </c>
    </row>
    <row r="29" spans="1:14" ht="14.4" thickBot="1" x14ac:dyDescent="0.35">
      <c r="A29" s="1100" t="s">
        <v>253</v>
      </c>
      <c r="B29" s="1101"/>
      <c r="C29" s="1102">
        <f>'EEFF Las Sabrositas Clase'!AJ65</f>
        <v>100</v>
      </c>
      <c r="D29" s="1094"/>
      <c r="E29" s="1103" t="s">
        <v>254</v>
      </c>
      <c r="F29" s="1103"/>
      <c r="G29" s="1113">
        <f>'EEFF Las Sabrositas Clase'!AJ66</f>
        <v>0</v>
      </c>
      <c r="H29" s="1104" t="s">
        <v>255</v>
      </c>
      <c r="I29" s="1105">
        <f>C29+G29</f>
        <v>100</v>
      </c>
      <c r="J29" s="1115"/>
      <c r="L29" s="1107"/>
      <c r="M29" s="1086" t="s">
        <v>274</v>
      </c>
    </row>
    <row r="30" spans="1:14" ht="15" thickTop="1" thickBot="1" x14ac:dyDescent="0.35">
      <c r="A30" s="1124"/>
      <c r="B30" s="1085"/>
      <c r="C30" s="1125"/>
      <c r="D30" s="1140"/>
      <c r="E30" s="1128">
        <v>50</v>
      </c>
      <c r="F30" s="1128">
        <v>33</v>
      </c>
      <c r="G30" s="1125"/>
      <c r="H30" s="1104"/>
      <c r="I30" s="1129"/>
      <c r="J30" s="1106" t="s">
        <v>147</v>
      </c>
      <c r="L30" s="1112"/>
      <c r="M30" s="1086" t="s">
        <v>275</v>
      </c>
    </row>
    <row r="31" spans="1:14" ht="14.4" thickBot="1" x14ac:dyDescent="0.35">
      <c r="A31" s="1100" t="s">
        <v>276</v>
      </c>
      <c r="B31" s="1101"/>
      <c r="C31" s="1102">
        <v>0</v>
      </c>
      <c r="D31" s="1130" t="s">
        <v>277</v>
      </c>
      <c r="E31" s="1103" t="s">
        <v>278</v>
      </c>
      <c r="F31" s="1103"/>
      <c r="G31" s="1102">
        <f>-I31</f>
        <v>-83</v>
      </c>
      <c r="H31" s="1104" t="s">
        <v>261</v>
      </c>
      <c r="I31" s="1114">
        <f>I24+I26+I29</f>
        <v>83</v>
      </c>
      <c r="J31" s="1123" t="s">
        <v>256</v>
      </c>
    </row>
    <row r="32" spans="1:14" ht="14.4" thickTop="1" x14ac:dyDescent="0.3">
      <c r="A32" s="1124"/>
      <c r="B32" s="1085"/>
      <c r="C32" s="1125"/>
      <c r="D32" s="1094"/>
      <c r="E32" s="1122"/>
      <c r="F32" s="1122"/>
      <c r="G32" s="1125"/>
      <c r="H32" s="1141"/>
      <c r="I32" s="1129"/>
      <c r="J32" s="1123" t="s">
        <v>257</v>
      </c>
      <c r="L32" s="1142" t="s">
        <v>279</v>
      </c>
      <c r="M32" s="1142"/>
    </row>
    <row r="33" spans="1:13" x14ac:dyDescent="0.3">
      <c r="A33" s="1120"/>
      <c r="B33" s="1094"/>
      <c r="C33" s="1125"/>
      <c r="D33" s="1094"/>
      <c r="E33" s="1122"/>
      <c r="F33" s="1122"/>
      <c r="G33" s="1125"/>
      <c r="H33" s="1115"/>
      <c r="I33" s="1129"/>
      <c r="J33" s="1123"/>
      <c r="L33" s="1142"/>
      <c r="M33" s="1142"/>
    </row>
    <row r="34" spans="1:13" ht="14.4" thickBot="1" x14ac:dyDescent="0.35">
      <c r="A34" s="1087" t="s">
        <v>264</v>
      </c>
      <c r="B34" s="1088"/>
      <c r="C34" s="1102">
        <f>C24+C26+C29+C31</f>
        <v>136</v>
      </c>
      <c r="D34" s="1085" t="s">
        <v>35</v>
      </c>
      <c r="E34" s="1103" t="s">
        <v>265</v>
      </c>
      <c r="F34" s="1103"/>
      <c r="G34" s="1102">
        <f>G24+G26+G29+G31</f>
        <v>-136</v>
      </c>
      <c r="H34" s="1085" t="s">
        <v>262</v>
      </c>
      <c r="I34" s="1114">
        <v>0</v>
      </c>
      <c r="J34" s="1123" t="s">
        <v>148</v>
      </c>
      <c r="L34" s="1142"/>
      <c r="M34" s="1142"/>
    </row>
    <row r="35" spans="1:13" ht="15" thickTop="1" thickBot="1" x14ac:dyDescent="0.35">
      <c r="A35" s="1143"/>
      <c r="B35" s="1144"/>
      <c r="C35" s="1144"/>
      <c r="D35" s="1144"/>
      <c r="E35" s="1144"/>
      <c r="F35" s="1144"/>
      <c r="G35" s="1144"/>
      <c r="H35" s="1145" t="s">
        <v>266</v>
      </c>
      <c r="I35" s="1146">
        <f>I34+I31</f>
        <v>83</v>
      </c>
      <c r="J35" s="1123" t="s">
        <v>263</v>
      </c>
    </row>
    <row r="36" spans="1:13" x14ac:dyDescent="0.3">
      <c r="J36" s="1123" t="s">
        <v>267</v>
      </c>
    </row>
    <row r="37" spans="1:13" x14ac:dyDescent="0.3">
      <c r="J37" s="1086" t="s">
        <v>268</v>
      </c>
    </row>
    <row r="38" spans="1:13" x14ac:dyDescent="0.3">
      <c r="J38" s="1085"/>
    </row>
  </sheetData>
  <mergeCells count="46">
    <mergeCell ref="A31:B31"/>
    <mergeCell ref="E31:F31"/>
    <mergeCell ref="L32:M34"/>
    <mergeCell ref="A34:B34"/>
    <mergeCell ref="E34:F34"/>
    <mergeCell ref="A26:B26"/>
    <mergeCell ref="E26:F26"/>
    <mergeCell ref="A27:B27"/>
    <mergeCell ref="E27:F27"/>
    <mergeCell ref="L28:L30"/>
    <mergeCell ref="A29:B29"/>
    <mergeCell ref="E29:F29"/>
    <mergeCell ref="E23:F23"/>
    <mergeCell ref="L23:L25"/>
    <mergeCell ref="A24:B24"/>
    <mergeCell ref="E24:F24"/>
    <mergeCell ref="A25:B25"/>
    <mergeCell ref="E25:F25"/>
    <mergeCell ref="A22:C22"/>
    <mergeCell ref="E22:G22"/>
    <mergeCell ref="A9:B9"/>
    <mergeCell ref="L10:L12"/>
    <mergeCell ref="E11:F11"/>
    <mergeCell ref="A12:B12"/>
    <mergeCell ref="E12:F12"/>
    <mergeCell ref="A15:B15"/>
    <mergeCell ref="E15:F15"/>
    <mergeCell ref="A17:B17"/>
    <mergeCell ref="E17:F17"/>
    <mergeCell ref="A19:I19"/>
    <mergeCell ref="A20:I20"/>
    <mergeCell ref="A21:I21"/>
    <mergeCell ref="L5:L7"/>
    <mergeCell ref="A6:B6"/>
    <mergeCell ref="E6:F6"/>
    <mergeCell ref="A7:B7"/>
    <mergeCell ref="E7:F7"/>
    <mergeCell ref="A8:B8"/>
    <mergeCell ref="E8:F8"/>
    <mergeCell ref="A1:I1"/>
    <mergeCell ref="A2:I2"/>
    <mergeCell ref="A3:I3"/>
    <mergeCell ref="A4:C4"/>
    <mergeCell ref="E4:G4"/>
    <mergeCell ref="A5:C5"/>
    <mergeCell ref="E5:G5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L69"/>
  <sheetViews>
    <sheetView zoomScale="120" zoomScaleNormal="120" workbookViewId="0">
      <selection activeCell="AC67" sqref="AC67"/>
    </sheetView>
  </sheetViews>
  <sheetFormatPr baseColWidth="10" defaultColWidth="9.109375" defaultRowHeight="14.4" x14ac:dyDescent="0.3"/>
  <cols>
    <col min="1" max="1" width="1.6640625" customWidth="1"/>
    <col min="2" max="2" width="2.5546875" bestFit="1" customWidth="1"/>
    <col min="3" max="3" width="30.33203125" bestFit="1" customWidth="1"/>
    <col min="4" max="4" width="1.6640625" customWidth="1"/>
    <col min="5" max="5" width="19.44140625" customWidth="1"/>
    <col min="6" max="6" width="4.33203125" bestFit="1" customWidth="1"/>
    <col min="7" max="7" width="20.44140625" customWidth="1"/>
    <col min="8" max="8" width="4.33203125" bestFit="1" customWidth="1"/>
    <col min="9" max="9" width="1.6640625" customWidth="1"/>
    <col min="10" max="10" width="23.33203125" customWidth="1"/>
    <col min="11" max="11" width="3.5546875" customWidth="1"/>
    <col min="12" max="12" width="1.6640625" customWidth="1"/>
    <col min="13" max="13" width="20" hidden="1" customWidth="1"/>
    <col min="14" max="14" width="4" hidden="1" customWidth="1"/>
    <col min="15" max="15" width="19.44140625" hidden="1" customWidth="1"/>
    <col min="16" max="16" width="5.6640625" hidden="1" customWidth="1"/>
    <col min="17" max="17" width="1.6640625" hidden="1" customWidth="1"/>
    <col min="18" max="18" width="15.33203125" hidden="1" customWidth="1"/>
    <col min="19" max="19" width="8" hidden="1" customWidth="1"/>
    <col min="20" max="20" width="22.109375" hidden="1" customWidth="1"/>
    <col min="21" max="21" width="4" hidden="1" customWidth="1"/>
    <col min="22" max="22" width="1.6640625" customWidth="1"/>
    <col min="23" max="23" width="22.6640625" bestFit="1" customWidth="1"/>
    <col min="24" max="24" width="5.88671875" customWidth="1"/>
    <col min="25" max="25" width="18.109375" bestFit="1" customWidth="1"/>
    <col min="26" max="26" width="5.109375" customWidth="1"/>
    <col min="27" max="27" width="21" bestFit="1" customWidth="1"/>
    <col min="28" max="28" width="8.5546875" customWidth="1"/>
    <col min="29" max="29" width="9.109375" customWidth="1"/>
    <col min="30" max="30" width="1.6640625" customWidth="1"/>
    <col min="31" max="31" width="22.6640625" bestFit="1" customWidth="1"/>
    <col min="32" max="32" width="3.5546875" bestFit="1" customWidth="1"/>
    <col min="33" max="33" width="18.109375" bestFit="1" customWidth="1"/>
    <col min="34" max="34" width="4" bestFit="1" customWidth="1"/>
    <col min="35" max="35" width="21" bestFit="1" customWidth="1"/>
    <col min="36" max="36" width="4.33203125" bestFit="1" customWidth="1"/>
    <col min="37" max="37" width="9.109375" bestFit="1" customWidth="1"/>
    <col min="38" max="38" width="1.6640625" customWidth="1"/>
  </cols>
  <sheetData>
    <row r="1" spans="2:38" x14ac:dyDescent="0.3">
      <c r="B1" s="307" t="s">
        <v>108</v>
      </c>
    </row>
    <row r="2" spans="2:38" s="46" customFormat="1" x14ac:dyDescent="0.3">
      <c r="B2" s="590" t="s">
        <v>109</v>
      </c>
      <c r="C2" s="46" t="s">
        <v>110</v>
      </c>
    </row>
    <row r="3" spans="2:38" s="46" customFormat="1" x14ac:dyDescent="0.3">
      <c r="B3" s="590" t="s">
        <v>111</v>
      </c>
      <c r="C3" s="703" t="s">
        <v>112</v>
      </c>
    </row>
    <row r="4" spans="2:38" s="46" customFormat="1" x14ac:dyDescent="0.3">
      <c r="B4" s="590" t="s">
        <v>113</v>
      </c>
      <c r="C4" s="703" t="s">
        <v>114</v>
      </c>
    </row>
    <row r="5" spans="2:38" s="59" customFormat="1" x14ac:dyDescent="0.3">
      <c r="B5" s="591" t="s">
        <v>115</v>
      </c>
      <c r="C5" s="592" t="s">
        <v>280</v>
      </c>
      <c r="X5" s="59">
        <v>1</v>
      </c>
      <c r="Y5" s="59" t="s">
        <v>281</v>
      </c>
      <c r="Z5" s="59">
        <v>-1</v>
      </c>
    </row>
    <row r="6" spans="2:38" x14ac:dyDescent="0.3">
      <c r="B6" s="307" t="s">
        <v>117</v>
      </c>
      <c r="C6" s="308" t="s">
        <v>282</v>
      </c>
    </row>
    <row r="7" spans="2:38" x14ac:dyDescent="0.3">
      <c r="B7" s="307" t="s">
        <v>119</v>
      </c>
      <c r="C7" s="308" t="s">
        <v>120</v>
      </c>
      <c r="W7" s="307" t="s">
        <v>283</v>
      </c>
      <c r="X7" s="307" t="s">
        <v>284</v>
      </c>
      <c r="Y7" s="307" t="s">
        <v>285</v>
      </c>
      <c r="Z7" s="307" t="s">
        <v>284</v>
      </c>
      <c r="AA7" s="307" t="s">
        <v>286</v>
      </c>
      <c r="AB7" s="307" t="s">
        <v>284</v>
      </c>
      <c r="AC7" s="307" t="s">
        <v>284</v>
      </c>
      <c r="AD7" s="307"/>
      <c r="AE7" s="307" t="s">
        <v>287</v>
      </c>
    </row>
    <row r="8" spans="2:38" ht="15" thickBot="1" x14ac:dyDescent="0.35">
      <c r="B8" s="307" t="s">
        <v>121</v>
      </c>
      <c r="C8" s="308" t="s">
        <v>122</v>
      </c>
      <c r="W8" s="308" t="s">
        <v>288</v>
      </c>
      <c r="X8" s="308" t="s">
        <v>289</v>
      </c>
      <c r="Y8" s="308" t="s">
        <v>290</v>
      </c>
      <c r="Z8" s="308" t="s">
        <v>289</v>
      </c>
      <c r="AA8" s="308" t="s">
        <v>291</v>
      </c>
      <c r="AB8" s="308" t="s">
        <v>289</v>
      </c>
      <c r="AC8" s="308" t="s">
        <v>292</v>
      </c>
      <c r="AE8" s="308" t="s">
        <v>293</v>
      </c>
    </row>
    <row r="9" spans="2:38" ht="15" thickBot="1" x14ac:dyDescent="0.35">
      <c r="B9" s="307" t="s">
        <v>123</v>
      </c>
      <c r="C9" s="308" t="s">
        <v>124</v>
      </c>
      <c r="M9" s="771" t="s">
        <v>125</v>
      </c>
      <c r="N9" s="772"/>
      <c r="O9" s="772"/>
      <c r="P9" s="773"/>
      <c r="R9" s="771" t="s">
        <v>126</v>
      </c>
      <c r="S9" s="772"/>
      <c r="T9" s="772"/>
      <c r="U9" s="773"/>
      <c r="W9" s="774" t="s">
        <v>127</v>
      </c>
      <c r="X9" s="775"/>
      <c r="Y9" s="775"/>
      <c r="Z9" s="775"/>
      <c r="AA9" s="775"/>
      <c r="AB9" s="775"/>
      <c r="AC9" s="776"/>
      <c r="AE9" s="774" t="s">
        <v>128</v>
      </c>
      <c r="AF9" s="775"/>
      <c r="AG9" s="775"/>
      <c r="AH9" s="775"/>
      <c r="AI9" s="775"/>
      <c r="AJ9" s="775"/>
      <c r="AK9" s="776"/>
    </row>
    <row r="10" spans="2:38" ht="13.5" customHeight="1" thickBot="1" x14ac:dyDescent="0.35">
      <c r="B10" s="771" t="s">
        <v>129</v>
      </c>
      <c r="C10" s="773"/>
      <c r="D10" s="309"/>
      <c r="E10" s="771" t="s">
        <v>130</v>
      </c>
      <c r="F10" s="772"/>
      <c r="G10" s="772"/>
      <c r="H10" s="773"/>
      <c r="I10" s="309"/>
      <c r="J10" s="771" t="s">
        <v>3</v>
      </c>
      <c r="K10" s="773"/>
      <c r="M10" s="771" t="s">
        <v>131</v>
      </c>
      <c r="N10" s="773"/>
      <c r="O10" s="771" t="s">
        <v>132</v>
      </c>
      <c r="P10" s="773"/>
      <c r="Q10" s="309"/>
      <c r="R10" s="771" t="s">
        <v>133</v>
      </c>
      <c r="S10" s="773"/>
      <c r="T10" s="771" t="s">
        <v>134</v>
      </c>
      <c r="U10" s="773"/>
      <c r="V10" s="309"/>
      <c r="W10" s="771" t="s">
        <v>135</v>
      </c>
      <c r="X10" s="773"/>
      <c r="Y10" s="771" t="s">
        <v>136</v>
      </c>
      <c r="Z10" s="773"/>
      <c r="AA10" s="771" t="s">
        <v>137</v>
      </c>
      <c r="AB10" s="773"/>
      <c r="AC10" s="310" t="s">
        <v>138</v>
      </c>
      <c r="AD10" s="309"/>
      <c r="AE10" s="778" t="s">
        <v>135</v>
      </c>
      <c r="AF10" s="779"/>
      <c r="AG10" s="771" t="s">
        <v>136</v>
      </c>
      <c r="AH10" s="773"/>
      <c r="AI10" s="771" t="s">
        <v>137</v>
      </c>
      <c r="AJ10" s="773"/>
      <c r="AK10" s="310" t="s">
        <v>138</v>
      </c>
      <c r="AL10" s="309"/>
    </row>
    <row r="11" spans="2:38" s="309" customFormat="1" ht="13.5" customHeight="1" x14ac:dyDescent="0.3">
      <c r="B11" s="325"/>
      <c r="C11" s="326"/>
      <c r="E11" s="325" t="s">
        <v>139</v>
      </c>
      <c r="F11" s="328"/>
      <c r="G11" s="328" t="s">
        <v>140</v>
      </c>
      <c r="H11" s="326"/>
      <c r="J11" s="325"/>
      <c r="K11" s="326"/>
      <c r="M11" s="325"/>
      <c r="N11" s="327"/>
      <c r="O11" s="328"/>
      <c r="P11" s="326"/>
      <c r="R11" s="325"/>
      <c r="S11" s="327"/>
      <c r="T11" s="328"/>
      <c r="U11" s="326"/>
      <c r="W11" s="325"/>
      <c r="X11" s="327"/>
      <c r="Y11" s="328"/>
      <c r="Z11" s="327"/>
      <c r="AA11" s="329" t="s">
        <v>141</v>
      </c>
      <c r="AB11" s="330">
        <v>100</v>
      </c>
      <c r="AC11" s="326"/>
      <c r="AE11" s="325"/>
      <c r="AF11" s="327"/>
      <c r="AG11" s="328"/>
      <c r="AH11" s="327"/>
      <c r="AI11" s="329" t="s">
        <v>141</v>
      </c>
      <c r="AJ11" s="330">
        <v>100</v>
      </c>
      <c r="AK11" s="326"/>
    </row>
    <row r="12" spans="2:38" s="309" customFormat="1" x14ac:dyDescent="0.3">
      <c r="B12" s="331" t="s">
        <v>142</v>
      </c>
      <c r="C12" s="120" t="s">
        <v>143</v>
      </c>
      <c r="D12"/>
      <c r="E12" s="119" t="s">
        <v>144</v>
      </c>
      <c r="F12" s="46">
        <v>100</v>
      </c>
      <c r="G12" s="46" t="s">
        <v>145</v>
      </c>
      <c r="H12" s="120">
        <v>20</v>
      </c>
      <c r="I12"/>
      <c r="J12" s="113"/>
      <c r="K12" s="114"/>
      <c r="M12" s="113" t="s">
        <v>44</v>
      </c>
      <c r="N12" s="332">
        <v>20</v>
      </c>
      <c r="O12" t="s">
        <v>144</v>
      </c>
      <c r="P12" s="114">
        <v>100</v>
      </c>
      <c r="Q12"/>
      <c r="R12" s="113"/>
      <c r="S12" s="332"/>
      <c r="T12"/>
      <c r="U12" s="114"/>
      <c r="V12"/>
      <c r="W12" s="333" t="s">
        <v>294</v>
      </c>
      <c r="X12" s="8">
        <v>0</v>
      </c>
      <c r="Y12" s="334" t="s">
        <v>147</v>
      </c>
      <c r="Z12" s="8">
        <v>0</v>
      </c>
      <c r="AA12" s="334" t="s">
        <v>148</v>
      </c>
      <c r="AB12" s="8">
        <f>AB11</f>
        <v>100</v>
      </c>
      <c r="AC12" s="114"/>
      <c r="AD12"/>
      <c r="AE12" s="333" t="s">
        <v>149</v>
      </c>
      <c r="AF12" s="8">
        <v>0</v>
      </c>
      <c r="AG12" s="334" t="s">
        <v>147</v>
      </c>
      <c r="AH12" s="8">
        <v>0</v>
      </c>
      <c r="AI12" s="334" t="s">
        <v>148</v>
      </c>
      <c r="AJ12" s="8">
        <f>AJ11</f>
        <v>100</v>
      </c>
      <c r="AK12" s="114"/>
      <c r="AL12"/>
    </row>
    <row r="13" spans="2:38" ht="15" thickBot="1" x14ac:dyDescent="0.35">
      <c r="B13" s="113"/>
      <c r="C13" s="358" t="s">
        <v>150</v>
      </c>
      <c r="E13" s="343"/>
      <c r="F13" s="190"/>
      <c r="G13" s="337" t="s">
        <v>151</v>
      </c>
      <c r="H13" s="338">
        <v>80</v>
      </c>
      <c r="J13" s="353" t="s">
        <v>152</v>
      </c>
      <c r="K13" s="114"/>
      <c r="M13" s="340" t="s">
        <v>153</v>
      </c>
      <c r="N13" s="341">
        <v>80</v>
      </c>
      <c r="O13" s="190"/>
      <c r="P13" s="342"/>
      <c r="R13" s="343" t="s">
        <v>141</v>
      </c>
      <c r="S13" s="341">
        <v>100</v>
      </c>
      <c r="T13" s="190" t="s">
        <v>154</v>
      </c>
      <c r="U13" s="342">
        <v>0</v>
      </c>
      <c r="W13" s="344" t="s">
        <v>295</v>
      </c>
      <c r="X13" s="345">
        <v>0</v>
      </c>
      <c r="Y13" s="346" t="s">
        <v>156</v>
      </c>
      <c r="Z13" s="345">
        <v>0</v>
      </c>
      <c r="AA13" s="346" t="s">
        <v>157</v>
      </c>
      <c r="AB13" s="345">
        <v>0</v>
      </c>
      <c r="AC13" s="114"/>
      <c r="AE13" s="344" t="s">
        <v>158</v>
      </c>
      <c r="AF13" s="345">
        <v>0</v>
      </c>
      <c r="AG13" s="346" t="s">
        <v>156</v>
      </c>
      <c r="AH13" s="345">
        <v>0</v>
      </c>
      <c r="AI13" s="346" t="s">
        <v>157</v>
      </c>
      <c r="AJ13" s="345">
        <v>0</v>
      </c>
      <c r="AK13" s="114"/>
    </row>
    <row r="14" spans="2:38" ht="15" thickBot="1" x14ac:dyDescent="0.35">
      <c r="B14" s="113"/>
      <c r="C14" s="358" t="s">
        <v>159</v>
      </c>
      <c r="E14" s="347" t="s">
        <v>61</v>
      </c>
      <c r="F14" s="349">
        <f>SUM(F12:F13)</f>
        <v>100</v>
      </c>
      <c r="G14" s="349" t="s">
        <v>160</v>
      </c>
      <c r="H14" s="350">
        <f>SUM(H12:H13)</f>
        <v>100</v>
      </c>
      <c r="J14" s="115"/>
      <c r="K14" s="117"/>
      <c r="M14" s="347" t="s">
        <v>161</v>
      </c>
      <c r="N14" s="348">
        <f>SUM(N12:N13)</f>
        <v>100</v>
      </c>
      <c r="O14" s="349" t="s">
        <v>162</v>
      </c>
      <c r="P14" s="350">
        <f>SUM(P12:P13)</f>
        <v>100</v>
      </c>
      <c r="R14" s="347" t="s">
        <v>163</v>
      </c>
      <c r="S14" s="348">
        <f>S13</f>
        <v>100</v>
      </c>
      <c r="T14" s="349" t="s">
        <v>164</v>
      </c>
      <c r="U14" s="350">
        <f>U13</f>
        <v>0</v>
      </c>
      <c r="W14" s="324" t="s">
        <v>165</v>
      </c>
      <c r="X14" s="351">
        <f>SUM(X12:X13)</f>
        <v>0</v>
      </c>
      <c r="Y14" s="324" t="s">
        <v>166</v>
      </c>
      <c r="Z14" s="324">
        <f>SUM(Z12:Z13)</f>
        <v>0</v>
      </c>
      <c r="AA14" s="324" t="s">
        <v>167</v>
      </c>
      <c r="AB14" s="324">
        <f>SUM(AB12:AB13)</f>
        <v>100</v>
      </c>
      <c r="AC14" s="324">
        <f>X14+Z14+AB14</f>
        <v>100</v>
      </c>
      <c r="AE14" s="324" t="s">
        <v>165</v>
      </c>
      <c r="AF14" s="702">
        <f>SUM(AF12:AF13)</f>
        <v>0</v>
      </c>
      <c r="AG14" s="324" t="s">
        <v>166</v>
      </c>
      <c r="AH14" s="324">
        <f>SUM(AH12:AH13)</f>
        <v>0</v>
      </c>
      <c r="AI14" s="324" t="s">
        <v>167</v>
      </c>
      <c r="AJ14" s="324">
        <f>SUM(AJ12:AJ13)</f>
        <v>100</v>
      </c>
      <c r="AK14" s="324">
        <f>AF14+AH14+AJ14</f>
        <v>100</v>
      </c>
    </row>
    <row r="15" spans="2:38" x14ac:dyDescent="0.3">
      <c r="B15" s="352"/>
      <c r="C15" s="146"/>
      <c r="E15" s="352" t="s">
        <v>144</v>
      </c>
      <c r="F15" s="112">
        <f>100-50</f>
        <v>50</v>
      </c>
      <c r="G15" s="704" t="s">
        <v>168</v>
      </c>
      <c r="H15" s="118">
        <f>30/5</f>
        <v>6</v>
      </c>
      <c r="J15" s="352"/>
      <c r="K15" s="146"/>
      <c r="M15" s="352" t="s">
        <v>44</v>
      </c>
      <c r="N15" s="330">
        <v>20</v>
      </c>
      <c r="O15" s="112" t="s">
        <v>144</v>
      </c>
      <c r="P15" s="146">
        <v>100</v>
      </c>
      <c r="R15" s="352"/>
      <c r="S15" s="330"/>
      <c r="T15" s="112"/>
      <c r="U15" s="146"/>
      <c r="W15" s="352"/>
      <c r="X15" s="330"/>
      <c r="Y15" s="112"/>
      <c r="Z15" s="330"/>
      <c r="AA15" s="112"/>
      <c r="AB15" s="330"/>
      <c r="AC15" s="146"/>
      <c r="AE15" s="352"/>
      <c r="AF15" s="330"/>
      <c r="AG15" s="112"/>
      <c r="AH15" s="330"/>
      <c r="AI15" s="112"/>
      <c r="AJ15" s="330"/>
      <c r="AK15" s="146"/>
    </row>
    <row r="16" spans="2:38" x14ac:dyDescent="0.3">
      <c r="B16" s="331" t="s">
        <v>169</v>
      </c>
      <c r="C16" s="120" t="s">
        <v>170</v>
      </c>
      <c r="E16" s="113" t="s">
        <v>171</v>
      </c>
      <c r="F16">
        <v>0</v>
      </c>
      <c r="G16" t="s">
        <v>172</v>
      </c>
      <c r="H16" s="114">
        <v>0</v>
      </c>
      <c r="J16" s="113"/>
      <c r="K16" s="114"/>
      <c r="M16" s="353" t="s">
        <v>153</v>
      </c>
      <c r="N16" s="332">
        <v>80</v>
      </c>
      <c r="P16" s="114"/>
      <c r="R16" s="113" t="s">
        <v>141</v>
      </c>
      <c r="S16" s="332">
        <v>100</v>
      </c>
      <c r="T16" t="s">
        <v>173</v>
      </c>
      <c r="U16" s="114">
        <v>-50</v>
      </c>
      <c r="W16" s="113"/>
      <c r="X16" s="332"/>
      <c r="Y16" t="s">
        <v>173</v>
      </c>
      <c r="Z16" s="332">
        <v>-50</v>
      </c>
      <c r="AA16" t="s">
        <v>141</v>
      </c>
      <c r="AB16" s="332">
        <v>100</v>
      </c>
      <c r="AC16" s="114"/>
      <c r="AE16" s="113"/>
      <c r="AF16" s="332"/>
      <c r="AG16" t="s">
        <v>173</v>
      </c>
      <c r="AH16" s="332">
        <v>-50</v>
      </c>
      <c r="AI16" t="s">
        <v>141</v>
      </c>
      <c r="AJ16" s="332">
        <v>100</v>
      </c>
      <c r="AK16" s="114"/>
    </row>
    <row r="17" spans="2:37" x14ac:dyDescent="0.3">
      <c r="B17" s="113"/>
      <c r="C17" s="335" t="s">
        <v>174</v>
      </c>
      <c r="E17" s="113" t="s">
        <v>175</v>
      </c>
      <c r="F17">
        <v>80</v>
      </c>
      <c r="G17" s="703" t="s">
        <v>176</v>
      </c>
      <c r="H17" s="120">
        <f>H15*4</f>
        <v>24</v>
      </c>
      <c r="J17" s="353" t="s">
        <v>152</v>
      </c>
      <c r="K17" s="114"/>
      <c r="M17" s="353" t="s">
        <v>177</v>
      </c>
      <c r="N17" s="332">
        <v>50</v>
      </c>
      <c r="P17" s="114"/>
      <c r="R17" s="113"/>
      <c r="S17" s="332"/>
      <c r="U17" s="114"/>
      <c r="W17" s="333" t="s">
        <v>146</v>
      </c>
      <c r="X17" s="8">
        <v>0</v>
      </c>
      <c r="Y17" s="334" t="s">
        <v>147</v>
      </c>
      <c r="Z17" s="8">
        <v>0</v>
      </c>
      <c r="AA17" s="334" t="s">
        <v>148</v>
      </c>
      <c r="AB17" s="8">
        <f>AB16</f>
        <v>100</v>
      </c>
      <c r="AC17" s="114"/>
      <c r="AE17" s="333" t="s">
        <v>149</v>
      </c>
      <c r="AF17" s="8">
        <v>0</v>
      </c>
      <c r="AG17" s="334" t="s">
        <v>147</v>
      </c>
      <c r="AH17" s="8">
        <v>0</v>
      </c>
      <c r="AI17" s="334" t="s">
        <v>148</v>
      </c>
      <c r="AJ17" s="8">
        <f>AJ16</f>
        <v>100</v>
      </c>
      <c r="AK17" s="114"/>
    </row>
    <row r="18" spans="2:37" ht="15" thickBot="1" x14ac:dyDescent="0.35">
      <c r="B18" s="113"/>
      <c r="C18" s="335" t="s">
        <v>178</v>
      </c>
      <c r="E18" s="343"/>
      <c r="F18" s="190"/>
      <c r="G18" s="369" t="s">
        <v>296</v>
      </c>
      <c r="H18" s="342">
        <f>H12+H13</f>
        <v>100</v>
      </c>
      <c r="J18" s="113"/>
      <c r="K18" s="114"/>
      <c r="M18" s="340" t="s">
        <v>180</v>
      </c>
      <c r="N18" s="341">
        <v>30</v>
      </c>
      <c r="O18" s="190" t="s">
        <v>175</v>
      </c>
      <c r="P18" s="342">
        <v>80</v>
      </c>
      <c r="R18" s="354"/>
      <c r="S18" s="355"/>
      <c r="T18" s="356"/>
      <c r="U18" s="357"/>
      <c r="W18" s="344" t="s">
        <v>155</v>
      </c>
      <c r="X18" s="345">
        <v>0</v>
      </c>
      <c r="Y18" s="346" t="s">
        <v>156</v>
      </c>
      <c r="Z18" s="345">
        <f>Z16</f>
        <v>-50</v>
      </c>
      <c r="AA18" s="346" t="s">
        <v>157</v>
      </c>
      <c r="AB18" s="345">
        <v>0</v>
      </c>
      <c r="AC18" s="114"/>
      <c r="AE18" s="344" t="s">
        <v>158</v>
      </c>
      <c r="AF18" s="345">
        <v>0</v>
      </c>
      <c r="AG18" s="346" t="s">
        <v>156</v>
      </c>
      <c r="AH18" s="345">
        <f>AH16</f>
        <v>-50</v>
      </c>
      <c r="AI18" s="346" t="s">
        <v>157</v>
      </c>
      <c r="AJ18" s="345">
        <v>0</v>
      </c>
      <c r="AK18" s="114"/>
    </row>
    <row r="19" spans="2:37" ht="15" thickBot="1" x14ac:dyDescent="0.35">
      <c r="B19" s="113"/>
      <c r="C19" s="358"/>
      <c r="E19" s="347" t="s">
        <v>61</v>
      </c>
      <c r="F19" s="349">
        <f>F15+F17</f>
        <v>130</v>
      </c>
      <c r="G19" s="349" t="s">
        <v>160</v>
      </c>
      <c r="H19" s="350">
        <f>SUM(H15:H18)</f>
        <v>130</v>
      </c>
      <c r="I19" s="307"/>
      <c r="J19" s="115"/>
      <c r="K19" s="117"/>
      <c r="M19" s="347" t="s">
        <v>161</v>
      </c>
      <c r="N19" s="348">
        <f>SUM(N15:N18)</f>
        <v>180</v>
      </c>
      <c r="O19" s="349" t="s">
        <v>162</v>
      </c>
      <c r="P19" s="350">
        <f>SUM(P15:P18)</f>
        <v>180</v>
      </c>
      <c r="R19" s="347" t="s">
        <v>163</v>
      </c>
      <c r="S19" s="348">
        <f>S16</f>
        <v>100</v>
      </c>
      <c r="T19" s="349" t="s">
        <v>164</v>
      </c>
      <c r="U19" s="350">
        <f>U16</f>
        <v>-50</v>
      </c>
      <c r="W19" s="324" t="s">
        <v>165</v>
      </c>
      <c r="X19" s="324">
        <f>SUM(X15:X18)</f>
        <v>0</v>
      </c>
      <c r="Y19" s="324" t="s">
        <v>166</v>
      </c>
      <c r="Z19" s="324">
        <f>SUM(Z17:Z18)</f>
        <v>-50</v>
      </c>
      <c r="AA19" s="324" t="s">
        <v>167</v>
      </c>
      <c r="AB19" s="324">
        <f>SUM(AB17:AB18)</f>
        <v>100</v>
      </c>
      <c r="AC19" s="324">
        <f>X19+Z19+AB19</f>
        <v>50</v>
      </c>
      <c r="AE19" s="324" t="s">
        <v>165</v>
      </c>
      <c r="AF19" s="324">
        <f>SUM(AF15:AF18)</f>
        <v>0</v>
      </c>
      <c r="AG19" s="324" t="s">
        <v>166</v>
      </c>
      <c r="AH19" s="324">
        <f>SUM(AH17:AH18)</f>
        <v>-50</v>
      </c>
      <c r="AI19" s="324" t="s">
        <v>167</v>
      </c>
      <c r="AJ19" s="324">
        <f>SUM(AJ17:AJ18)</f>
        <v>100</v>
      </c>
      <c r="AK19" s="324">
        <f>AF19+AH19+AJ19</f>
        <v>50</v>
      </c>
    </row>
    <row r="20" spans="2:37" ht="15" thickBot="1" x14ac:dyDescent="0.35">
      <c r="B20" s="352"/>
      <c r="C20" s="359"/>
      <c r="E20" s="352" t="s">
        <v>144</v>
      </c>
      <c r="F20" s="112">
        <f>100-50-7</f>
        <v>43</v>
      </c>
      <c r="G20" s="363" t="s">
        <v>172</v>
      </c>
      <c r="H20" s="359">
        <v>3</v>
      </c>
      <c r="I20" s="307"/>
      <c r="J20" s="113"/>
      <c r="K20" s="114"/>
      <c r="M20" s="352" t="s">
        <v>44</v>
      </c>
      <c r="N20" s="330">
        <v>20</v>
      </c>
      <c r="O20" s="112" t="s">
        <v>144</v>
      </c>
      <c r="P20" s="146">
        <f>100</f>
        <v>100</v>
      </c>
      <c r="R20" s="113"/>
      <c r="S20" s="332"/>
      <c r="U20" s="114"/>
      <c r="W20" s="113"/>
      <c r="X20" s="332"/>
      <c r="Z20" s="332"/>
      <c r="AB20" s="332"/>
      <c r="AC20" s="114"/>
      <c r="AE20" s="192" t="s">
        <v>181</v>
      </c>
      <c r="AF20" s="709">
        <f>K25</f>
        <v>0</v>
      </c>
      <c r="AH20" s="332"/>
      <c r="AJ20" s="332"/>
      <c r="AK20" s="114"/>
    </row>
    <row r="21" spans="2:37" ht="15" thickTop="1" x14ac:dyDescent="0.3">
      <c r="B21" s="362" t="s">
        <v>113</v>
      </c>
      <c r="C21" s="335" t="s">
        <v>182</v>
      </c>
      <c r="E21" s="353" t="s">
        <v>171</v>
      </c>
      <c r="F21">
        <v>10</v>
      </c>
      <c r="G21" t="s">
        <v>168</v>
      </c>
      <c r="H21" s="114">
        <v>6</v>
      </c>
      <c r="I21" s="307"/>
      <c r="J21" s="113"/>
      <c r="K21" s="114"/>
      <c r="M21" s="353" t="s">
        <v>153</v>
      </c>
      <c r="N21" s="332">
        <v>80</v>
      </c>
      <c r="O21" s="308" t="s">
        <v>171</v>
      </c>
      <c r="P21" s="114">
        <v>10</v>
      </c>
      <c r="R21" s="353" t="s">
        <v>141</v>
      </c>
      <c r="S21" s="332">
        <v>100</v>
      </c>
      <c r="T21" s="308" t="s">
        <v>173</v>
      </c>
      <c r="U21" s="114">
        <v>-50</v>
      </c>
      <c r="W21" s="339" t="s">
        <v>183</v>
      </c>
      <c r="X21" s="707">
        <v>-7</v>
      </c>
      <c r="Y21" t="s">
        <v>173</v>
      </c>
      <c r="Z21" s="332">
        <v>-50</v>
      </c>
      <c r="AA21" t="s">
        <v>141</v>
      </c>
      <c r="AB21" s="332">
        <v>100</v>
      </c>
      <c r="AC21" s="114"/>
      <c r="AE21" s="596" t="s">
        <v>184</v>
      </c>
      <c r="AF21" s="597">
        <v>-10</v>
      </c>
      <c r="AG21" t="s">
        <v>173</v>
      </c>
      <c r="AH21" s="332">
        <v>-50</v>
      </c>
      <c r="AI21" t="s">
        <v>141</v>
      </c>
      <c r="AJ21" s="332">
        <v>100</v>
      </c>
      <c r="AK21" s="114"/>
    </row>
    <row r="22" spans="2:37" x14ac:dyDescent="0.3">
      <c r="B22" s="113"/>
      <c r="C22" s="358" t="s">
        <v>185</v>
      </c>
      <c r="E22" s="113"/>
      <c r="G22" s="308" t="s">
        <v>176</v>
      </c>
      <c r="H22" s="114">
        <v>24</v>
      </c>
      <c r="I22" s="307"/>
      <c r="J22" s="353" t="s">
        <v>152</v>
      </c>
      <c r="K22" s="114"/>
      <c r="M22" s="353" t="s">
        <v>177</v>
      </c>
      <c r="N22" s="332">
        <f>50+7</f>
        <v>57</v>
      </c>
      <c r="P22" s="114"/>
      <c r="R22" s="113"/>
      <c r="S22" s="332"/>
      <c r="T22" s="308" t="s">
        <v>183</v>
      </c>
      <c r="U22" s="114">
        <v>-7</v>
      </c>
      <c r="W22" s="113"/>
      <c r="X22" s="332"/>
      <c r="Z22" s="332"/>
      <c r="AB22" s="332"/>
      <c r="AC22" s="114"/>
      <c r="AE22" s="192" t="s">
        <v>187</v>
      </c>
      <c r="AF22" s="597">
        <v>3</v>
      </c>
      <c r="AH22" s="332"/>
      <c r="AJ22" s="332"/>
      <c r="AK22" s="114"/>
    </row>
    <row r="23" spans="2:37" x14ac:dyDescent="0.3">
      <c r="B23" s="113"/>
      <c r="C23" s="358" t="s">
        <v>188</v>
      </c>
      <c r="E23" s="113"/>
      <c r="H23" s="114"/>
      <c r="I23" s="307"/>
      <c r="J23" s="113"/>
      <c r="K23" s="114"/>
      <c r="M23" s="353" t="s">
        <v>180</v>
      </c>
      <c r="N23" s="332">
        <v>30</v>
      </c>
      <c r="P23" s="114"/>
      <c r="R23" s="113"/>
      <c r="S23" s="332"/>
      <c r="U23" s="114"/>
      <c r="W23" s="333" t="s">
        <v>146</v>
      </c>
      <c r="X23" s="8">
        <v>0</v>
      </c>
      <c r="Y23" s="334" t="s">
        <v>147</v>
      </c>
      <c r="Z23" s="8">
        <v>0</v>
      </c>
      <c r="AA23" s="334" t="s">
        <v>148</v>
      </c>
      <c r="AB23" s="8">
        <f>AB21</f>
        <v>100</v>
      </c>
      <c r="AC23" s="114"/>
      <c r="AE23" s="710" t="s">
        <v>149</v>
      </c>
      <c r="AF23" s="711">
        <f>AF20+AF22</f>
        <v>3</v>
      </c>
      <c r="AG23" s="334" t="s">
        <v>147</v>
      </c>
      <c r="AH23" s="8">
        <v>0</v>
      </c>
      <c r="AI23" s="334" t="s">
        <v>148</v>
      </c>
      <c r="AJ23" s="8">
        <f>AJ21</f>
        <v>100</v>
      </c>
      <c r="AK23" s="114"/>
    </row>
    <row r="24" spans="2:37" ht="15" thickBot="1" x14ac:dyDescent="0.35">
      <c r="B24" s="113"/>
      <c r="C24" s="358"/>
      <c r="E24" s="343" t="s">
        <v>175</v>
      </c>
      <c r="F24" s="190">
        <v>80</v>
      </c>
      <c r="G24" s="190" t="s">
        <v>145</v>
      </c>
      <c r="H24" s="342">
        <v>100</v>
      </c>
      <c r="I24" s="307"/>
      <c r="J24" s="113"/>
      <c r="K24" s="114"/>
      <c r="M24" s="340" t="s">
        <v>172</v>
      </c>
      <c r="N24" s="341">
        <v>3</v>
      </c>
      <c r="O24" s="190" t="s">
        <v>175</v>
      </c>
      <c r="P24" s="342">
        <v>80</v>
      </c>
      <c r="R24" s="343"/>
      <c r="S24" s="341"/>
      <c r="T24" s="190"/>
      <c r="U24" s="342"/>
      <c r="W24" s="344" t="s">
        <v>155</v>
      </c>
      <c r="X24" s="345">
        <f>X21</f>
        <v>-7</v>
      </c>
      <c r="Y24" s="346" t="s">
        <v>156</v>
      </c>
      <c r="Z24" s="345">
        <f>Z21</f>
        <v>-50</v>
      </c>
      <c r="AA24" s="346" t="s">
        <v>157</v>
      </c>
      <c r="AB24" s="345">
        <v>0</v>
      </c>
      <c r="AC24" s="114"/>
      <c r="AE24" s="712" t="s">
        <v>158</v>
      </c>
      <c r="AF24" s="713">
        <f>AF21</f>
        <v>-10</v>
      </c>
      <c r="AG24" s="346" t="s">
        <v>156</v>
      </c>
      <c r="AH24" s="345">
        <f>AH21</f>
        <v>-50</v>
      </c>
      <c r="AI24" s="346" t="s">
        <v>157</v>
      </c>
      <c r="AJ24" s="345">
        <v>0</v>
      </c>
      <c r="AK24" s="114"/>
    </row>
    <row r="25" spans="2:37" ht="15" thickBot="1" x14ac:dyDescent="0.35">
      <c r="B25" s="115"/>
      <c r="C25" s="117"/>
      <c r="E25" s="705" t="s">
        <v>61</v>
      </c>
      <c r="F25" s="706">
        <f>SUM(F20:F24)</f>
        <v>133</v>
      </c>
      <c r="G25" s="349" t="s">
        <v>160</v>
      </c>
      <c r="H25" s="350">
        <f>SUM(H20:H24)</f>
        <v>133</v>
      </c>
      <c r="I25" s="307"/>
      <c r="J25" s="113"/>
      <c r="K25" s="114"/>
      <c r="M25" s="347" t="s">
        <v>161</v>
      </c>
      <c r="N25" s="348">
        <f>SUM(N20:N24)</f>
        <v>190</v>
      </c>
      <c r="O25" s="349" t="s">
        <v>162</v>
      </c>
      <c r="P25" s="350">
        <f>SUM(P20:P24)</f>
        <v>190</v>
      </c>
      <c r="R25" s="347" t="s">
        <v>163</v>
      </c>
      <c r="S25" s="348">
        <f>SUM(S20:S24)</f>
        <v>100</v>
      </c>
      <c r="T25" s="349" t="s">
        <v>164</v>
      </c>
      <c r="U25" s="350">
        <f>SUM(U20:U24)</f>
        <v>-57</v>
      </c>
      <c r="W25" s="708" t="s">
        <v>165</v>
      </c>
      <c r="X25" s="708">
        <f>SUM(X23:X24)</f>
        <v>-7</v>
      </c>
      <c r="Y25" s="324" t="s">
        <v>166</v>
      </c>
      <c r="Z25" s="324">
        <f>SUM(Z23:Z24)</f>
        <v>-50</v>
      </c>
      <c r="AA25" s="324" t="s">
        <v>167</v>
      </c>
      <c r="AB25" s="324">
        <f>SUM(AB23:AB24)</f>
        <v>100</v>
      </c>
      <c r="AC25" s="324">
        <f>X25+Z25+AB25</f>
        <v>43</v>
      </c>
      <c r="AE25" s="324" t="s">
        <v>165</v>
      </c>
      <c r="AF25" s="598">
        <f>SUM(AF23:AF24)</f>
        <v>-7</v>
      </c>
      <c r="AG25" s="324" t="s">
        <v>166</v>
      </c>
      <c r="AH25" s="324">
        <f>SUM(AH23:AH24)</f>
        <v>-50</v>
      </c>
      <c r="AI25" s="324" t="s">
        <v>167</v>
      </c>
      <c r="AJ25" s="324">
        <f>SUM(AJ23:AJ24)</f>
        <v>100</v>
      </c>
      <c r="AK25" s="324">
        <f>AF25+AH25+AJ25</f>
        <v>43</v>
      </c>
    </row>
    <row r="26" spans="2:37" x14ac:dyDescent="0.3">
      <c r="B26" s="352"/>
      <c r="C26" s="146"/>
      <c r="E26" s="352" t="s">
        <v>144</v>
      </c>
      <c r="F26" s="112">
        <f>100-50-7+35</f>
        <v>78</v>
      </c>
      <c r="G26" s="363" t="s">
        <v>172</v>
      </c>
      <c r="H26" s="359">
        <v>3</v>
      </c>
      <c r="I26" s="307"/>
      <c r="J26" s="352"/>
      <c r="K26" s="146"/>
      <c r="M26" s="352" t="s">
        <v>44</v>
      </c>
      <c r="N26" s="330">
        <v>20</v>
      </c>
      <c r="O26" s="112" t="s">
        <v>144</v>
      </c>
      <c r="P26" s="146">
        <f>100+35</f>
        <v>135</v>
      </c>
      <c r="R26" s="352"/>
      <c r="S26" s="330"/>
      <c r="T26" s="112"/>
      <c r="U26" s="146"/>
      <c r="W26" s="113"/>
      <c r="X26" s="332"/>
      <c r="Y26" s="329"/>
      <c r="Z26" s="330"/>
      <c r="AA26" s="329"/>
      <c r="AB26" s="330"/>
      <c r="AC26" s="114"/>
      <c r="AE26" s="715" t="s">
        <v>74</v>
      </c>
      <c r="AF26" s="716">
        <f>K33</f>
        <v>50</v>
      </c>
      <c r="AG26" s="329"/>
      <c r="AH26" s="330"/>
      <c r="AI26" s="329"/>
      <c r="AJ26" s="330"/>
      <c r="AK26" s="146"/>
    </row>
    <row r="27" spans="2:37" ht="15" thickBot="1" x14ac:dyDescent="0.35">
      <c r="B27" s="113"/>
      <c r="C27" s="114"/>
      <c r="E27" s="113" t="s">
        <v>190</v>
      </c>
      <c r="F27">
        <v>15</v>
      </c>
      <c r="G27" t="s">
        <v>168</v>
      </c>
      <c r="H27" s="114">
        <v>6</v>
      </c>
      <c r="J27" s="113"/>
      <c r="K27" s="114"/>
      <c r="M27" s="353" t="s">
        <v>153</v>
      </c>
      <c r="N27" s="332">
        <v>80</v>
      </c>
      <c r="O27" s="308" t="s">
        <v>171</v>
      </c>
      <c r="P27" s="114">
        <v>10</v>
      </c>
      <c r="R27" s="353" t="s">
        <v>141</v>
      </c>
      <c r="S27" s="332">
        <v>100</v>
      </c>
      <c r="T27" s="308" t="s">
        <v>173</v>
      </c>
      <c r="U27" s="114">
        <v>-50</v>
      </c>
      <c r="W27" s="353" t="s">
        <v>194</v>
      </c>
      <c r="X27" s="332">
        <v>35</v>
      </c>
      <c r="Y27" s="21" t="s">
        <v>173</v>
      </c>
      <c r="Z27" s="332">
        <v>-50</v>
      </c>
      <c r="AA27" s="21" t="s">
        <v>141</v>
      </c>
      <c r="AB27" s="332">
        <v>100</v>
      </c>
      <c r="AC27" s="114"/>
      <c r="AE27" s="593" t="s">
        <v>192</v>
      </c>
      <c r="AF27" s="714">
        <f>AF26</f>
        <v>50</v>
      </c>
      <c r="AG27" s="21" t="s">
        <v>173</v>
      </c>
      <c r="AH27" s="332">
        <v>-50</v>
      </c>
      <c r="AI27" s="21" t="s">
        <v>141</v>
      </c>
      <c r="AJ27" s="332">
        <v>100</v>
      </c>
      <c r="AK27" s="114"/>
    </row>
    <row r="28" spans="2:37" ht="15" thickTop="1" x14ac:dyDescent="0.3">
      <c r="B28" s="362" t="s">
        <v>115</v>
      </c>
      <c r="C28" s="594" t="s">
        <v>193</v>
      </c>
      <c r="E28" s="353" t="s">
        <v>171</v>
      </c>
      <c r="F28">
        <v>10</v>
      </c>
      <c r="H28" s="114"/>
      <c r="J28" s="113"/>
      <c r="K28" s="114"/>
      <c r="M28" s="353" t="s">
        <v>177</v>
      </c>
      <c r="N28" s="332">
        <f>50+7</f>
        <v>57</v>
      </c>
      <c r="O28" s="308" t="s">
        <v>190</v>
      </c>
      <c r="P28" s="114">
        <v>15</v>
      </c>
      <c r="R28" s="353" t="s">
        <v>194</v>
      </c>
      <c r="S28" s="332">
        <v>35</v>
      </c>
      <c r="T28" s="308" t="s">
        <v>183</v>
      </c>
      <c r="U28" s="114">
        <v>-7</v>
      </c>
      <c r="W28" s="353" t="s">
        <v>183</v>
      </c>
      <c r="X28" s="332">
        <v>-7</v>
      </c>
      <c r="Y28" s="21"/>
      <c r="Z28" s="332"/>
      <c r="AA28" s="21"/>
      <c r="AB28" s="332"/>
      <c r="AC28" s="114"/>
      <c r="AE28" s="596" t="s">
        <v>184</v>
      </c>
      <c r="AF28" s="597">
        <f>-F28</f>
        <v>-10</v>
      </c>
      <c r="AG28" s="21"/>
      <c r="AH28" s="332"/>
      <c r="AI28" s="21"/>
      <c r="AJ28" s="332"/>
      <c r="AK28" s="114"/>
    </row>
    <row r="29" spans="2:37" x14ac:dyDescent="0.3">
      <c r="B29" s="113"/>
      <c r="C29" s="594" t="s">
        <v>195</v>
      </c>
      <c r="E29" s="113"/>
      <c r="G29" s="308" t="s">
        <v>176</v>
      </c>
      <c r="H29" s="114">
        <v>24</v>
      </c>
      <c r="J29" s="192" t="s">
        <v>11</v>
      </c>
      <c r="K29" s="595">
        <v>50</v>
      </c>
      <c r="M29" s="353" t="s">
        <v>172</v>
      </c>
      <c r="N29" s="332">
        <v>3</v>
      </c>
      <c r="P29" s="114"/>
      <c r="R29" s="113"/>
      <c r="S29" s="332"/>
      <c r="U29" s="114"/>
      <c r="W29" s="113"/>
      <c r="X29" s="332"/>
      <c r="Y29" s="21"/>
      <c r="Z29" s="332"/>
      <c r="AA29" s="21"/>
      <c r="AB29" s="332"/>
      <c r="AC29" s="114"/>
      <c r="AE29" s="192" t="s">
        <v>187</v>
      </c>
      <c r="AF29" s="597">
        <f>H26</f>
        <v>3</v>
      </c>
      <c r="AG29" s="21"/>
      <c r="AH29" s="332"/>
      <c r="AI29" s="21"/>
      <c r="AJ29" s="332"/>
      <c r="AK29" s="114"/>
    </row>
    <row r="30" spans="2:37" x14ac:dyDescent="0.3">
      <c r="B30" s="113"/>
      <c r="C30" s="358" t="s">
        <v>196</v>
      </c>
      <c r="E30" s="353"/>
      <c r="G30" s="308"/>
      <c r="H30" s="114"/>
      <c r="J30" s="113" t="s">
        <v>197</v>
      </c>
      <c r="K30" s="114">
        <v>0</v>
      </c>
      <c r="M30" s="353" t="s">
        <v>180</v>
      </c>
      <c r="N30" s="332">
        <v>30</v>
      </c>
      <c r="P30" s="114"/>
      <c r="R30" s="113"/>
      <c r="S30" s="332"/>
      <c r="U30" s="114"/>
      <c r="W30" s="113"/>
      <c r="X30" s="332"/>
      <c r="Y30" s="21"/>
      <c r="Z30" s="332"/>
      <c r="AA30" s="21"/>
      <c r="AB30" s="332"/>
      <c r="AC30" s="114"/>
      <c r="AE30" s="192" t="s">
        <v>198</v>
      </c>
      <c r="AF30" s="597">
        <f>-F27</f>
        <v>-15</v>
      </c>
      <c r="AG30" s="21"/>
      <c r="AH30" s="332"/>
      <c r="AI30" s="21"/>
      <c r="AJ30" s="332"/>
      <c r="AK30" s="114"/>
    </row>
    <row r="31" spans="2:37" x14ac:dyDescent="0.3">
      <c r="B31" s="113"/>
      <c r="C31" s="114"/>
      <c r="E31" s="113"/>
      <c r="G31" t="s">
        <v>145</v>
      </c>
      <c r="H31" s="114">
        <v>100</v>
      </c>
      <c r="J31" s="113"/>
      <c r="K31" s="114"/>
      <c r="M31" s="113"/>
      <c r="N31" s="332"/>
      <c r="P31" s="114"/>
      <c r="R31" s="113"/>
      <c r="S31" s="332"/>
      <c r="U31" s="114"/>
      <c r="W31" s="333" t="s">
        <v>146</v>
      </c>
      <c r="X31" s="8">
        <f>X27</f>
        <v>35</v>
      </c>
      <c r="Y31" s="334" t="s">
        <v>147</v>
      </c>
      <c r="Z31" s="8">
        <v>0</v>
      </c>
      <c r="AA31" s="334" t="s">
        <v>148</v>
      </c>
      <c r="AB31" s="8">
        <f>AB27</f>
        <v>100</v>
      </c>
      <c r="AC31" s="114"/>
      <c r="AE31" s="710" t="s">
        <v>149</v>
      </c>
      <c r="AF31" s="711">
        <f>AF27+AF29</f>
        <v>53</v>
      </c>
      <c r="AG31" s="334" t="s">
        <v>147</v>
      </c>
      <c r="AH31" s="8">
        <v>0</v>
      </c>
      <c r="AI31" s="334" t="s">
        <v>148</v>
      </c>
      <c r="AJ31" s="8">
        <f>AJ27</f>
        <v>100</v>
      </c>
      <c r="AK31" s="114"/>
    </row>
    <row r="32" spans="2:37" ht="15" thickBot="1" x14ac:dyDescent="0.35">
      <c r="B32" s="113"/>
      <c r="C32" s="114"/>
      <c r="E32" s="343" t="s">
        <v>175</v>
      </c>
      <c r="F32" s="190">
        <v>80</v>
      </c>
      <c r="G32" s="190" t="s">
        <v>56</v>
      </c>
      <c r="H32" s="342">
        <f>K33</f>
        <v>50</v>
      </c>
      <c r="J32" s="343"/>
      <c r="K32" s="342"/>
      <c r="M32" s="340" t="s">
        <v>199</v>
      </c>
      <c r="N32" s="341">
        <f>K33</f>
        <v>50</v>
      </c>
      <c r="O32" s="190" t="s">
        <v>175</v>
      </c>
      <c r="P32" s="342">
        <v>80</v>
      </c>
      <c r="R32" s="115"/>
      <c r="S32" s="364"/>
      <c r="T32" s="116"/>
      <c r="U32" s="117"/>
      <c r="W32" s="344" t="s">
        <v>155</v>
      </c>
      <c r="X32" s="345">
        <f>X28</f>
        <v>-7</v>
      </c>
      <c r="Y32" s="346" t="s">
        <v>156</v>
      </c>
      <c r="Z32" s="345">
        <f>Z27</f>
        <v>-50</v>
      </c>
      <c r="AA32" s="346" t="s">
        <v>157</v>
      </c>
      <c r="AB32" s="345">
        <v>0</v>
      </c>
      <c r="AC32" s="114"/>
      <c r="AE32" s="712" t="s">
        <v>158</v>
      </c>
      <c r="AF32" s="713">
        <f>AF28+AF30</f>
        <v>-25</v>
      </c>
      <c r="AG32" s="346" t="s">
        <v>156</v>
      </c>
      <c r="AH32" s="345">
        <f>AH27</f>
        <v>-50</v>
      </c>
      <c r="AI32" s="346" t="s">
        <v>157</v>
      </c>
      <c r="AJ32" s="345">
        <v>0</v>
      </c>
      <c r="AK32" s="114"/>
    </row>
    <row r="33" spans="2:37" ht="15" thickBot="1" x14ac:dyDescent="0.35">
      <c r="B33" s="115"/>
      <c r="C33" s="117"/>
      <c r="E33" s="347" t="s">
        <v>61</v>
      </c>
      <c r="F33" s="349">
        <f>SUM(F26:F32)</f>
        <v>183</v>
      </c>
      <c r="G33" s="349" t="s">
        <v>160</v>
      </c>
      <c r="H33" s="350">
        <f>SUM(H26:H32)</f>
        <v>183</v>
      </c>
      <c r="I33" s="307"/>
      <c r="J33" s="347" t="s">
        <v>56</v>
      </c>
      <c r="K33" s="350">
        <f>SUM(K29:K32)</f>
        <v>50</v>
      </c>
      <c r="M33" s="347" t="s">
        <v>161</v>
      </c>
      <c r="N33" s="348">
        <f>SUM(N26:N32)</f>
        <v>240</v>
      </c>
      <c r="O33" s="349" t="s">
        <v>162</v>
      </c>
      <c r="P33" s="350">
        <f>SUM(P26:P32)</f>
        <v>240</v>
      </c>
      <c r="R33" s="347" t="s">
        <v>163</v>
      </c>
      <c r="S33" s="348">
        <f>SUM(S26:S32)</f>
        <v>135</v>
      </c>
      <c r="T33" s="349" t="s">
        <v>164</v>
      </c>
      <c r="U33" s="350">
        <f>SUM(U26:U32)</f>
        <v>-57</v>
      </c>
      <c r="W33" s="598" t="s">
        <v>165</v>
      </c>
      <c r="X33" s="598">
        <f>SUM(X31:X32)</f>
        <v>28</v>
      </c>
      <c r="Y33" s="324" t="s">
        <v>166</v>
      </c>
      <c r="Z33" s="324">
        <f>SUM(Z31:Z32)</f>
        <v>-50</v>
      </c>
      <c r="AA33" s="324" t="s">
        <v>167</v>
      </c>
      <c r="AB33" s="324">
        <f>SUM(AB31:AB32)</f>
        <v>100</v>
      </c>
      <c r="AC33" s="324">
        <f>X33+Z33+AB33</f>
        <v>78</v>
      </c>
      <c r="AE33" s="598" t="s">
        <v>165</v>
      </c>
      <c r="AF33" s="598">
        <f>AF27+AF28+AF29+AF30</f>
        <v>28</v>
      </c>
      <c r="AG33" s="324" t="s">
        <v>166</v>
      </c>
      <c r="AH33" s="324">
        <f>SUM(AH31:AH32)</f>
        <v>-50</v>
      </c>
      <c r="AI33" s="324" t="s">
        <v>167</v>
      </c>
      <c r="AJ33" s="324">
        <f>SUM(AJ31:AJ32)</f>
        <v>100</v>
      </c>
      <c r="AK33" s="324">
        <f>AF33+AH33+AJ33</f>
        <v>78</v>
      </c>
    </row>
    <row r="34" spans="2:37" x14ac:dyDescent="0.3">
      <c r="B34" s="352"/>
      <c r="C34" s="146"/>
      <c r="E34" s="352" t="s">
        <v>144</v>
      </c>
      <c r="F34" s="112">
        <f>F26-9</f>
        <v>69</v>
      </c>
      <c r="G34" s="363" t="s">
        <v>172</v>
      </c>
      <c r="H34" s="359">
        <f>H26</f>
        <v>3</v>
      </c>
      <c r="I34" s="307"/>
      <c r="J34" s="365"/>
      <c r="K34" s="366"/>
      <c r="L34" s="307"/>
      <c r="M34" s="352" t="s">
        <v>44</v>
      </c>
      <c r="N34" s="330">
        <v>20</v>
      </c>
      <c r="O34" s="112" t="s">
        <v>144</v>
      </c>
      <c r="P34" s="146">
        <f>100+35</f>
        <v>135</v>
      </c>
      <c r="R34" s="352"/>
      <c r="S34" s="330"/>
      <c r="T34" s="112"/>
      <c r="U34" s="146"/>
      <c r="W34" s="352"/>
      <c r="X34" s="330"/>
      <c r="Y34" s="329"/>
      <c r="Z34" s="330"/>
      <c r="AA34" s="329"/>
      <c r="AB34" s="330"/>
      <c r="AC34" s="146"/>
      <c r="AE34" s="585" t="s">
        <v>74</v>
      </c>
      <c r="AF34" s="586">
        <f>K41</f>
        <v>41</v>
      </c>
      <c r="AG34" s="329"/>
      <c r="AH34" s="330"/>
      <c r="AI34" s="329"/>
      <c r="AJ34" s="330"/>
      <c r="AK34" s="146"/>
    </row>
    <row r="35" spans="2:37" ht="15" thickBot="1" x14ac:dyDescent="0.35">
      <c r="B35" s="113"/>
      <c r="C35" s="114"/>
      <c r="E35" s="113" t="s">
        <v>190</v>
      </c>
      <c r="F35">
        <f>F27</f>
        <v>15</v>
      </c>
      <c r="G35" t="s">
        <v>168</v>
      </c>
      <c r="H35" s="114">
        <f>H27</f>
        <v>6</v>
      </c>
      <c r="I35" s="307"/>
      <c r="J35" s="362"/>
      <c r="K35" s="367"/>
      <c r="L35" s="307"/>
      <c r="M35" s="113"/>
      <c r="N35" s="332"/>
      <c r="P35" s="114"/>
      <c r="R35" s="113"/>
      <c r="S35" s="332"/>
      <c r="U35" s="114"/>
      <c r="W35" s="113"/>
      <c r="X35" s="332"/>
      <c r="Y35" s="21"/>
      <c r="Z35" s="332"/>
      <c r="AA35" s="21"/>
      <c r="AB35" s="332"/>
      <c r="AC35" s="114"/>
      <c r="AE35" s="113" t="s">
        <v>192</v>
      </c>
      <c r="AF35" s="376">
        <f>AF34</f>
        <v>41</v>
      </c>
      <c r="AG35" s="21" t="s">
        <v>173</v>
      </c>
      <c r="AH35" s="332">
        <v>-50</v>
      </c>
      <c r="AI35" s="21" t="s">
        <v>141</v>
      </c>
      <c r="AJ35" s="332">
        <v>100</v>
      </c>
      <c r="AK35" s="114"/>
    </row>
    <row r="36" spans="2:37" ht="15" thickTop="1" x14ac:dyDescent="0.3">
      <c r="B36" s="113"/>
      <c r="C36" s="114"/>
      <c r="E36" s="353" t="s">
        <v>171</v>
      </c>
      <c r="F36">
        <f>F28</f>
        <v>10</v>
      </c>
      <c r="G36" s="308" t="s">
        <v>176</v>
      </c>
      <c r="H36" s="114">
        <f>H29</f>
        <v>24</v>
      </c>
      <c r="J36" s="113"/>
      <c r="K36" s="114"/>
      <c r="L36" s="307"/>
      <c r="M36" s="353" t="s">
        <v>153</v>
      </c>
      <c r="N36" s="332">
        <v>80</v>
      </c>
      <c r="O36" s="308" t="s">
        <v>171</v>
      </c>
      <c r="P36" s="114">
        <v>10</v>
      </c>
      <c r="R36" s="113"/>
      <c r="S36" s="332"/>
      <c r="U36" s="114"/>
      <c r="W36" s="353" t="s">
        <v>194</v>
      </c>
      <c r="X36" s="332">
        <f>X27</f>
        <v>35</v>
      </c>
      <c r="Y36" s="21" t="s">
        <v>173</v>
      </c>
      <c r="Z36" s="332">
        <f>Z27</f>
        <v>-50</v>
      </c>
      <c r="AA36" s="21" t="s">
        <v>141</v>
      </c>
      <c r="AB36" s="332">
        <f>AB27</f>
        <v>100</v>
      </c>
      <c r="AC36" s="114"/>
      <c r="AE36" s="353" t="s">
        <v>184</v>
      </c>
      <c r="AF36" s="332">
        <f>-F36</f>
        <v>-10</v>
      </c>
      <c r="AG36" s="21"/>
      <c r="AH36" s="332"/>
      <c r="AI36" s="21"/>
      <c r="AJ36" s="332"/>
      <c r="AK36" s="114"/>
    </row>
    <row r="37" spans="2:37" x14ac:dyDescent="0.3">
      <c r="B37" s="362" t="s">
        <v>117</v>
      </c>
      <c r="C37" s="358" t="s">
        <v>200</v>
      </c>
      <c r="E37" s="113"/>
      <c r="H37" s="114"/>
      <c r="J37" s="113" t="s">
        <v>11</v>
      </c>
      <c r="K37" s="114">
        <f>K29</f>
        <v>50</v>
      </c>
      <c r="M37" s="353" t="s">
        <v>177</v>
      </c>
      <c r="N37" s="332">
        <f>50+7+9</f>
        <v>66</v>
      </c>
      <c r="O37" s="308" t="s">
        <v>190</v>
      </c>
      <c r="P37" s="114">
        <v>15</v>
      </c>
      <c r="R37" s="353" t="s">
        <v>141</v>
      </c>
      <c r="S37" s="368">
        <v>100</v>
      </c>
      <c r="T37" s="308" t="s">
        <v>173</v>
      </c>
      <c r="U37" s="358">
        <v>-50</v>
      </c>
      <c r="W37" s="353" t="s">
        <v>183</v>
      </c>
      <c r="X37" s="332">
        <f>X28</f>
        <v>-7</v>
      </c>
      <c r="Y37" s="21"/>
      <c r="Z37" s="332"/>
      <c r="AA37" s="21"/>
      <c r="AB37" s="332"/>
      <c r="AC37" s="114"/>
      <c r="AE37" s="113" t="s">
        <v>187</v>
      </c>
      <c r="AF37" s="332">
        <f>H34</f>
        <v>3</v>
      </c>
      <c r="AG37" s="21"/>
      <c r="AH37" s="332"/>
      <c r="AI37" s="21"/>
      <c r="AJ37" s="332"/>
      <c r="AK37" s="114"/>
    </row>
    <row r="38" spans="2:37" x14ac:dyDescent="0.3">
      <c r="B38" s="113"/>
      <c r="C38" s="358" t="s">
        <v>201</v>
      </c>
      <c r="E38" s="113"/>
      <c r="H38" s="114"/>
      <c r="J38" s="353" t="s">
        <v>202</v>
      </c>
      <c r="K38" s="114">
        <v>-9</v>
      </c>
      <c r="M38" s="353" t="s">
        <v>180</v>
      </c>
      <c r="N38" s="332">
        <v>30</v>
      </c>
      <c r="P38" s="114"/>
      <c r="R38" s="353" t="s">
        <v>194</v>
      </c>
      <c r="S38" s="368">
        <v>35</v>
      </c>
      <c r="T38" s="308" t="s">
        <v>183</v>
      </c>
      <c r="U38" s="358">
        <v>-7</v>
      </c>
      <c r="W38" s="353" t="s">
        <v>203</v>
      </c>
      <c r="X38" s="332">
        <v>-9</v>
      </c>
      <c r="Y38" s="21"/>
      <c r="Z38" s="332"/>
      <c r="AA38" s="21"/>
      <c r="AB38" s="332"/>
      <c r="AC38" s="114"/>
      <c r="AE38" s="113" t="s">
        <v>198</v>
      </c>
      <c r="AF38" s="332">
        <f>-F35</f>
        <v>-15</v>
      </c>
      <c r="AG38" s="21"/>
      <c r="AH38" s="332"/>
      <c r="AI38" s="21"/>
      <c r="AJ38" s="332"/>
      <c r="AK38" s="114"/>
    </row>
    <row r="39" spans="2:37" x14ac:dyDescent="0.3">
      <c r="B39" s="113"/>
      <c r="C39" s="114"/>
      <c r="E39" s="113"/>
      <c r="G39" t="s">
        <v>145</v>
      </c>
      <c r="H39" s="114">
        <f>H31</f>
        <v>100</v>
      </c>
      <c r="J39" s="113"/>
      <c r="K39" s="114"/>
      <c r="M39" s="353" t="s">
        <v>172</v>
      </c>
      <c r="N39" s="332">
        <v>3</v>
      </c>
      <c r="P39" s="114"/>
      <c r="R39" s="353"/>
      <c r="S39" s="368"/>
      <c r="T39" s="308" t="s">
        <v>205</v>
      </c>
      <c r="U39" s="358">
        <v>-9</v>
      </c>
      <c r="W39" s="333" t="s">
        <v>146</v>
      </c>
      <c r="X39" s="8">
        <f>X36</f>
        <v>35</v>
      </c>
      <c r="Y39" s="334" t="s">
        <v>147</v>
      </c>
      <c r="Z39" s="8">
        <v>0</v>
      </c>
      <c r="AA39" s="334" t="s">
        <v>148</v>
      </c>
      <c r="AB39" s="8">
        <f>AB36</f>
        <v>100</v>
      </c>
      <c r="AC39" s="114"/>
      <c r="AE39" s="333" t="s">
        <v>149</v>
      </c>
      <c r="AF39" s="8">
        <f>AF35+AF37</f>
        <v>44</v>
      </c>
      <c r="AG39" s="334" t="s">
        <v>147</v>
      </c>
      <c r="AH39" s="8">
        <v>0</v>
      </c>
      <c r="AI39" s="334" t="s">
        <v>148</v>
      </c>
      <c r="AJ39" s="8">
        <f>AJ35</f>
        <v>100</v>
      </c>
      <c r="AK39" s="114"/>
    </row>
    <row r="40" spans="2:37" ht="15" thickBot="1" x14ac:dyDescent="0.35">
      <c r="B40" s="113"/>
      <c r="C40" s="114"/>
      <c r="E40" s="343" t="s">
        <v>175</v>
      </c>
      <c r="F40" s="190">
        <f>F32</f>
        <v>80</v>
      </c>
      <c r="G40" s="190" t="s">
        <v>56</v>
      </c>
      <c r="H40" s="342">
        <f>K41</f>
        <v>41</v>
      </c>
      <c r="J40" s="343"/>
      <c r="K40" s="342"/>
      <c r="M40" s="340" t="s">
        <v>199</v>
      </c>
      <c r="N40" s="341">
        <f>K41</f>
        <v>41</v>
      </c>
      <c r="O40" s="190" t="s">
        <v>175</v>
      </c>
      <c r="P40" s="342">
        <v>80</v>
      </c>
      <c r="R40" s="343"/>
      <c r="S40" s="341"/>
      <c r="T40" s="190"/>
      <c r="U40" s="342"/>
      <c r="W40" s="344" t="s">
        <v>155</v>
      </c>
      <c r="X40" s="345">
        <f>X37+X38</f>
        <v>-16</v>
      </c>
      <c r="Y40" s="346" t="s">
        <v>156</v>
      </c>
      <c r="Z40" s="345">
        <f>Z36</f>
        <v>-50</v>
      </c>
      <c r="AA40" s="346" t="s">
        <v>157</v>
      </c>
      <c r="AB40" s="345">
        <v>0</v>
      </c>
      <c r="AC40" s="114"/>
      <c r="AE40" s="344" t="s">
        <v>158</v>
      </c>
      <c r="AF40" s="345">
        <f>AF36+AF38</f>
        <v>-25</v>
      </c>
      <c r="AG40" s="346" t="s">
        <v>156</v>
      </c>
      <c r="AH40" s="345">
        <f>AH35</f>
        <v>-50</v>
      </c>
      <c r="AI40" s="346" t="s">
        <v>157</v>
      </c>
      <c r="AJ40" s="345">
        <v>0</v>
      </c>
      <c r="AK40" s="114"/>
    </row>
    <row r="41" spans="2:37" ht="15" thickBot="1" x14ac:dyDescent="0.35">
      <c r="B41" s="115"/>
      <c r="C41" s="117"/>
      <c r="E41" s="347" t="s">
        <v>61</v>
      </c>
      <c r="F41" s="349">
        <f>SUM(F34:F40)</f>
        <v>174</v>
      </c>
      <c r="G41" s="349" t="s">
        <v>160</v>
      </c>
      <c r="H41" s="350">
        <f>SUM(H34:H40)</f>
        <v>174</v>
      </c>
      <c r="I41" s="307"/>
      <c r="J41" s="347" t="s">
        <v>56</v>
      </c>
      <c r="K41" s="350">
        <f>K37+K38</f>
        <v>41</v>
      </c>
      <c r="M41" s="347" t="s">
        <v>161</v>
      </c>
      <c r="N41" s="348">
        <f>SUM(N34:N40)</f>
        <v>240</v>
      </c>
      <c r="O41" s="349" t="s">
        <v>162</v>
      </c>
      <c r="P41" s="350">
        <f>SUM(P34:P40)</f>
        <v>240</v>
      </c>
      <c r="R41" s="347" t="s">
        <v>163</v>
      </c>
      <c r="S41" s="348">
        <f>SUM(S34:S40)</f>
        <v>135</v>
      </c>
      <c r="T41" s="349" t="s">
        <v>164</v>
      </c>
      <c r="U41" s="350">
        <f>SUM(U34:U40)</f>
        <v>-66</v>
      </c>
      <c r="W41" s="708" t="s">
        <v>165</v>
      </c>
      <c r="X41" s="708">
        <f>SUM(X39:X40)</f>
        <v>19</v>
      </c>
      <c r="Y41" s="324" t="s">
        <v>166</v>
      </c>
      <c r="Z41" s="324">
        <f>SUM(Z39:Z40)</f>
        <v>-50</v>
      </c>
      <c r="AA41" s="324" t="s">
        <v>167</v>
      </c>
      <c r="AB41" s="324">
        <f>SUM(AB39:AB40)</f>
        <v>100</v>
      </c>
      <c r="AC41" s="324">
        <f>X41+Z41+AB41</f>
        <v>69</v>
      </c>
      <c r="AE41" s="708" t="s">
        <v>165</v>
      </c>
      <c r="AF41" s="708">
        <f>AF35+AF36+AF37+AF38</f>
        <v>19</v>
      </c>
      <c r="AG41" s="324" t="s">
        <v>166</v>
      </c>
      <c r="AH41" s="324">
        <f>SUM(AH39:AH40)</f>
        <v>-50</v>
      </c>
      <c r="AI41" s="324" t="s">
        <v>167</v>
      </c>
      <c r="AJ41" s="324">
        <f>SUM(AJ39:AJ40)</f>
        <v>100</v>
      </c>
      <c r="AK41" s="324">
        <f>AF41+AH41+AJ41</f>
        <v>69</v>
      </c>
    </row>
    <row r="42" spans="2:37" x14ac:dyDescent="0.3">
      <c r="B42" s="352"/>
      <c r="C42" s="146"/>
      <c r="E42" s="352" t="s">
        <v>144</v>
      </c>
      <c r="F42" s="112">
        <f>F34</f>
        <v>69</v>
      </c>
      <c r="G42" s="363" t="s">
        <v>172</v>
      </c>
      <c r="H42" s="359">
        <f>H34</f>
        <v>3</v>
      </c>
      <c r="I42" s="307"/>
      <c r="J42" s="365"/>
      <c r="K42" s="366"/>
      <c r="L42" s="307"/>
      <c r="M42" s="352" t="s">
        <v>44</v>
      </c>
      <c r="N42" s="330">
        <v>20</v>
      </c>
      <c r="O42" s="112" t="s">
        <v>144</v>
      </c>
      <c r="P42" s="146">
        <f>100+35</f>
        <v>135</v>
      </c>
      <c r="R42" s="352"/>
      <c r="S42" s="330"/>
      <c r="T42" s="112"/>
      <c r="U42" s="146"/>
      <c r="W42" s="352"/>
      <c r="X42" s="330"/>
      <c r="Y42" s="329"/>
      <c r="Z42" s="330"/>
      <c r="AA42" s="329"/>
      <c r="AB42" s="330"/>
      <c r="AC42" s="146"/>
      <c r="AE42" s="585" t="s">
        <v>74</v>
      </c>
      <c r="AF42" s="586">
        <f>K49</f>
        <v>33</v>
      </c>
      <c r="AG42" s="329"/>
      <c r="AH42" s="330"/>
      <c r="AI42" s="329"/>
      <c r="AJ42" s="330"/>
      <c r="AK42" s="146"/>
    </row>
    <row r="43" spans="2:37" ht="15" thickBot="1" x14ac:dyDescent="0.35">
      <c r="B43" s="113"/>
      <c r="C43" s="114"/>
      <c r="E43" s="113" t="s">
        <v>190</v>
      </c>
      <c r="F43">
        <f>F35</f>
        <v>15</v>
      </c>
      <c r="G43" t="s">
        <v>168</v>
      </c>
      <c r="H43" s="114">
        <f>H35</f>
        <v>6</v>
      </c>
      <c r="I43" s="307"/>
      <c r="J43" s="362"/>
      <c r="K43" s="367"/>
      <c r="L43" s="307"/>
      <c r="M43" s="353" t="s">
        <v>153</v>
      </c>
      <c r="N43" s="332">
        <v>80</v>
      </c>
      <c r="O43" s="308" t="s">
        <v>171</v>
      </c>
      <c r="P43" s="114">
        <v>10</v>
      </c>
      <c r="R43" s="113" t="s">
        <v>141</v>
      </c>
      <c r="S43" s="332">
        <v>100</v>
      </c>
      <c r="T43" t="s">
        <v>173</v>
      </c>
      <c r="U43" s="114">
        <v>-50</v>
      </c>
      <c r="W43" s="339" t="s">
        <v>194</v>
      </c>
      <c r="X43" s="707">
        <f>X36</f>
        <v>35</v>
      </c>
      <c r="Y43" s="21" t="s">
        <v>173</v>
      </c>
      <c r="Z43" s="332">
        <f>Z36</f>
        <v>-50</v>
      </c>
      <c r="AA43" s="21" t="s">
        <v>141</v>
      </c>
      <c r="AB43" s="332">
        <f>AB36</f>
        <v>100</v>
      </c>
      <c r="AC43" s="114"/>
      <c r="AE43" s="113" t="s">
        <v>192</v>
      </c>
      <c r="AF43" s="376">
        <f>AF42</f>
        <v>33</v>
      </c>
      <c r="AG43" s="21" t="s">
        <v>173</v>
      </c>
      <c r="AH43" s="332">
        <v>-50</v>
      </c>
      <c r="AI43" s="21" t="s">
        <v>141</v>
      </c>
      <c r="AJ43" s="332">
        <v>100</v>
      </c>
      <c r="AK43" s="114"/>
    </row>
    <row r="44" spans="2:37" ht="15" thickTop="1" x14ac:dyDescent="0.3">
      <c r="B44" s="113"/>
      <c r="C44" s="114"/>
      <c r="E44" s="353" t="s">
        <v>171</v>
      </c>
      <c r="F44">
        <f>F36-8</f>
        <v>2</v>
      </c>
      <c r="G44" s="308" t="s">
        <v>176</v>
      </c>
      <c r="H44" s="114">
        <f>H36</f>
        <v>24</v>
      </c>
      <c r="J44" s="113" t="s">
        <v>11</v>
      </c>
      <c r="K44" s="114">
        <f>K37</f>
        <v>50</v>
      </c>
      <c r="L44" s="307"/>
      <c r="M44" s="353" t="s">
        <v>177</v>
      </c>
      <c r="N44" s="332">
        <f>50+7+9</f>
        <v>66</v>
      </c>
      <c r="O44" s="308" t="s">
        <v>190</v>
      </c>
      <c r="P44" s="114">
        <v>15</v>
      </c>
      <c r="R44" s="353" t="s">
        <v>194</v>
      </c>
      <c r="S44" s="332">
        <v>35</v>
      </c>
      <c r="T44" s="308" t="s">
        <v>183</v>
      </c>
      <c r="U44" s="114">
        <v>-7</v>
      </c>
      <c r="W44" s="339" t="s">
        <v>183</v>
      </c>
      <c r="X44" s="707">
        <f>X37</f>
        <v>-7</v>
      </c>
      <c r="Y44" s="21"/>
      <c r="Z44" s="332"/>
      <c r="AA44" s="21"/>
      <c r="AB44" s="332"/>
      <c r="AC44" s="114"/>
      <c r="AE44" s="353" t="s">
        <v>184</v>
      </c>
      <c r="AF44" s="332">
        <f>-F44</f>
        <v>-2</v>
      </c>
      <c r="AG44" s="21"/>
      <c r="AH44" s="332"/>
      <c r="AI44" s="21"/>
      <c r="AJ44" s="332"/>
      <c r="AK44" s="114"/>
    </row>
    <row r="45" spans="2:37" x14ac:dyDescent="0.3">
      <c r="B45" s="362" t="s">
        <v>119</v>
      </c>
      <c r="C45" s="358" t="s">
        <v>206</v>
      </c>
      <c r="E45" s="113"/>
      <c r="H45" s="114"/>
      <c r="J45" s="353" t="s">
        <v>202</v>
      </c>
      <c r="K45" s="114">
        <f>K38</f>
        <v>-9</v>
      </c>
      <c r="M45" s="353" t="s">
        <v>180</v>
      </c>
      <c r="N45" s="332">
        <v>30</v>
      </c>
      <c r="P45" s="114"/>
      <c r="R45" s="113"/>
      <c r="S45" s="332"/>
      <c r="T45" s="308" t="s">
        <v>205</v>
      </c>
      <c r="U45" s="114">
        <v>-9</v>
      </c>
      <c r="W45" s="339" t="s">
        <v>203</v>
      </c>
      <c r="X45" s="707">
        <f>X38</f>
        <v>-9</v>
      </c>
      <c r="Y45" s="21"/>
      <c r="Z45" s="332"/>
      <c r="AA45" s="21"/>
      <c r="AB45" s="332"/>
      <c r="AC45" s="114"/>
      <c r="AE45" s="113" t="s">
        <v>187</v>
      </c>
      <c r="AF45" s="332">
        <f>H42</f>
        <v>3</v>
      </c>
      <c r="AG45" s="21"/>
      <c r="AH45" s="332"/>
      <c r="AI45" s="21"/>
      <c r="AJ45" s="332"/>
      <c r="AK45" s="114"/>
    </row>
    <row r="46" spans="2:37" x14ac:dyDescent="0.3">
      <c r="B46" s="113"/>
      <c r="C46" s="358" t="s">
        <v>207</v>
      </c>
      <c r="E46" s="113"/>
      <c r="H46" s="114"/>
      <c r="J46" s="339" t="s">
        <v>208</v>
      </c>
      <c r="K46" s="120">
        <v>-8</v>
      </c>
      <c r="M46" s="353" t="s">
        <v>172</v>
      </c>
      <c r="N46" s="332">
        <v>3</v>
      </c>
      <c r="P46" s="114"/>
      <c r="R46" s="113"/>
      <c r="S46" s="332"/>
      <c r="U46" s="114"/>
      <c r="W46" s="339" t="s">
        <v>297</v>
      </c>
      <c r="X46" s="707">
        <v>0</v>
      </c>
      <c r="Y46" s="21"/>
      <c r="Z46" s="332"/>
      <c r="AA46" s="21"/>
      <c r="AB46" s="332"/>
      <c r="AC46" s="114"/>
      <c r="AE46" s="113" t="s">
        <v>198</v>
      </c>
      <c r="AF46" s="332">
        <f>-F43</f>
        <v>-15</v>
      </c>
      <c r="AG46" s="21"/>
      <c r="AH46" s="332"/>
      <c r="AI46" s="21"/>
      <c r="AJ46" s="332"/>
      <c r="AK46" s="114"/>
    </row>
    <row r="47" spans="2:37" x14ac:dyDescent="0.3">
      <c r="B47" s="113"/>
      <c r="C47" s="114"/>
      <c r="E47" s="113"/>
      <c r="G47" t="s">
        <v>145</v>
      </c>
      <c r="H47" s="114">
        <f>H39</f>
        <v>100</v>
      </c>
      <c r="J47" s="113"/>
      <c r="K47" s="114"/>
      <c r="M47" s="353" t="s">
        <v>171</v>
      </c>
      <c r="N47" s="332">
        <v>8</v>
      </c>
      <c r="O47" t="s">
        <v>175</v>
      </c>
      <c r="P47" s="114">
        <v>80</v>
      </c>
      <c r="R47" s="353"/>
      <c r="S47" s="368"/>
      <c r="T47" s="308"/>
      <c r="U47" s="358"/>
      <c r="W47" s="333" t="s">
        <v>146</v>
      </c>
      <c r="X47" s="8">
        <f>X43</f>
        <v>35</v>
      </c>
      <c r="Y47" s="334" t="s">
        <v>147</v>
      </c>
      <c r="Z47" s="8">
        <v>0</v>
      </c>
      <c r="AA47" s="334" t="s">
        <v>148</v>
      </c>
      <c r="AB47" s="8">
        <f>AB43</f>
        <v>100</v>
      </c>
      <c r="AC47" s="114"/>
      <c r="AE47" s="333" t="s">
        <v>149</v>
      </c>
      <c r="AF47" s="8">
        <f>AF43+AF45</f>
        <v>36</v>
      </c>
      <c r="AG47" s="334" t="s">
        <v>147</v>
      </c>
      <c r="AH47" s="8">
        <v>0</v>
      </c>
      <c r="AI47" s="334" t="s">
        <v>148</v>
      </c>
      <c r="AJ47" s="8">
        <f>AJ43</f>
        <v>100</v>
      </c>
      <c r="AK47" s="114"/>
    </row>
    <row r="48" spans="2:37" ht="15" thickBot="1" x14ac:dyDescent="0.35">
      <c r="B48" s="113"/>
      <c r="C48" s="114"/>
      <c r="E48" s="343" t="s">
        <v>175</v>
      </c>
      <c r="F48" s="190">
        <f>F40</f>
        <v>80</v>
      </c>
      <c r="G48" s="190" t="s">
        <v>56</v>
      </c>
      <c r="H48" s="342">
        <f>K49</f>
        <v>33</v>
      </c>
      <c r="J48" s="343"/>
      <c r="K48" s="342"/>
      <c r="M48" s="340" t="s">
        <v>199</v>
      </c>
      <c r="N48" s="341">
        <f>K49</f>
        <v>33</v>
      </c>
      <c r="O48" s="369"/>
      <c r="P48" s="370"/>
      <c r="R48" s="343"/>
      <c r="S48" s="341"/>
      <c r="T48" s="190"/>
      <c r="U48" s="342"/>
      <c r="W48" s="344" t="s">
        <v>155</v>
      </c>
      <c r="X48" s="346">
        <f>X44+X45</f>
        <v>-16</v>
      </c>
      <c r="Y48" s="346" t="s">
        <v>156</v>
      </c>
      <c r="Z48" s="345">
        <f>Z43</f>
        <v>-50</v>
      </c>
      <c r="AA48" s="346" t="s">
        <v>157</v>
      </c>
      <c r="AB48" s="345">
        <v>0</v>
      </c>
      <c r="AC48" s="358"/>
      <c r="AE48" s="344" t="s">
        <v>158</v>
      </c>
      <c r="AF48" s="345">
        <f>AF44+AF46</f>
        <v>-17</v>
      </c>
      <c r="AG48" s="346" t="s">
        <v>156</v>
      </c>
      <c r="AH48" s="345">
        <f>AH43</f>
        <v>-50</v>
      </c>
      <c r="AI48" s="346" t="s">
        <v>157</v>
      </c>
      <c r="AJ48" s="345">
        <v>0</v>
      </c>
      <c r="AK48" s="114"/>
    </row>
    <row r="49" spans="2:37" ht="15" thickBot="1" x14ac:dyDescent="0.35">
      <c r="B49" s="115"/>
      <c r="C49" s="117"/>
      <c r="E49" s="347" t="s">
        <v>61</v>
      </c>
      <c r="F49" s="349">
        <f>SUM(F42:F48)</f>
        <v>166</v>
      </c>
      <c r="G49" s="349" t="s">
        <v>160</v>
      </c>
      <c r="H49" s="350">
        <f>SUM(H42:H48)</f>
        <v>166</v>
      </c>
      <c r="I49" s="307"/>
      <c r="J49" s="347" t="s">
        <v>56</v>
      </c>
      <c r="K49" s="350">
        <f>SUM(K44:K48)</f>
        <v>33</v>
      </c>
      <c r="M49" s="347" t="s">
        <v>161</v>
      </c>
      <c r="N49" s="348">
        <f>SUM(N42:N48)</f>
        <v>240</v>
      </c>
      <c r="O49" s="349" t="s">
        <v>162</v>
      </c>
      <c r="P49" s="350">
        <f>SUM(P42:P48)</f>
        <v>240</v>
      </c>
      <c r="R49" s="347" t="s">
        <v>163</v>
      </c>
      <c r="S49" s="348">
        <f>SUM(S42:S48)</f>
        <v>135</v>
      </c>
      <c r="T49" s="349" t="s">
        <v>164</v>
      </c>
      <c r="U49" s="350">
        <f>SUM(U42:U48)</f>
        <v>-66</v>
      </c>
      <c r="W49" s="708" t="s">
        <v>165</v>
      </c>
      <c r="X49" s="708">
        <f>SUM(X47:X48)</f>
        <v>19</v>
      </c>
      <c r="Y49" s="324" t="s">
        <v>166</v>
      </c>
      <c r="Z49" s="324">
        <f>SUM(Z47:Z48)</f>
        <v>-50</v>
      </c>
      <c r="AA49" s="324" t="s">
        <v>167</v>
      </c>
      <c r="AB49" s="324">
        <f>SUM(AB47:AB48)</f>
        <v>100</v>
      </c>
      <c r="AC49" s="324">
        <f>X49+Z49+AB49</f>
        <v>69</v>
      </c>
      <c r="AE49" s="324" t="s">
        <v>165</v>
      </c>
      <c r="AF49" s="324">
        <f>SUM(AF47:AF48)</f>
        <v>19</v>
      </c>
      <c r="AG49" s="324" t="s">
        <v>166</v>
      </c>
      <c r="AH49" s="324">
        <f>SUM(AH47:AH48)</f>
        <v>-50</v>
      </c>
      <c r="AI49" s="324" t="s">
        <v>167</v>
      </c>
      <c r="AJ49" s="324">
        <f>SUM(AJ47:AJ48)</f>
        <v>100</v>
      </c>
      <c r="AK49" s="324">
        <f>AF49+AH49+AJ49</f>
        <v>69</v>
      </c>
    </row>
    <row r="50" spans="2:37" x14ac:dyDescent="0.3">
      <c r="B50" s="352"/>
      <c r="C50" s="146"/>
      <c r="E50" s="352" t="s">
        <v>144</v>
      </c>
      <c r="F50" s="112">
        <f>F42</f>
        <v>69</v>
      </c>
      <c r="G50" s="363" t="s">
        <v>172</v>
      </c>
      <c r="H50" s="359">
        <f>H42</f>
        <v>3</v>
      </c>
      <c r="J50" s="352"/>
      <c r="K50" s="146"/>
      <c r="L50" s="307"/>
      <c r="M50" s="352" t="s">
        <v>44</v>
      </c>
      <c r="N50" s="330">
        <v>20</v>
      </c>
      <c r="O50" s="112" t="s">
        <v>144</v>
      </c>
      <c r="P50" s="146">
        <f>100+35</f>
        <v>135</v>
      </c>
      <c r="R50" s="352"/>
      <c r="S50" s="330"/>
      <c r="T50" s="112"/>
      <c r="U50" s="146"/>
      <c r="W50" s="352"/>
      <c r="X50" s="330"/>
      <c r="Y50" s="329"/>
      <c r="Z50" s="330"/>
      <c r="AA50" s="329"/>
      <c r="AB50" s="330"/>
      <c r="AC50" s="146"/>
      <c r="AE50" s="352" t="s">
        <v>74</v>
      </c>
      <c r="AF50" s="330">
        <f>K58</f>
        <v>26</v>
      </c>
      <c r="AG50" s="112"/>
      <c r="AH50" s="330"/>
      <c r="AI50" s="329"/>
      <c r="AJ50" s="330"/>
      <c r="AK50" s="146"/>
    </row>
    <row r="51" spans="2:37" x14ac:dyDescent="0.3">
      <c r="B51" s="113"/>
      <c r="C51" s="114"/>
      <c r="E51" s="113"/>
      <c r="G51" s="308"/>
      <c r="H51" s="358"/>
      <c r="J51" s="113"/>
      <c r="K51" s="114"/>
      <c r="L51" s="307"/>
      <c r="M51" s="353" t="s">
        <v>153</v>
      </c>
      <c r="N51" s="332">
        <v>80</v>
      </c>
      <c r="O51" s="308" t="s">
        <v>171</v>
      </c>
      <c r="P51" s="114">
        <v>10</v>
      </c>
      <c r="R51" s="113"/>
      <c r="S51" s="332"/>
      <c r="U51" s="114"/>
      <c r="W51" s="113"/>
      <c r="X51" s="332"/>
      <c r="Y51" s="21"/>
      <c r="Z51" s="332"/>
      <c r="AA51" s="21"/>
      <c r="AB51" s="332"/>
      <c r="AC51" s="114"/>
      <c r="AE51" s="371" t="s">
        <v>209</v>
      </c>
      <c r="AF51" s="332">
        <f>-K56</f>
        <v>7</v>
      </c>
      <c r="AH51" s="332"/>
      <c r="AI51" s="21"/>
      <c r="AJ51" s="332"/>
      <c r="AK51" s="114"/>
    </row>
    <row r="52" spans="2:37" ht="15" thickBot="1" x14ac:dyDescent="0.35">
      <c r="B52" s="113"/>
      <c r="C52" s="114"/>
      <c r="E52" s="113" t="s">
        <v>190</v>
      </c>
      <c r="F52">
        <f>F43</f>
        <v>15</v>
      </c>
      <c r="G52" t="s">
        <v>168</v>
      </c>
      <c r="H52" s="114">
        <f>H43</f>
        <v>6</v>
      </c>
      <c r="J52" s="113"/>
      <c r="K52" s="114"/>
      <c r="M52" s="113"/>
      <c r="O52" s="308" t="s">
        <v>190</v>
      </c>
      <c r="P52" s="114">
        <v>15</v>
      </c>
      <c r="R52" s="113" t="s">
        <v>141</v>
      </c>
      <c r="S52" s="332">
        <v>100</v>
      </c>
      <c r="T52" t="s">
        <v>173</v>
      </c>
      <c r="U52" s="114">
        <v>-50</v>
      </c>
      <c r="W52" s="353" t="s">
        <v>194</v>
      </c>
      <c r="X52" s="332">
        <f>X43</f>
        <v>35</v>
      </c>
      <c r="Y52" s="21" t="s">
        <v>173</v>
      </c>
      <c r="Z52" s="332">
        <f>Z43</f>
        <v>-50</v>
      </c>
      <c r="AA52" s="21" t="s">
        <v>141</v>
      </c>
      <c r="AB52" s="332">
        <f>AB43</f>
        <v>100</v>
      </c>
      <c r="AC52" s="114"/>
      <c r="AE52" s="362" t="s">
        <v>192</v>
      </c>
      <c r="AF52" s="372">
        <f>SUM(AF50:AF51)</f>
        <v>33</v>
      </c>
      <c r="AG52" t="s">
        <v>173</v>
      </c>
      <c r="AH52" s="332">
        <v>-50</v>
      </c>
      <c r="AI52" s="21" t="s">
        <v>141</v>
      </c>
      <c r="AJ52" s="332">
        <v>100</v>
      </c>
      <c r="AK52" s="114"/>
    </row>
    <row r="53" spans="2:37" ht="15" thickTop="1" x14ac:dyDescent="0.3">
      <c r="B53" s="113"/>
      <c r="C53" s="114"/>
      <c r="E53" s="353" t="s">
        <v>171</v>
      </c>
      <c r="F53">
        <f>F44</f>
        <v>2</v>
      </c>
      <c r="G53" s="308" t="s">
        <v>176</v>
      </c>
      <c r="H53" s="114">
        <f>H44</f>
        <v>24</v>
      </c>
      <c r="J53" s="113" t="s">
        <v>11</v>
      </c>
      <c r="K53" s="114">
        <f>K44</f>
        <v>50</v>
      </c>
      <c r="M53" s="353" t="s">
        <v>177</v>
      </c>
      <c r="N53" s="332">
        <f>50+7+9</f>
        <v>66</v>
      </c>
      <c r="P53" s="114"/>
      <c r="R53" s="353" t="s">
        <v>194</v>
      </c>
      <c r="S53" s="332">
        <v>35</v>
      </c>
      <c r="T53" s="308" t="s">
        <v>183</v>
      </c>
      <c r="U53" s="114">
        <v>-7</v>
      </c>
      <c r="W53" s="353" t="s">
        <v>183</v>
      </c>
      <c r="X53" s="332">
        <f>X44</f>
        <v>-7</v>
      </c>
      <c r="Y53" s="21"/>
      <c r="Z53" s="332"/>
      <c r="AA53" s="21"/>
      <c r="AB53" s="332"/>
      <c r="AC53" s="114"/>
      <c r="AE53" s="353" t="s">
        <v>184</v>
      </c>
      <c r="AF53" s="332">
        <f>-F53</f>
        <v>-2</v>
      </c>
      <c r="AH53" s="332"/>
      <c r="AI53" s="21"/>
      <c r="AJ53" s="332"/>
      <c r="AK53" s="114"/>
    </row>
    <row r="54" spans="2:37" x14ac:dyDescent="0.3">
      <c r="B54" s="362" t="s">
        <v>121</v>
      </c>
      <c r="C54" s="358" t="s">
        <v>210</v>
      </c>
      <c r="E54" s="113"/>
      <c r="H54" s="114"/>
      <c r="J54" s="353" t="s">
        <v>202</v>
      </c>
      <c r="K54" s="114">
        <f>K45</f>
        <v>-9</v>
      </c>
      <c r="M54" s="353" t="s">
        <v>180</v>
      </c>
      <c r="N54" s="332">
        <v>30</v>
      </c>
      <c r="P54" s="114"/>
      <c r="R54" s="113"/>
      <c r="S54" s="332"/>
      <c r="T54" s="308" t="s">
        <v>205</v>
      </c>
      <c r="U54" s="114">
        <v>-9</v>
      </c>
      <c r="W54" s="353" t="s">
        <v>203</v>
      </c>
      <c r="X54" s="332">
        <f>X45</f>
        <v>-9</v>
      </c>
      <c r="Y54" s="21"/>
      <c r="Z54" s="332"/>
      <c r="AA54" s="21"/>
      <c r="AB54" s="332"/>
      <c r="AC54" s="358"/>
      <c r="AE54" s="113" t="s">
        <v>187</v>
      </c>
      <c r="AF54" s="332">
        <f>H50</f>
        <v>3</v>
      </c>
      <c r="AH54" s="332"/>
      <c r="AI54" s="21"/>
      <c r="AJ54" s="332"/>
      <c r="AK54" s="114"/>
    </row>
    <row r="55" spans="2:37" x14ac:dyDescent="0.3">
      <c r="B55" s="113"/>
      <c r="C55" s="358" t="s">
        <v>211</v>
      </c>
      <c r="E55" s="113" t="s">
        <v>175</v>
      </c>
      <c r="F55">
        <f>F48</f>
        <v>80</v>
      </c>
      <c r="G55" t="s">
        <v>145</v>
      </c>
      <c r="H55" s="114">
        <f>H47</f>
        <v>100</v>
      </c>
      <c r="J55" s="353" t="s">
        <v>208</v>
      </c>
      <c r="K55" s="114">
        <f>K46</f>
        <v>-8</v>
      </c>
      <c r="M55" s="353" t="s">
        <v>172</v>
      </c>
      <c r="N55" s="332">
        <v>3</v>
      </c>
      <c r="P55" s="114"/>
      <c r="R55" s="113"/>
      <c r="S55" s="332"/>
      <c r="U55" s="114"/>
      <c r="W55" s="113"/>
      <c r="X55" s="332"/>
      <c r="Y55" s="21"/>
      <c r="Z55" s="332"/>
      <c r="AA55" s="21"/>
      <c r="AB55" s="332"/>
      <c r="AC55" s="114"/>
      <c r="AE55" s="113" t="s">
        <v>198</v>
      </c>
      <c r="AF55" s="332">
        <f>-F52</f>
        <v>-15</v>
      </c>
      <c r="AH55" s="332"/>
      <c r="AI55" s="21"/>
      <c r="AJ55" s="332"/>
      <c r="AK55" s="114"/>
    </row>
    <row r="56" spans="2:37" x14ac:dyDescent="0.3">
      <c r="B56" s="113"/>
      <c r="C56" s="114"/>
      <c r="E56" s="353" t="s">
        <v>45</v>
      </c>
      <c r="F56">
        <v>-7</v>
      </c>
      <c r="G56" t="s">
        <v>56</v>
      </c>
      <c r="H56" s="114">
        <f>K58</f>
        <v>26</v>
      </c>
      <c r="I56" s="307"/>
      <c r="J56" s="339" t="s">
        <v>213</v>
      </c>
      <c r="K56" s="120">
        <v>-7</v>
      </c>
      <c r="M56" s="353" t="s">
        <v>171</v>
      </c>
      <c r="N56" s="332">
        <v>8</v>
      </c>
      <c r="O56" t="s">
        <v>175</v>
      </c>
      <c r="P56" s="114">
        <v>80</v>
      </c>
      <c r="R56" s="353"/>
      <c r="S56" s="368"/>
      <c r="T56" s="308"/>
      <c r="U56" s="358"/>
      <c r="W56" s="333" t="s">
        <v>146</v>
      </c>
      <c r="X56" s="8">
        <f>X52</f>
        <v>35</v>
      </c>
      <c r="Y56" s="334" t="s">
        <v>147</v>
      </c>
      <c r="Z56" s="8">
        <v>0</v>
      </c>
      <c r="AA56" s="334" t="s">
        <v>148</v>
      </c>
      <c r="AB56" s="8">
        <f>AB52</f>
        <v>100</v>
      </c>
      <c r="AC56" s="114"/>
      <c r="AE56" s="333" t="s">
        <v>149</v>
      </c>
      <c r="AF56" s="8">
        <f>AF52+AF54</f>
        <v>36</v>
      </c>
      <c r="AG56" s="373" t="s">
        <v>147</v>
      </c>
      <c r="AH56" s="8">
        <v>0</v>
      </c>
      <c r="AI56" s="334" t="s">
        <v>148</v>
      </c>
      <c r="AJ56" s="8">
        <f>AJ52</f>
        <v>100</v>
      </c>
      <c r="AK56" s="114"/>
    </row>
    <row r="57" spans="2:37" ht="15" thickBot="1" x14ac:dyDescent="0.35">
      <c r="B57" s="113"/>
      <c r="C57" s="114"/>
      <c r="E57" s="343"/>
      <c r="F57" s="190"/>
      <c r="G57" s="190"/>
      <c r="H57" s="342"/>
      <c r="J57" s="343"/>
      <c r="K57" s="342"/>
      <c r="L57" s="307"/>
      <c r="M57" s="340" t="s">
        <v>199</v>
      </c>
      <c r="N57" s="341">
        <f>K58+7</f>
        <v>33</v>
      </c>
      <c r="O57" s="369"/>
      <c r="P57" s="370"/>
      <c r="R57" s="343"/>
      <c r="S57" s="341"/>
      <c r="T57" s="190"/>
      <c r="U57" s="342"/>
      <c r="W57" s="344" t="s">
        <v>155</v>
      </c>
      <c r="X57" s="346">
        <f>X53+X54</f>
        <v>-16</v>
      </c>
      <c r="Y57" s="346" t="s">
        <v>156</v>
      </c>
      <c r="Z57" s="345">
        <f>Z52</f>
        <v>-50</v>
      </c>
      <c r="AA57" s="346" t="s">
        <v>157</v>
      </c>
      <c r="AB57" s="345">
        <v>0</v>
      </c>
      <c r="AC57" s="114"/>
      <c r="AE57" s="344" t="s">
        <v>158</v>
      </c>
      <c r="AF57" s="345">
        <f>AF53+AF55</f>
        <v>-17</v>
      </c>
      <c r="AG57" s="374" t="s">
        <v>156</v>
      </c>
      <c r="AH57" s="345">
        <f>AH52</f>
        <v>-50</v>
      </c>
      <c r="AI57" s="346" t="s">
        <v>157</v>
      </c>
      <c r="AJ57" s="345">
        <v>0</v>
      </c>
      <c r="AK57" s="114"/>
    </row>
    <row r="58" spans="2:37" ht="15" thickBot="1" x14ac:dyDescent="0.35">
      <c r="B58" s="115"/>
      <c r="C58" s="117"/>
      <c r="E58" s="347" t="s">
        <v>61</v>
      </c>
      <c r="F58" s="349">
        <f>SUM(F50:F57)</f>
        <v>159</v>
      </c>
      <c r="G58" s="349" t="s">
        <v>160</v>
      </c>
      <c r="H58" s="350">
        <f>SUM(H50:H57)</f>
        <v>159</v>
      </c>
      <c r="J58" s="347" t="s">
        <v>56</v>
      </c>
      <c r="K58" s="350">
        <f>SUM(K53:K57)</f>
        <v>26</v>
      </c>
      <c r="M58" s="347" t="s">
        <v>161</v>
      </c>
      <c r="N58" s="348">
        <f>SUM(N50:N57)</f>
        <v>240</v>
      </c>
      <c r="O58" s="349" t="s">
        <v>162</v>
      </c>
      <c r="P58" s="350">
        <f>SUM(P50:P57)</f>
        <v>240</v>
      </c>
      <c r="R58" s="347" t="s">
        <v>163</v>
      </c>
      <c r="S58" s="348">
        <f>SUM(S50:S57)</f>
        <v>135</v>
      </c>
      <c r="T58" s="349" t="s">
        <v>164</v>
      </c>
      <c r="U58" s="350">
        <f>SUM(U50:U57)</f>
        <v>-66</v>
      </c>
      <c r="W58" s="708" t="s">
        <v>165</v>
      </c>
      <c r="X58" s="708">
        <f>SUM(X56:X57)</f>
        <v>19</v>
      </c>
      <c r="Y58" s="324" t="s">
        <v>166</v>
      </c>
      <c r="Z58" s="324">
        <f>SUM(Z56:Z57)</f>
        <v>-50</v>
      </c>
      <c r="AA58" s="324" t="s">
        <v>167</v>
      </c>
      <c r="AB58" s="324">
        <f>SUM(AB56:AB57)</f>
        <v>100</v>
      </c>
      <c r="AC58" s="324">
        <f>X58+Z58+AB58</f>
        <v>69</v>
      </c>
      <c r="AE58" s="324" t="s">
        <v>165</v>
      </c>
      <c r="AF58" s="324">
        <f>SUM(AF56:AF57)</f>
        <v>19</v>
      </c>
      <c r="AG58" s="324" t="s">
        <v>166</v>
      </c>
      <c r="AH58" s="324">
        <f>SUM(AH56:AH57)</f>
        <v>-50</v>
      </c>
      <c r="AI58" s="324" t="s">
        <v>167</v>
      </c>
      <c r="AJ58" s="324">
        <f>SUM(AJ56:AJ57)</f>
        <v>100</v>
      </c>
      <c r="AK58" s="324">
        <f>AF58+AH58+AJ58</f>
        <v>69</v>
      </c>
    </row>
    <row r="59" spans="2:37" x14ac:dyDescent="0.3">
      <c r="B59" s="352"/>
      <c r="C59" s="146"/>
      <c r="E59" s="717" t="s">
        <v>144</v>
      </c>
      <c r="F59" s="704">
        <f>F50+14</f>
        <v>83</v>
      </c>
      <c r="G59" s="363" t="s">
        <v>172</v>
      </c>
      <c r="H59" s="359">
        <f>H50</f>
        <v>3</v>
      </c>
      <c r="J59" s="365"/>
      <c r="K59" s="366"/>
      <c r="M59" s="352" t="s">
        <v>44</v>
      </c>
      <c r="N59" s="330">
        <v>20</v>
      </c>
      <c r="O59" s="112" t="s">
        <v>144</v>
      </c>
      <c r="P59" s="146">
        <f>100+35+14</f>
        <v>149</v>
      </c>
      <c r="R59" s="352" t="s">
        <v>141</v>
      </c>
      <c r="S59" s="330">
        <v>100</v>
      </c>
      <c r="T59" s="112" t="s">
        <v>173</v>
      </c>
      <c r="U59" s="146">
        <v>-50</v>
      </c>
      <c r="W59" s="375" t="s">
        <v>194</v>
      </c>
      <c r="X59" s="330">
        <f>X52+14</f>
        <v>49</v>
      </c>
      <c r="Y59" s="329" t="s">
        <v>173</v>
      </c>
      <c r="Z59" s="330">
        <v>-50</v>
      </c>
      <c r="AA59" s="329" t="s">
        <v>141</v>
      </c>
      <c r="AB59" s="330">
        <f>AB52</f>
        <v>100</v>
      </c>
      <c r="AC59" s="146"/>
      <c r="AE59" s="352" t="s">
        <v>74</v>
      </c>
      <c r="AF59" s="330">
        <f>K69</f>
        <v>26</v>
      </c>
      <c r="AG59" s="112"/>
      <c r="AH59" s="330"/>
      <c r="AI59" s="329"/>
      <c r="AJ59" s="330"/>
      <c r="AK59" s="146"/>
    </row>
    <row r="60" spans="2:37" x14ac:dyDescent="0.3">
      <c r="B60" s="113"/>
      <c r="C60" s="114"/>
      <c r="E60" s="113" t="s">
        <v>190</v>
      </c>
      <c r="F60">
        <f>F52-14</f>
        <v>1</v>
      </c>
      <c r="G60" t="s">
        <v>168</v>
      </c>
      <c r="H60" s="114">
        <f>H52</f>
        <v>6</v>
      </c>
      <c r="J60" s="362"/>
      <c r="K60" s="367"/>
      <c r="M60" s="353" t="s">
        <v>153</v>
      </c>
      <c r="N60" s="332">
        <v>80</v>
      </c>
      <c r="O60" s="308" t="s">
        <v>171</v>
      </c>
      <c r="P60" s="114">
        <v>10</v>
      </c>
      <c r="R60" s="113"/>
      <c r="S60" s="332"/>
      <c r="U60" s="114"/>
      <c r="W60" s="353" t="s">
        <v>183</v>
      </c>
      <c r="X60" s="332">
        <f>X53</f>
        <v>-7</v>
      </c>
      <c r="Y60" s="21"/>
      <c r="Z60" s="332"/>
      <c r="AA60" s="21"/>
      <c r="AB60" s="332"/>
      <c r="AC60" s="114"/>
      <c r="AE60" s="371" t="s">
        <v>209</v>
      </c>
      <c r="AF60" s="332">
        <f>-K64</f>
        <v>7</v>
      </c>
      <c r="AH60" s="332"/>
      <c r="AI60" s="21"/>
      <c r="AJ60" s="332"/>
      <c r="AK60" s="114"/>
    </row>
    <row r="61" spans="2:37" ht="15" thickBot="1" x14ac:dyDescent="0.35">
      <c r="B61" s="113"/>
      <c r="C61" s="114"/>
      <c r="E61" s="353" t="s">
        <v>171</v>
      </c>
      <c r="F61">
        <f>F53</f>
        <v>2</v>
      </c>
      <c r="G61" s="307"/>
      <c r="H61" s="367"/>
      <c r="J61" s="113" t="s">
        <v>11</v>
      </c>
      <c r="K61" s="114">
        <f>K53</f>
        <v>50</v>
      </c>
      <c r="M61" s="353" t="s">
        <v>214</v>
      </c>
      <c r="N61" s="332">
        <v>6</v>
      </c>
      <c r="O61" s="308" t="s">
        <v>190</v>
      </c>
      <c r="P61" s="114">
        <v>15</v>
      </c>
      <c r="R61" s="113"/>
      <c r="S61" s="332"/>
      <c r="U61" s="114"/>
      <c r="W61" s="353" t="s">
        <v>203</v>
      </c>
      <c r="X61" s="332">
        <f>X54</f>
        <v>-9</v>
      </c>
      <c r="Y61" s="21"/>
      <c r="Z61" s="332"/>
      <c r="AA61" s="21"/>
      <c r="AB61" s="332"/>
      <c r="AC61" s="114"/>
      <c r="AE61" s="113" t="s">
        <v>192</v>
      </c>
      <c r="AF61" s="376">
        <f>SUM(AF59:AF60)</f>
        <v>33</v>
      </c>
      <c r="AG61" t="s">
        <v>173</v>
      </c>
      <c r="AH61" s="332">
        <f>AH52</f>
        <v>-50</v>
      </c>
      <c r="AI61" s="21" t="s">
        <v>141</v>
      </c>
      <c r="AJ61" s="332">
        <f>AJ52</f>
        <v>100</v>
      </c>
      <c r="AK61" s="114"/>
    </row>
    <row r="62" spans="2:37" ht="15" thickTop="1" x14ac:dyDescent="0.3">
      <c r="B62" s="113"/>
      <c r="C62" s="114"/>
      <c r="E62" s="113"/>
      <c r="G62" s="308" t="s">
        <v>176</v>
      </c>
      <c r="H62" s="114">
        <f>H53</f>
        <v>24</v>
      </c>
      <c r="J62" s="353" t="s">
        <v>202</v>
      </c>
      <c r="K62" s="114">
        <f>K54</f>
        <v>-9</v>
      </c>
      <c r="M62" s="353" t="s">
        <v>177</v>
      </c>
      <c r="N62" s="332">
        <f>50+7+9</f>
        <v>66</v>
      </c>
      <c r="P62" s="114"/>
      <c r="R62" s="353" t="s">
        <v>194</v>
      </c>
      <c r="S62" s="332">
        <v>35</v>
      </c>
      <c r="T62" s="308" t="s">
        <v>183</v>
      </c>
      <c r="U62" s="114">
        <v>-7</v>
      </c>
      <c r="W62" s="113"/>
      <c r="Y62" s="21"/>
      <c r="Z62" s="332"/>
      <c r="AA62" s="21"/>
      <c r="AB62" s="332"/>
      <c r="AC62" s="114"/>
      <c r="AE62" s="353" t="s">
        <v>184</v>
      </c>
      <c r="AF62" s="332">
        <f>-F61</f>
        <v>-2</v>
      </c>
      <c r="AH62" s="332"/>
      <c r="AI62" s="21"/>
      <c r="AJ62" s="332"/>
      <c r="AK62" s="114"/>
    </row>
    <row r="63" spans="2:37" x14ac:dyDescent="0.3">
      <c r="B63" s="113"/>
      <c r="C63" s="114"/>
      <c r="E63" s="113"/>
      <c r="H63" s="114"/>
      <c r="J63" s="353" t="s">
        <v>208</v>
      </c>
      <c r="K63" s="114">
        <f>K55</f>
        <v>-8</v>
      </c>
      <c r="M63" s="353" t="s">
        <v>215</v>
      </c>
      <c r="N63" s="332">
        <v>24</v>
      </c>
      <c r="P63" s="114"/>
      <c r="R63" s="353" t="s">
        <v>216</v>
      </c>
      <c r="S63" s="332">
        <v>14</v>
      </c>
      <c r="T63" s="308" t="s">
        <v>205</v>
      </c>
      <c r="U63" s="114">
        <v>-9</v>
      </c>
      <c r="W63" s="113"/>
      <c r="Y63" s="21"/>
      <c r="Z63" s="332"/>
      <c r="AA63" s="21"/>
      <c r="AB63" s="332"/>
      <c r="AC63" s="114"/>
      <c r="AE63" s="113" t="s">
        <v>187</v>
      </c>
      <c r="AF63" s="332">
        <f>H59</f>
        <v>3</v>
      </c>
      <c r="AH63" s="332"/>
      <c r="AI63" s="21"/>
      <c r="AJ63" s="332"/>
      <c r="AK63" s="114"/>
    </row>
    <row r="64" spans="2:37" x14ac:dyDescent="0.3">
      <c r="B64" s="362" t="s">
        <v>123</v>
      </c>
      <c r="C64" s="358" t="s">
        <v>217</v>
      </c>
      <c r="E64" s="113"/>
      <c r="H64" s="114"/>
      <c r="J64" s="353" t="s">
        <v>213</v>
      </c>
      <c r="K64" s="114">
        <f>K56</f>
        <v>-7</v>
      </c>
      <c r="M64" s="353" t="s">
        <v>172</v>
      </c>
      <c r="N64" s="332">
        <v>3</v>
      </c>
      <c r="P64" s="114"/>
      <c r="R64" s="113"/>
      <c r="S64" s="332"/>
      <c r="U64" s="114"/>
      <c r="W64" s="113"/>
      <c r="X64" s="332"/>
      <c r="Y64" s="21"/>
      <c r="Z64" s="332"/>
      <c r="AA64" s="21"/>
      <c r="AB64" s="332"/>
      <c r="AC64" s="114"/>
      <c r="AE64" s="113" t="s">
        <v>198</v>
      </c>
      <c r="AF64" s="332">
        <f>-F60</f>
        <v>-1</v>
      </c>
      <c r="AH64" s="332"/>
      <c r="AI64" s="21"/>
      <c r="AJ64" s="332"/>
      <c r="AK64" s="114"/>
    </row>
    <row r="65" spans="2:37" x14ac:dyDescent="0.3">
      <c r="B65" s="113"/>
      <c r="C65" s="358" t="s">
        <v>218</v>
      </c>
      <c r="E65" s="113"/>
      <c r="H65" s="114"/>
      <c r="J65" s="113"/>
      <c r="K65" s="114"/>
      <c r="M65" s="353" t="s">
        <v>171</v>
      </c>
      <c r="N65" s="332">
        <v>8</v>
      </c>
      <c r="P65" s="114"/>
      <c r="R65" s="354"/>
      <c r="S65" s="341"/>
      <c r="T65" s="190"/>
      <c r="U65" s="357"/>
      <c r="W65" s="333" t="s">
        <v>146</v>
      </c>
      <c r="X65" s="8">
        <f>X59</f>
        <v>49</v>
      </c>
      <c r="Y65" s="334" t="s">
        <v>147</v>
      </c>
      <c r="Z65" s="8">
        <v>0</v>
      </c>
      <c r="AA65" s="334" t="s">
        <v>148</v>
      </c>
      <c r="AB65" s="8">
        <f>AB59</f>
        <v>100</v>
      </c>
      <c r="AC65" s="114"/>
      <c r="AE65" s="333" t="s">
        <v>149</v>
      </c>
      <c r="AF65" s="8">
        <f>AF61+AF63</f>
        <v>36</v>
      </c>
      <c r="AG65" s="373" t="s">
        <v>147</v>
      </c>
      <c r="AH65" s="8">
        <v>0</v>
      </c>
      <c r="AI65" s="334" t="s">
        <v>148</v>
      </c>
      <c r="AJ65" s="8">
        <f>AJ61</f>
        <v>100</v>
      </c>
      <c r="AK65" s="114"/>
    </row>
    <row r="66" spans="2:37" ht="15" thickBot="1" x14ac:dyDescent="0.35">
      <c r="B66" s="113"/>
      <c r="C66" s="358"/>
      <c r="E66" s="113" t="s">
        <v>175</v>
      </c>
      <c r="F66">
        <f>F55</f>
        <v>80</v>
      </c>
      <c r="G66" t="s">
        <v>145</v>
      </c>
      <c r="H66" s="114">
        <f>H55</f>
        <v>100</v>
      </c>
      <c r="J66" s="113"/>
      <c r="K66" s="114"/>
      <c r="M66" s="353" t="s">
        <v>219</v>
      </c>
      <c r="N66" s="332">
        <v>14</v>
      </c>
      <c r="P66" s="114"/>
      <c r="R66" s="347" t="s">
        <v>163</v>
      </c>
      <c r="S66" s="348">
        <f>SUM(S59:S65)</f>
        <v>149</v>
      </c>
      <c r="T66" s="349" t="s">
        <v>164</v>
      </c>
      <c r="U66" s="350">
        <f>SUM(U59:U65)</f>
        <v>-66</v>
      </c>
      <c r="W66" s="344" t="s">
        <v>155</v>
      </c>
      <c r="X66" s="345">
        <f>X60+X61</f>
        <v>-16</v>
      </c>
      <c r="Y66" s="346" t="s">
        <v>156</v>
      </c>
      <c r="Z66" s="345">
        <f>Z59</f>
        <v>-50</v>
      </c>
      <c r="AA66" s="346" t="s">
        <v>157</v>
      </c>
      <c r="AB66" s="345">
        <v>0</v>
      </c>
      <c r="AC66" s="114"/>
      <c r="AE66" s="344" t="s">
        <v>158</v>
      </c>
      <c r="AF66" s="345">
        <f>AF62+AF64</f>
        <v>-3</v>
      </c>
      <c r="AG66" s="374" t="s">
        <v>156</v>
      </c>
      <c r="AH66" s="345">
        <f>AH61</f>
        <v>-50</v>
      </c>
      <c r="AI66" s="346" t="s">
        <v>157</v>
      </c>
      <c r="AJ66" s="345">
        <v>0</v>
      </c>
      <c r="AK66" s="114"/>
    </row>
    <row r="67" spans="2:37" ht="15" thickBot="1" x14ac:dyDescent="0.35">
      <c r="B67" s="113"/>
      <c r="C67" s="358"/>
      <c r="E67" s="353" t="s">
        <v>45</v>
      </c>
      <c r="F67">
        <f>F56</f>
        <v>-7</v>
      </c>
      <c r="G67" t="s">
        <v>56</v>
      </c>
      <c r="H67" s="114">
        <f>K69</f>
        <v>26</v>
      </c>
      <c r="J67" s="113"/>
      <c r="K67" s="114"/>
      <c r="M67" s="113"/>
      <c r="N67" s="332"/>
      <c r="O67" t="s">
        <v>175</v>
      </c>
      <c r="P67" s="114">
        <v>80</v>
      </c>
      <c r="R67" s="321" t="s">
        <v>220</v>
      </c>
      <c r="S67" s="322"/>
      <c r="T67" s="323"/>
      <c r="U67" s="322">
        <f>S66+U66</f>
        <v>83</v>
      </c>
      <c r="W67" s="708" t="s">
        <v>165</v>
      </c>
      <c r="X67" s="708">
        <f>SUM(X65:X66)</f>
        <v>33</v>
      </c>
      <c r="Y67" s="324" t="s">
        <v>166</v>
      </c>
      <c r="Z67" s="324">
        <f>SUM(Z65:Z66)</f>
        <v>-50</v>
      </c>
      <c r="AA67" s="324" t="s">
        <v>167</v>
      </c>
      <c r="AB67" s="324">
        <f>SUM(AB65:AB66)</f>
        <v>100</v>
      </c>
      <c r="AC67" s="324">
        <f>X67+Z67+AB67</f>
        <v>83</v>
      </c>
      <c r="AE67" s="708" t="s">
        <v>165</v>
      </c>
      <c r="AF67" s="708">
        <f>SUM(AF65:AF66)</f>
        <v>33</v>
      </c>
      <c r="AG67" s="324" t="s">
        <v>166</v>
      </c>
      <c r="AH67" s="324">
        <f>SUM(AH65:AH66)</f>
        <v>-50</v>
      </c>
      <c r="AI67" s="324" t="s">
        <v>167</v>
      </c>
      <c r="AJ67" s="324">
        <f>SUM(AJ65:AJ66)</f>
        <v>100</v>
      </c>
      <c r="AK67" s="324">
        <f>AF67+AH67+AJ67</f>
        <v>83</v>
      </c>
    </row>
    <row r="68" spans="2:37" ht="15" thickBot="1" x14ac:dyDescent="0.35">
      <c r="B68" s="113"/>
      <c r="C68" s="358"/>
      <c r="E68" s="343"/>
      <c r="F68" s="190"/>
      <c r="G68" s="190"/>
      <c r="H68" s="342"/>
      <c r="J68" s="343"/>
      <c r="K68" s="342"/>
      <c r="M68" s="340" t="s">
        <v>199</v>
      </c>
      <c r="N68" s="341">
        <f>K69+7</f>
        <v>33</v>
      </c>
      <c r="O68" s="369"/>
      <c r="P68" s="370"/>
      <c r="R68" s="780" t="s">
        <v>221</v>
      </c>
      <c r="S68" s="781"/>
      <c r="T68" s="112"/>
      <c r="U68" s="146">
        <v>0</v>
      </c>
      <c r="W68" s="782" t="s">
        <v>221</v>
      </c>
      <c r="X68" s="783"/>
      <c r="Y68" s="783"/>
      <c r="Z68" s="783"/>
      <c r="AA68" s="783"/>
      <c r="AB68" s="784"/>
      <c r="AC68" s="203">
        <v>0</v>
      </c>
      <c r="AE68" s="782" t="s">
        <v>221</v>
      </c>
      <c r="AF68" s="783"/>
      <c r="AG68" s="783"/>
      <c r="AH68" s="783"/>
      <c r="AI68" s="783"/>
      <c r="AJ68" s="784"/>
      <c r="AK68" s="203">
        <v>0</v>
      </c>
    </row>
    <row r="69" spans="2:37" ht="15" thickBot="1" x14ac:dyDescent="0.35">
      <c r="B69" s="115"/>
      <c r="C69" s="117"/>
      <c r="E69" s="347" t="s">
        <v>61</v>
      </c>
      <c r="F69" s="349">
        <f>SUM(F59:F68)</f>
        <v>159</v>
      </c>
      <c r="G69" s="349" t="s">
        <v>160</v>
      </c>
      <c r="H69" s="350">
        <f>SUM(H59:H68)</f>
        <v>159</v>
      </c>
      <c r="J69" s="347" t="s">
        <v>56</v>
      </c>
      <c r="K69" s="350">
        <f>SUM(K61:K68)</f>
        <v>26</v>
      </c>
      <c r="M69" s="347" t="s">
        <v>161</v>
      </c>
      <c r="N69" s="348">
        <f>SUM(N59:N68)</f>
        <v>254</v>
      </c>
      <c r="O69" s="349" t="s">
        <v>162</v>
      </c>
      <c r="P69" s="350">
        <f>SUM(P59:P68)</f>
        <v>254</v>
      </c>
      <c r="R69" s="785" t="s">
        <v>222</v>
      </c>
      <c r="S69" s="786"/>
      <c r="T69" s="116"/>
      <c r="U69" s="350">
        <f>U68+U67</f>
        <v>83</v>
      </c>
      <c r="W69" s="787" t="s">
        <v>222</v>
      </c>
      <c r="X69" s="788"/>
      <c r="Y69" s="788"/>
      <c r="Z69" s="788"/>
      <c r="AA69" s="788"/>
      <c r="AB69" s="789"/>
      <c r="AC69" s="324">
        <f>AC67</f>
        <v>83</v>
      </c>
      <c r="AE69" s="787" t="s">
        <v>222</v>
      </c>
      <c r="AF69" s="788"/>
      <c r="AG69" s="788"/>
      <c r="AH69" s="788"/>
      <c r="AI69" s="788"/>
      <c r="AJ69" s="789"/>
      <c r="AK69" s="324">
        <f>AK67</f>
        <v>83</v>
      </c>
    </row>
  </sheetData>
  <mergeCells count="23">
    <mergeCell ref="AG10:AH10"/>
    <mergeCell ref="R68:S68"/>
    <mergeCell ref="W68:AB68"/>
    <mergeCell ref="AE68:AJ68"/>
    <mergeCell ref="R69:S69"/>
    <mergeCell ref="W69:AB69"/>
    <mergeCell ref="AE69:AJ69"/>
    <mergeCell ref="M9:P9"/>
    <mergeCell ref="R9:U9"/>
    <mergeCell ref="W9:AC9"/>
    <mergeCell ref="AE9:AK9"/>
    <mergeCell ref="B10:C10"/>
    <mergeCell ref="E10:H10"/>
    <mergeCell ref="J10:K10"/>
    <mergeCell ref="M10:N10"/>
    <mergeCell ref="O10:P10"/>
    <mergeCell ref="R10:S10"/>
    <mergeCell ref="AI10:AJ10"/>
    <mergeCell ref="T10:U10"/>
    <mergeCell ref="W10:X10"/>
    <mergeCell ref="Y10:Z10"/>
    <mergeCell ref="AA10:AB10"/>
    <mergeCell ref="AE10:AF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M21"/>
  <sheetViews>
    <sheetView workbookViewId="0">
      <selection activeCell="D10" sqref="D10"/>
    </sheetView>
  </sheetViews>
  <sheetFormatPr baseColWidth="10" defaultColWidth="11.44140625" defaultRowHeight="14.4" x14ac:dyDescent="0.3"/>
  <sheetData>
    <row r="4" spans="2:9" x14ac:dyDescent="0.3">
      <c r="B4" t="s">
        <v>298</v>
      </c>
      <c r="C4" t="s">
        <v>299</v>
      </c>
      <c r="D4">
        <v>100</v>
      </c>
      <c r="E4">
        <v>105</v>
      </c>
      <c r="F4" t="s">
        <v>300</v>
      </c>
      <c r="G4">
        <v>80</v>
      </c>
      <c r="H4">
        <v>123</v>
      </c>
    </row>
    <row r="5" spans="2:9" x14ac:dyDescent="0.3">
      <c r="C5" t="s">
        <v>301</v>
      </c>
      <c r="D5">
        <v>50</v>
      </c>
      <c r="E5">
        <v>63</v>
      </c>
    </row>
    <row r="7" spans="2:9" x14ac:dyDescent="0.3">
      <c r="D7">
        <f>SUM(D4:D6)</f>
        <v>150</v>
      </c>
      <c r="E7">
        <f>SUM(E4:E6)</f>
        <v>168</v>
      </c>
    </row>
    <row r="9" spans="2:9" x14ac:dyDescent="0.3">
      <c r="F9" t="s">
        <v>302</v>
      </c>
      <c r="G9" t="s">
        <v>303</v>
      </c>
    </row>
    <row r="10" spans="2:9" x14ac:dyDescent="0.3">
      <c r="F10" t="s">
        <v>304</v>
      </c>
      <c r="G10" t="s">
        <v>305</v>
      </c>
    </row>
    <row r="11" spans="2:9" x14ac:dyDescent="0.3">
      <c r="F11" t="s">
        <v>306</v>
      </c>
      <c r="G11">
        <f>D7-G4</f>
        <v>70</v>
      </c>
      <c r="H11">
        <f>E7-H4</f>
        <v>45</v>
      </c>
      <c r="I11" t="s">
        <v>307</v>
      </c>
    </row>
    <row r="15" spans="2:9" x14ac:dyDescent="0.3">
      <c r="C15" t="s">
        <v>308</v>
      </c>
      <c r="F15" t="s">
        <v>309</v>
      </c>
    </row>
    <row r="16" spans="2:9" x14ac:dyDescent="0.3">
      <c r="E16" t="s">
        <v>310</v>
      </c>
      <c r="F16" t="s">
        <v>311</v>
      </c>
    </row>
    <row r="17" spans="5:13" x14ac:dyDescent="0.3">
      <c r="F17" s="46">
        <v>10</v>
      </c>
      <c r="G17" s="46">
        <v>30</v>
      </c>
      <c r="H17" s="46">
        <v>8</v>
      </c>
      <c r="I17" s="46">
        <v>8</v>
      </c>
      <c r="J17" s="46">
        <v>12</v>
      </c>
      <c r="K17">
        <f>SUM(F17:J17)</f>
        <v>68</v>
      </c>
      <c r="L17" t="s">
        <v>312</v>
      </c>
      <c r="M17" t="s">
        <v>313</v>
      </c>
    </row>
    <row r="18" spans="5:13" x14ac:dyDescent="0.3">
      <c r="E18" t="s">
        <v>314</v>
      </c>
      <c r="F18" t="s">
        <v>315</v>
      </c>
    </row>
    <row r="19" spans="5:13" x14ac:dyDescent="0.3">
      <c r="G19">
        <v>30</v>
      </c>
      <c r="H19" t="s">
        <v>316</v>
      </c>
      <c r="K19">
        <f>K17-G19</f>
        <v>38</v>
      </c>
    </row>
    <row r="20" spans="5:13" x14ac:dyDescent="0.3">
      <c r="G20">
        <v>45</v>
      </c>
      <c r="K20">
        <f>K17-G20</f>
        <v>23</v>
      </c>
    </row>
    <row r="21" spans="5:13" x14ac:dyDescent="0.3">
      <c r="G21">
        <v>90</v>
      </c>
      <c r="K21">
        <f>K17-G21</f>
        <v>-22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0"/>
  <sheetViews>
    <sheetView zoomScale="120" zoomScaleNormal="120" workbookViewId="0">
      <selection activeCell="B4" sqref="B4"/>
    </sheetView>
  </sheetViews>
  <sheetFormatPr baseColWidth="10" defaultColWidth="11.44140625" defaultRowHeight="14.4" x14ac:dyDescent="0.3"/>
  <cols>
    <col min="5" max="5" width="42.44140625" customWidth="1"/>
    <col min="6" max="6" width="7.44140625" customWidth="1"/>
    <col min="10" max="10" width="16.109375" customWidth="1"/>
  </cols>
  <sheetData>
    <row r="1" spans="1:11" x14ac:dyDescent="0.3">
      <c r="A1" s="599" t="s">
        <v>317</v>
      </c>
      <c r="B1" s="599" t="s">
        <v>318</v>
      </c>
      <c r="C1" s="599"/>
      <c r="D1" s="599"/>
    </row>
    <row r="2" spans="1:11" x14ac:dyDescent="0.3">
      <c r="A2" t="s">
        <v>317</v>
      </c>
      <c r="B2" t="s">
        <v>319</v>
      </c>
    </row>
    <row r="3" spans="1:11" x14ac:dyDescent="0.3">
      <c r="E3" t="s">
        <v>320</v>
      </c>
      <c r="G3">
        <v>100</v>
      </c>
      <c r="H3" s="45">
        <v>1</v>
      </c>
      <c r="J3" t="s">
        <v>321</v>
      </c>
      <c r="K3">
        <v>100</v>
      </c>
    </row>
    <row r="4" spans="1:11" x14ac:dyDescent="0.3">
      <c r="A4" s="77" t="s">
        <v>317</v>
      </c>
      <c r="B4" s="77" t="s">
        <v>322</v>
      </c>
      <c r="C4" s="77"/>
      <c r="E4" t="s">
        <v>323</v>
      </c>
      <c r="G4">
        <v>-60</v>
      </c>
      <c r="H4" s="107"/>
      <c r="J4" t="s">
        <v>324</v>
      </c>
      <c r="K4">
        <v>90</v>
      </c>
    </row>
    <row r="5" spans="1:11" x14ac:dyDescent="0.3">
      <c r="A5" s="77"/>
      <c r="B5" s="77" t="s">
        <v>325</v>
      </c>
      <c r="C5" s="77"/>
      <c r="E5" s="79" t="s">
        <v>326</v>
      </c>
      <c r="F5" s="79"/>
      <c r="G5" s="79">
        <f>G3+G4</f>
        <v>40</v>
      </c>
      <c r="H5" s="24">
        <f>G5/G3</f>
        <v>0.4</v>
      </c>
    </row>
    <row r="6" spans="1:11" x14ac:dyDescent="0.3">
      <c r="E6" t="s">
        <v>327</v>
      </c>
      <c r="G6">
        <v>-10</v>
      </c>
      <c r="J6" t="s">
        <v>328</v>
      </c>
      <c r="K6">
        <v>-10</v>
      </c>
    </row>
    <row r="7" spans="1:11" x14ac:dyDescent="0.3">
      <c r="B7">
        <v>100</v>
      </c>
      <c r="E7" t="s">
        <v>329</v>
      </c>
      <c r="G7">
        <v>-8</v>
      </c>
      <c r="J7" t="s">
        <v>330</v>
      </c>
      <c r="K7">
        <v>-10</v>
      </c>
    </row>
    <row r="8" spans="1:11" x14ac:dyDescent="0.3">
      <c r="B8">
        <v>-60</v>
      </c>
      <c r="E8" s="49" t="s">
        <v>331</v>
      </c>
      <c r="F8" s="49"/>
      <c r="G8" s="49">
        <v>-7</v>
      </c>
      <c r="H8" s="71" t="s">
        <v>332</v>
      </c>
      <c r="I8" s="71">
        <f>G11-G8-G9-G10</f>
        <v>22</v>
      </c>
      <c r="J8" t="s">
        <v>333</v>
      </c>
      <c r="K8">
        <v>-20</v>
      </c>
    </row>
    <row r="9" spans="1:11" x14ac:dyDescent="0.3">
      <c r="B9">
        <v>40</v>
      </c>
      <c r="E9" s="49" t="s">
        <v>334</v>
      </c>
      <c r="F9" s="49"/>
      <c r="G9" s="49">
        <v>-6</v>
      </c>
      <c r="J9" t="s">
        <v>335</v>
      </c>
      <c r="K9">
        <v>-11</v>
      </c>
    </row>
    <row r="10" spans="1:11" x14ac:dyDescent="0.3">
      <c r="E10" s="49" t="s">
        <v>336</v>
      </c>
      <c r="F10" s="49"/>
      <c r="G10" s="49">
        <v>-1</v>
      </c>
    </row>
    <row r="11" spans="1:11" x14ac:dyDescent="0.3">
      <c r="B11">
        <v>46</v>
      </c>
      <c r="E11" s="79" t="s">
        <v>337</v>
      </c>
      <c r="F11" s="79"/>
      <c r="G11" s="79">
        <f>G5+G6+G7+G8+G9+G10</f>
        <v>8</v>
      </c>
      <c r="J11" t="s">
        <v>338</v>
      </c>
      <c r="K11">
        <v>-4</v>
      </c>
    </row>
    <row r="12" spans="1:11" x14ac:dyDescent="0.3">
      <c r="E12" t="s">
        <v>339</v>
      </c>
      <c r="G12">
        <v>2</v>
      </c>
      <c r="J12" t="s">
        <v>340</v>
      </c>
      <c r="K12">
        <v>-4</v>
      </c>
    </row>
    <row r="13" spans="1:11" x14ac:dyDescent="0.3">
      <c r="E13" t="s">
        <v>341</v>
      </c>
      <c r="G13">
        <v>-1</v>
      </c>
      <c r="J13" t="s">
        <v>342</v>
      </c>
      <c r="K13">
        <v>-5</v>
      </c>
    </row>
    <row r="14" spans="1:11" x14ac:dyDescent="0.3">
      <c r="E14" s="79" t="s">
        <v>343</v>
      </c>
      <c r="F14" s="79"/>
      <c r="G14" s="79">
        <f>G11+G12+G13</f>
        <v>9</v>
      </c>
      <c r="H14" s="46" t="s">
        <v>344</v>
      </c>
      <c r="J14" t="s">
        <v>345</v>
      </c>
      <c r="K14">
        <v>-20</v>
      </c>
    </row>
    <row r="15" spans="1:11" x14ac:dyDescent="0.3">
      <c r="E15" t="s">
        <v>346</v>
      </c>
      <c r="G15">
        <v>-8</v>
      </c>
      <c r="J15" t="s">
        <v>347</v>
      </c>
      <c r="K15">
        <v>-7</v>
      </c>
    </row>
    <row r="16" spans="1:11" x14ac:dyDescent="0.3">
      <c r="E16" s="79" t="s">
        <v>348</v>
      </c>
      <c r="F16" s="79"/>
      <c r="G16" s="79">
        <f>G14+G15</f>
        <v>1</v>
      </c>
      <c r="K16">
        <f>SUM(K6:K15)</f>
        <v>-91</v>
      </c>
    </row>
    <row r="17" spans="5:11" x14ac:dyDescent="0.3">
      <c r="E17" t="s">
        <v>349</v>
      </c>
      <c r="G17">
        <v>-2</v>
      </c>
    </row>
    <row r="18" spans="5:11" x14ac:dyDescent="0.3">
      <c r="E18" t="s">
        <v>350</v>
      </c>
      <c r="G18">
        <v>5</v>
      </c>
      <c r="J18" t="s">
        <v>351</v>
      </c>
      <c r="K18">
        <f>K4+K16</f>
        <v>-1</v>
      </c>
    </row>
    <row r="19" spans="5:11" x14ac:dyDescent="0.3">
      <c r="E19" s="79" t="s">
        <v>352</v>
      </c>
      <c r="F19" s="79"/>
      <c r="G19" s="79">
        <f>G16+G17+G18</f>
        <v>4</v>
      </c>
      <c r="J19" t="s">
        <v>353</v>
      </c>
      <c r="K19">
        <v>1</v>
      </c>
    </row>
    <row r="21" spans="5:11" x14ac:dyDescent="0.3">
      <c r="J21" t="s">
        <v>354</v>
      </c>
      <c r="K21">
        <f>K18+K19</f>
        <v>0</v>
      </c>
    </row>
    <row r="22" spans="5:11" x14ac:dyDescent="0.3">
      <c r="E22" t="s">
        <v>355</v>
      </c>
      <c r="F22" t="s">
        <v>356</v>
      </c>
      <c r="G22">
        <f>I8/G3</f>
        <v>0.22</v>
      </c>
      <c r="H22" s="24">
        <f>I8/G3</f>
        <v>0.22</v>
      </c>
    </row>
    <row r="23" spans="5:11" x14ac:dyDescent="0.3">
      <c r="F23" t="s">
        <v>320</v>
      </c>
    </row>
    <row r="25" spans="5:11" x14ac:dyDescent="0.3">
      <c r="E25" t="s">
        <v>357</v>
      </c>
    </row>
    <row r="27" spans="5:11" x14ac:dyDescent="0.3">
      <c r="E27" s="46" t="s">
        <v>352</v>
      </c>
      <c r="F27" s="46">
        <f>G19</f>
        <v>4</v>
      </c>
      <c r="G27" t="s">
        <v>358</v>
      </c>
    </row>
    <row r="28" spans="5:11" x14ac:dyDescent="0.3">
      <c r="E28" t="s">
        <v>359</v>
      </c>
      <c r="F28">
        <v>-5</v>
      </c>
    </row>
    <row r="29" spans="5:11" x14ac:dyDescent="0.3">
      <c r="E29" t="s">
        <v>360</v>
      </c>
      <c r="F29">
        <v>7</v>
      </c>
    </row>
    <row r="30" spans="5:11" x14ac:dyDescent="0.3">
      <c r="E30" t="s">
        <v>361</v>
      </c>
      <c r="F30">
        <f>-G9</f>
        <v>6</v>
      </c>
    </row>
    <row r="31" spans="5:11" x14ac:dyDescent="0.3">
      <c r="E31" t="s">
        <v>362</v>
      </c>
      <c r="F31">
        <f>-G10</f>
        <v>1</v>
      </c>
    </row>
    <row r="32" spans="5:11" x14ac:dyDescent="0.3">
      <c r="E32" t="s">
        <v>363</v>
      </c>
      <c r="F32" t="s">
        <v>364</v>
      </c>
    </row>
    <row r="33" spans="5:7" x14ac:dyDescent="0.3">
      <c r="E33" t="s">
        <v>365</v>
      </c>
      <c r="F33" t="s">
        <v>366</v>
      </c>
    </row>
    <row r="40" spans="5:7" x14ac:dyDescent="0.3">
      <c r="E40" s="46" t="s">
        <v>239</v>
      </c>
      <c r="F40" s="46"/>
      <c r="G40" t="s">
        <v>367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L7"/>
  <sheetViews>
    <sheetView topLeftCell="D1" zoomScale="160" zoomScaleNormal="160" workbookViewId="0">
      <selection activeCell="J4" sqref="J4"/>
    </sheetView>
  </sheetViews>
  <sheetFormatPr baseColWidth="10" defaultColWidth="11.44140625" defaultRowHeight="14.4" x14ac:dyDescent="0.3"/>
  <cols>
    <col min="3" max="3" width="19.6640625" customWidth="1"/>
    <col min="6" max="6" width="19.109375" customWidth="1"/>
  </cols>
  <sheetData>
    <row r="3" spans="2:12" x14ac:dyDescent="0.3">
      <c r="B3" t="s">
        <v>368</v>
      </c>
      <c r="C3">
        <v>100</v>
      </c>
      <c r="E3" t="s">
        <v>369</v>
      </c>
      <c r="F3" t="s">
        <v>370</v>
      </c>
      <c r="G3">
        <v>3</v>
      </c>
      <c r="J3" t="s">
        <v>371</v>
      </c>
      <c r="K3">
        <v>100</v>
      </c>
      <c r="L3">
        <f>K3-3</f>
        <v>97</v>
      </c>
    </row>
    <row r="4" spans="2:12" x14ac:dyDescent="0.3">
      <c r="C4" t="s">
        <v>372</v>
      </c>
      <c r="D4">
        <v>100</v>
      </c>
      <c r="E4" t="s">
        <v>373</v>
      </c>
      <c r="G4" t="s">
        <v>374</v>
      </c>
      <c r="H4">
        <v>3</v>
      </c>
      <c r="J4" t="s">
        <v>375</v>
      </c>
      <c r="K4">
        <v>-3</v>
      </c>
      <c r="L4">
        <f>K4+3</f>
        <v>0</v>
      </c>
    </row>
    <row r="5" spans="2:12" ht="15" thickBot="1" x14ac:dyDescent="0.35">
      <c r="J5" s="70" t="s">
        <v>376</v>
      </c>
      <c r="K5" s="70">
        <f>K3+K4</f>
        <v>97</v>
      </c>
      <c r="L5" s="70">
        <f>L3+L4</f>
        <v>97</v>
      </c>
    </row>
    <row r="6" spans="2:12" ht="15" thickTop="1" x14ac:dyDescent="0.3">
      <c r="B6" t="s">
        <v>377</v>
      </c>
      <c r="C6">
        <v>100</v>
      </c>
      <c r="E6" t="s">
        <v>369</v>
      </c>
    </row>
    <row r="7" spans="2:12" x14ac:dyDescent="0.3">
      <c r="C7" t="s">
        <v>378</v>
      </c>
      <c r="D7">
        <v>100</v>
      </c>
      <c r="E7" t="s">
        <v>369</v>
      </c>
      <c r="G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"/>
  <sheetViews>
    <sheetView zoomScale="160" zoomScaleNormal="160" workbookViewId="0">
      <selection activeCell="E3" sqref="E3"/>
    </sheetView>
  </sheetViews>
  <sheetFormatPr baseColWidth="10" defaultColWidth="11.44140625" defaultRowHeight="14.4" x14ac:dyDescent="0.3"/>
  <cols>
    <col min="6" max="6" width="12.5546875" customWidth="1"/>
  </cols>
  <sheetData>
    <row r="1" spans="1:13" ht="15" thickBot="1" x14ac:dyDescent="0.35">
      <c r="F1" s="203" t="s">
        <v>379</v>
      </c>
      <c r="J1" t="s">
        <v>380</v>
      </c>
      <c r="L1">
        <v>100</v>
      </c>
    </row>
    <row r="2" spans="1:13" x14ac:dyDescent="0.3">
      <c r="E2" s="45">
        <v>0.8</v>
      </c>
      <c r="J2" s="46" t="s">
        <v>381</v>
      </c>
      <c r="M2">
        <v>100</v>
      </c>
    </row>
    <row r="3" spans="1:13" x14ac:dyDescent="0.3">
      <c r="A3" t="s">
        <v>382</v>
      </c>
      <c r="E3" t="s">
        <v>382</v>
      </c>
      <c r="G3" t="s">
        <v>383</v>
      </c>
      <c r="J3" s="202" t="s">
        <v>384</v>
      </c>
    </row>
    <row r="4" spans="1:13" x14ac:dyDescent="0.3">
      <c r="A4" t="s">
        <v>385</v>
      </c>
      <c r="B4">
        <v>100</v>
      </c>
    </row>
    <row r="5" spans="1:13" x14ac:dyDescent="0.3">
      <c r="A5" t="s">
        <v>386</v>
      </c>
      <c r="B5">
        <v>20</v>
      </c>
      <c r="D5" s="45">
        <v>0.6</v>
      </c>
    </row>
    <row r="6" spans="1:13" x14ac:dyDescent="0.3">
      <c r="A6" t="s">
        <v>387</v>
      </c>
      <c r="B6">
        <v>80</v>
      </c>
      <c r="D6" t="s">
        <v>388</v>
      </c>
      <c r="F6" t="s">
        <v>389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AEB80C04D9D64CAA18E5BB72375A6E" ma:contentTypeVersion="4" ma:contentTypeDescription="Crear nuevo documento." ma:contentTypeScope="" ma:versionID="02c201e7bdc0c2b785a9adc943e3a5e2">
  <xsd:schema xmlns:xsd="http://www.w3.org/2001/XMLSchema" xmlns:xs="http://www.w3.org/2001/XMLSchema" xmlns:p="http://schemas.microsoft.com/office/2006/metadata/properties" xmlns:ns2="7247f51c-58c2-4938-b7ae-64595e5c800e" targetNamespace="http://schemas.microsoft.com/office/2006/metadata/properties" ma:root="true" ma:fieldsID="b096ba483196ab815c31f2c57f177809" ns2:_="">
    <xsd:import namespace="7247f51c-58c2-4938-b7ae-64595e5c80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47f51c-58c2-4938-b7ae-64595e5c80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7B1029-35A0-47E3-B585-B43A52F24FD4}">
  <ds:schemaRefs>
    <ds:schemaRef ds:uri="7247f51c-58c2-4938-b7ae-64595e5c800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B3125E5-E468-4580-A143-0EEDB442D1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0C7B05-4565-40AD-8C45-2F12C1610D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47f51c-58c2-4938-b7ae-64595e5c80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Capitales</vt:lpstr>
      <vt:lpstr>Empanadas La Sabrositas SAS</vt:lpstr>
      <vt:lpstr>EEFF Las Sabrositas SAS</vt:lpstr>
      <vt:lpstr>PCF Las Sabrositas SAS</vt:lpstr>
      <vt:lpstr>EEFF Las Sabrositas Clase</vt:lpstr>
      <vt:lpstr>CON y CC</vt:lpstr>
      <vt:lpstr>Est de Resultados</vt:lpstr>
      <vt:lpstr>Cartera</vt:lpstr>
      <vt:lpstr>Inver Sub Asocia</vt:lpstr>
      <vt:lpstr>Depreciación</vt:lpstr>
      <vt:lpstr>Venta de PPyE</vt:lpstr>
      <vt:lpstr>Dec y Pago Divi</vt:lpstr>
      <vt:lpstr>Diferidos CP</vt:lpstr>
      <vt:lpstr>Impuesto Diferido</vt:lpstr>
      <vt:lpstr>Depreciación II</vt:lpstr>
      <vt:lpstr>Dep UN FNEo</vt:lpstr>
      <vt:lpstr>Depuracion EBITDA</vt:lpstr>
      <vt:lpstr>Provisión de CxC</vt:lpstr>
      <vt:lpstr>Activos diferidos CP</vt:lpstr>
      <vt:lpstr>Acciones</vt:lpstr>
      <vt:lpstr>Patrimonio</vt:lpstr>
      <vt:lpstr>Superavit por metodo de partici</vt:lpstr>
      <vt:lpstr> Pastorcito Men SAS</vt:lpstr>
      <vt:lpstr>Pasto Vacio</vt:lpstr>
      <vt:lpstr>Metodo de participación</vt:lpstr>
      <vt:lpstr>Met par Otros componente patrim</vt:lpstr>
      <vt:lpstr>ORI</vt:lpstr>
      <vt:lpstr>ORI II</vt:lpstr>
      <vt:lpstr> ORI III</vt:lpstr>
      <vt:lpstr>Colombina Met Ind</vt:lpstr>
      <vt:lpstr>Fabricato Med Dire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Camila Pérez</dc:creator>
  <cp:keywords/>
  <dc:description/>
  <cp:lastModifiedBy>NICOLÁS GONZÁLEZ</cp:lastModifiedBy>
  <cp:revision/>
  <dcterms:created xsi:type="dcterms:W3CDTF">2019-10-02T00:55:27Z</dcterms:created>
  <dcterms:modified xsi:type="dcterms:W3CDTF">2022-10-08T18:00:15Z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0x01010070AEB80C04D9D64CAA18E5BB72375A6E</vt:lpwstr>
  </property>
</Properties>
</file>