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NIGOJ\OneDrive\Desktop\NICO\MAF\Semestre 1\Matemáticas Financieras\"/>
    </mc:Choice>
  </mc:AlternateContent>
  <xr:revisionPtr revIDLastSave="0" documentId="13_ncr:1_{B4DB51C3-E5EE-4744-8D55-35981D080F15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Clase 18-11-2022" sheetId="1" r:id="rId1"/>
    <sheet name="Clase 19-11-2022" sheetId="2" r:id="rId2"/>
    <sheet name="Clase 25-11-2022" sheetId="3" r:id="rId3"/>
    <sheet name="Clase 26-11-2022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0" i="4" l="1"/>
  <c r="C33" i="4"/>
  <c r="G35" i="4"/>
  <c r="G31" i="4"/>
  <c r="G32" i="4"/>
  <c r="G30" i="4"/>
  <c r="G33" i="4" s="1"/>
  <c r="G34" i="4" s="1"/>
  <c r="C32" i="4"/>
  <c r="C31" i="4"/>
  <c r="C30" i="4"/>
  <c r="F22" i="4"/>
  <c r="F23" i="4" s="1"/>
  <c r="F24" i="4" s="1"/>
  <c r="C22" i="4"/>
  <c r="C23" i="4" s="1"/>
  <c r="C24" i="4" s="1"/>
  <c r="K16" i="4"/>
  <c r="G17" i="4"/>
  <c r="G16" i="4"/>
  <c r="I17" i="4"/>
  <c r="I16" i="4"/>
  <c r="E16" i="4"/>
  <c r="E17" i="4"/>
  <c r="C18" i="4"/>
  <c r="C17" i="4"/>
  <c r="C16" i="4"/>
  <c r="I11" i="4"/>
  <c r="E10" i="4"/>
  <c r="E11" i="4" s="1"/>
  <c r="C12" i="4"/>
  <c r="C11" i="4"/>
  <c r="C10" i="4"/>
  <c r="F27" i="3"/>
  <c r="F26" i="3"/>
  <c r="H27" i="3"/>
  <c r="H26" i="3"/>
  <c r="H25" i="3"/>
  <c r="F25" i="3"/>
  <c r="D25" i="3"/>
  <c r="B25" i="3"/>
  <c r="C22" i="3"/>
  <c r="C21" i="3"/>
  <c r="C20" i="3"/>
  <c r="C19" i="3"/>
  <c r="B21" i="3"/>
  <c r="B20" i="3"/>
  <c r="B15" i="3"/>
  <c r="B14" i="3"/>
  <c r="B16" i="3" s="1"/>
  <c r="B17" i="3" s="1"/>
  <c r="B11" i="3"/>
  <c r="B8" i="3"/>
  <c r="B7" i="3"/>
  <c r="M101" i="2"/>
  <c r="K104" i="2" s="1"/>
  <c r="I68" i="2"/>
  <c r="K97" i="2"/>
  <c r="K96" i="2"/>
  <c r="K95" i="2"/>
  <c r="K94" i="2"/>
  <c r="K93" i="2"/>
  <c r="K92" i="2"/>
  <c r="K91" i="2"/>
  <c r="K84" i="2"/>
  <c r="K83" i="2"/>
  <c r="K82" i="2"/>
  <c r="K81" i="2"/>
  <c r="K80" i="2"/>
  <c r="K75" i="2"/>
  <c r="I72" i="2"/>
  <c r="L71" i="2"/>
  <c r="L61" i="2"/>
  <c r="N61" i="2"/>
  <c r="M61" i="2" s="1"/>
  <c r="O61" i="2" s="1"/>
  <c r="L59" i="2"/>
  <c r="N59" i="2"/>
  <c r="M59" i="2" s="1"/>
  <c r="O59" i="2" s="1"/>
  <c r="N60" i="2"/>
  <c r="O52" i="2"/>
  <c r="M52" i="2"/>
  <c r="N52" i="2"/>
  <c r="L52" i="2"/>
  <c r="N58" i="2"/>
  <c r="N57" i="2"/>
  <c r="N56" i="2"/>
  <c r="N55" i="2"/>
  <c r="N54" i="2"/>
  <c r="N53" i="2"/>
  <c r="L53" i="2"/>
  <c r="M53" i="2" s="1"/>
  <c r="O53" i="2" s="1"/>
  <c r="I54" i="2"/>
  <c r="D64" i="2"/>
  <c r="C67" i="2"/>
  <c r="E67" i="2" s="1"/>
  <c r="E68" i="2" s="1"/>
  <c r="C66" i="2"/>
  <c r="E66" i="2"/>
  <c r="C52" i="2"/>
  <c r="D52" i="2" s="1"/>
  <c r="L31" i="2"/>
  <c r="K41" i="2"/>
  <c r="L41" i="2" s="1"/>
  <c r="K40" i="2"/>
  <c r="K39" i="2"/>
  <c r="K38" i="2"/>
  <c r="K33" i="2"/>
  <c r="K32" i="2"/>
  <c r="K31" i="2"/>
  <c r="F40" i="2"/>
  <c r="F41" i="2"/>
  <c r="I41" i="2" s="1"/>
  <c r="I40" i="2"/>
  <c r="L40" i="2" s="1"/>
  <c r="H39" i="2"/>
  <c r="F39" i="2" s="1"/>
  <c r="I39" i="2" s="1"/>
  <c r="L39" i="2" s="1"/>
  <c r="H38" i="2"/>
  <c r="F38" i="2"/>
  <c r="F33" i="2"/>
  <c r="F32" i="2"/>
  <c r="I32" i="2" s="1"/>
  <c r="L32" i="2" s="1"/>
  <c r="H33" i="2"/>
  <c r="H32" i="2"/>
  <c r="H31" i="2"/>
  <c r="F31" i="2"/>
  <c r="I31" i="2" s="1"/>
  <c r="H20" i="2"/>
  <c r="G18" i="2"/>
  <c r="H18" i="2" s="1"/>
  <c r="F17" i="2"/>
  <c r="G17" i="2" s="1"/>
  <c r="H17" i="2" s="1"/>
  <c r="G19" i="2"/>
  <c r="H19" i="2" s="1"/>
  <c r="H21" i="2"/>
  <c r="F16" i="2"/>
  <c r="G16" i="2" s="1"/>
  <c r="D22" i="2"/>
  <c r="E5" i="2"/>
  <c r="A7" i="2" s="1"/>
  <c r="C25" i="1"/>
  <c r="C26" i="1"/>
  <c r="C24" i="1"/>
  <c r="C22" i="1"/>
  <c r="B22" i="1"/>
  <c r="C21" i="1"/>
  <c r="B18" i="1"/>
  <c r="C18" i="1"/>
  <c r="D9" i="1"/>
  <c r="D5" i="1"/>
  <c r="D15" i="1"/>
  <c r="D14" i="1"/>
  <c r="D13" i="1"/>
  <c r="D12" i="1"/>
  <c r="C9" i="1"/>
  <c r="H5" i="1"/>
  <c r="G6" i="1" s="1"/>
  <c r="H6" i="1" s="1"/>
  <c r="G7" i="1" s="1"/>
  <c r="H7" i="1" s="1"/>
  <c r="C8" i="1"/>
  <c r="K105" i="2" l="1"/>
  <c r="K107" i="2"/>
  <c r="K106" i="2"/>
  <c r="K102" i="2"/>
  <c r="K103" i="2"/>
  <c r="K76" i="2"/>
  <c r="K98" i="2"/>
  <c r="K77" i="2"/>
  <c r="K99" i="2"/>
  <c r="K78" i="2"/>
  <c r="K100" i="2"/>
  <c r="K79" i="2"/>
  <c r="K87" i="2"/>
  <c r="K86" i="2"/>
  <c r="K72" i="2"/>
  <c r="J72" i="2" s="1"/>
  <c r="L72" i="2" s="1"/>
  <c r="I73" i="2" s="1"/>
  <c r="J73" i="2" s="1"/>
  <c r="L73" i="2" s="1"/>
  <c r="K88" i="2"/>
  <c r="K85" i="2"/>
  <c r="K73" i="2"/>
  <c r="K89" i="2"/>
  <c r="K74" i="2"/>
  <c r="K90" i="2"/>
  <c r="M60" i="2"/>
  <c r="O60" i="2" s="1"/>
  <c r="L60" i="2"/>
  <c r="L54" i="2"/>
  <c r="M54" i="2" s="1"/>
  <c r="O54" i="2" s="1"/>
  <c r="I33" i="2"/>
  <c r="L33" i="2" s="1"/>
  <c r="C53" i="2"/>
  <c r="D53" i="2" s="1"/>
  <c r="I34" i="2"/>
  <c r="I38" i="2"/>
  <c r="H16" i="2"/>
  <c r="H22" i="2" s="1"/>
  <c r="C23" i="2"/>
  <c r="D23" i="2" s="1"/>
  <c r="C24" i="2" s="1"/>
  <c r="D24" i="2" s="1"/>
  <c r="C25" i="2" s="1"/>
  <c r="D25" i="2" s="1"/>
  <c r="G8" i="1"/>
  <c r="H8" i="1"/>
  <c r="I74" i="2" l="1"/>
  <c r="J74" i="2" s="1"/>
  <c r="L74" i="2" s="1"/>
  <c r="L55" i="2"/>
  <c r="M55" i="2" s="1"/>
  <c r="O55" i="2" s="1"/>
  <c r="I42" i="2"/>
  <c r="L38" i="2"/>
  <c r="C54" i="2"/>
  <c r="D54" i="2" s="1"/>
  <c r="C26" i="2"/>
  <c r="D26" i="2" s="1"/>
  <c r="C27" i="2" s="1"/>
  <c r="D27" i="2" s="1"/>
  <c r="I75" i="2" l="1"/>
  <c r="J75" i="2" s="1"/>
  <c r="L75" i="2" s="1"/>
  <c r="L56" i="2"/>
  <c r="M56" i="2" s="1"/>
  <c r="O56" i="2" s="1"/>
  <c r="C55" i="2"/>
  <c r="D55" i="2" s="1"/>
  <c r="C28" i="2"/>
  <c r="D28" i="2" s="1"/>
  <c r="C29" i="2" s="1"/>
  <c r="D29" i="2" s="1"/>
  <c r="C30" i="2" s="1"/>
  <c r="D30" i="2" s="1"/>
  <c r="C31" i="2" s="1"/>
  <c r="D31" i="2" s="1"/>
  <c r="I76" i="2" l="1"/>
  <c r="J76" i="2" s="1"/>
  <c r="L76" i="2" s="1"/>
  <c r="L57" i="2"/>
  <c r="M57" i="2" s="1"/>
  <c r="O57" i="2" s="1"/>
  <c r="C56" i="2"/>
  <c r="D56" i="2" s="1"/>
  <c r="C32" i="2"/>
  <c r="D32" i="2" s="1"/>
  <c r="C33" i="2" s="1"/>
  <c r="D33" i="2" s="1"/>
  <c r="C34" i="2" s="1"/>
  <c r="D34" i="2" s="1"/>
  <c r="I77" i="2" l="1"/>
  <c r="J77" i="2" s="1"/>
  <c r="L77" i="2" s="1"/>
  <c r="L58" i="2"/>
  <c r="M58" i="2" s="1"/>
  <c r="O58" i="2" s="1"/>
  <c r="C57" i="2"/>
  <c r="D57" i="2" s="1"/>
  <c r="C35" i="2"/>
  <c r="D35" i="2" s="1"/>
  <c r="C36" i="2" s="1"/>
  <c r="D36" i="2" s="1"/>
  <c r="I78" i="2" l="1"/>
  <c r="J78" i="2" s="1"/>
  <c r="L78" i="2" s="1"/>
  <c r="C58" i="2"/>
  <c r="D58" i="2" s="1"/>
  <c r="C37" i="2"/>
  <c r="D37" i="2" s="1"/>
  <c r="C38" i="2" s="1"/>
  <c r="D38" i="2" s="1"/>
  <c r="C39" i="2" s="1"/>
  <c r="D39" i="2" s="1"/>
  <c r="I79" i="2" l="1"/>
  <c r="J79" i="2" s="1"/>
  <c r="L79" i="2" s="1"/>
  <c r="C59" i="2"/>
  <c r="D59" i="2" s="1"/>
  <c r="I80" i="2" l="1"/>
  <c r="J80" i="2" s="1"/>
  <c r="L80" i="2" s="1"/>
  <c r="C60" i="2"/>
  <c r="D60" i="2" s="1"/>
  <c r="I81" i="2" l="1"/>
  <c r="J81" i="2" s="1"/>
  <c r="L81" i="2" s="1"/>
  <c r="C61" i="2"/>
  <c r="D61" i="2" s="1"/>
  <c r="I82" i="2" l="1"/>
  <c r="J82" i="2" s="1"/>
  <c r="L82" i="2" s="1"/>
  <c r="C62" i="2"/>
  <c r="D62" i="2" s="1"/>
  <c r="I83" i="2" l="1"/>
  <c r="J83" i="2" s="1"/>
  <c r="L83" i="2" s="1"/>
  <c r="C63" i="2"/>
  <c r="D63" i="2"/>
  <c r="E51" i="2" s="1"/>
  <c r="I84" i="2" l="1"/>
  <c r="J84" i="2" s="1"/>
  <c r="L84" i="2" s="1"/>
  <c r="I85" i="2" l="1"/>
  <c r="J85" i="2" s="1"/>
  <c r="L85" i="2" s="1"/>
  <c r="I86" i="2" l="1"/>
  <c r="J86" i="2" s="1"/>
  <c r="L86" i="2"/>
  <c r="I87" i="2" l="1"/>
  <c r="J87" i="2" s="1"/>
  <c r="L87" i="2" s="1"/>
  <c r="I88" i="2" l="1"/>
  <c r="J88" i="2" s="1"/>
  <c r="L88" i="2"/>
  <c r="I89" i="2" l="1"/>
  <c r="J89" i="2" s="1"/>
  <c r="L89" i="2" s="1"/>
  <c r="I90" i="2" l="1"/>
  <c r="J90" i="2" s="1"/>
  <c r="L90" i="2" s="1"/>
  <c r="I91" i="2" l="1"/>
  <c r="J91" i="2" s="1"/>
  <c r="L91" i="2" s="1"/>
  <c r="I92" i="2" l="1"/>
  <c r="J92" i="2" s="1"/>
  <c r="L92" i="2" s="1"/>
  <c r="I93" i="2" l="1"/>
  <c r="J93" i="2" s="1"/>
  <c r="L93" i="2" s="1"/>
  <c r="I94" i="2" l="1"/>
  <c r="J94" i="2" s="1"/>
  <c r="L94" i="2" s="1"/>
  <c r="I95" i="2" l="1"/>
  <c r="J95" i="2" s="1"/>
  <c r="L95" i="2" s="1"/>
  <c r="I96" i="2" l="1"/>
  <c r="J96" i="2" s="1"/>
  <c r="L96" i="2" s="1"/>
  <c r="I97" i="2" l="1"/>
  <c r="J97" i="2" s="1"/>
  <c r="L97" i="2" s="1"/>
  <c r="I98" i="2" l="1"/>
  <c r="J98" i="2" s="1"/>
  <c r="L98" i="2" s="1"/>
  <c r="I99" i="2" l="1"/>
  <c r="J99" i="2" s="1"/>
  <c r="L99" i="2" s="1"/>
  <c r="I100" i="2" l="1"/>
  <c r="J100" i="2" s="1"/>
  <c r="L100" i="2" s="1"/>
  <c r="I101" i="2" l="1"/>
  <c r="J101" i="2" s="1"/>
  <c r="L101" i="2" s="1"/>
  <c r="I102" i="2" l="1"/>
  <c r="J102" i="2" s="1"/>
  <c r="L102" i="2" s="1"/>
  <c r="I103" i="2" l="1"/>
  <c r="J103" i="2" s="1"/>
  <c r="L103" i="2" s="1"/>
  <c r="I104" i="2" l="1"/>
  <c r="J104" i="2" s="1"/>
  <c r="L104" i="2"/>
  <c r="I105" i="2" l="1"/>
  <c r="J105" i="2" s="1"/>
  <c r="L105" i="2" s="1"/>
  <c r="I106" i="2" l="1"/>
  <c r="J106" i="2" s="1"/>
  <c r="L106" i="2" s="1"/>
  <c r="I107" i="2" l="1"/>
  <c r="J107" i="2" s="1"/>
  <c r="L107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tc={7B93AA9E-8191-4BF6-A5EE-6B402C7DDEFD}</author>
  </authors>
  <commentList>
    <comment ref="A7" authorId="0" shapeId="0" xr:uid="{7B93AA9E-8191-4BF6-A5EE-6B402C7DDEFD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Tasa Nominal Semestral con capitalización Mes Vencido.</t>
      </text>
    </comment>
  </commentList>
</comments>
</file>

<file path=xl/sharedStrings.xml><?xml version="1.0" encoding="utf-8"?>
<sst xmlns="http://schemas.openxmlformats.org/spreadsheetml/2006/main" count="183" uniqueCount="111">
  <si>
    <t xml:space="preserve">VP </t>
  </si>
  <si>
    <t>n</t>
  </si>
  <si>
    <t>i</t>
  </si>
  <si>
    <t>VF</t>
  </si>
  <si>
    <t xml:space="preserve">Periodo </t>
  </si>
  <si>
    <t xml:space="preserve">Interés </t>
  </si>
  <si>
    <t>Capital</t>
  </si>
  <si>
    <t>Capitalización de intereses: Meter los intereses dentro del capital</t>
  </si>
  <si>
    <t>VP</t>
  </si>
  <si>
    <t>Tasa</t>
  </si>
  <si>
    <t>VF1</t>
  </si>
  <si>
    <t>VF2</t>
  </si>
  <si>
    <t>VA</t>
  </si>
  <si>
    <t>El valor presente de una anualidad vencida siempre da 1 periodo antes del primer pago.</t>
  </si>
  <si>
    <t>El valor futuro de una anualidad vencida da en el último pago.</t>
  </si>
  <si>
    <t>nper</t>
  </si>
  <si>
    <t>Interés</t>
  </si>
  <si>
    <t>Pago</t>
  </si>
  <si>
    <t>VA2</t>
  </si>
  <si>
    <t>VA1</t>
  </si>
  <si>
    <t>VAT</t>
  </si>
  <si>
    <t>Valor Futuro con Cambio de Tasa</t>
  </si>
  <si>
    <t>Usted espera tener dentro de 20 meses el valor de 20 millones de pesos, ¿cuanto dinero debe ahorrar en los meses 3, 5, 9, 12, 16 y 18 si el interes es 0,88% los primeros 7 meses, 1% durante los siguientes 6 y 1,1% los restantes?</t>
  </si>
  <si>
    <t>i Tramo 1 (7)</t>
  </si>
  <si>
    <t>i Tramo 1 (20)</t>
  </si>
  <si>
    <t>i Tramo 1 (13)</t>
  </si>
  <si>
    <t>Cuota</t>
  </si>
  <si>
    <t>Periodo</t>
  </si>
  <si>
    <t>Saldo</t>
  </si>
  <si>
    <t>VF3</t>
  </si>
  <si>
    <t>En 7</t>
  </si>
  <si>
    <t>En 13</t>
  </si>
  <si>
    <t>En 20</t>
  </si>
  <si>
    <t>VF5</t>
  </si>
  <si>
    <t>VF9</t>
  </si>
  <si>
    <t>VF12</t>
  </si>
  <si>
    <t>VF16</t>
  </si>
  <si>
    <t>VF18</t>
  </si>
  <si>
    <t>X</t>
  </si>
  <si>
    <t>i1</t>
  </si>
  <si>
    <t>i2</t>
  </si>
  <si>
    <t>Flujos Positivos</t>
  </si>
  <si>
    <t>Valor Original</t>
  </si>
  <si>
    <t>Periodos</t>
  </si>
  <si>
    <t>Valor 11</t>
  </si>
  <si>
    <t>Flujos Negativos</t>
  </si>
  <si>
    <t>Valor 0</t>
  </si>
  <si>
    <t>VF 12</t>
  </si>
  <si>
    <t xml:space="preserve">VA </t>
  </si>
  <si>
    <t>Punto a</t>
  </si>
  <si>
    <t>Punto b</t>
  </si>
  <si>
    <t>Punto c</t>
  </si>
  <si>
    <t>Este valor está mal</t>
  </si>
  <si>
    <t>Tasa nominal: no tiene en cuenta la capitalización</t>
  </si>
  <si>
    <t>Tasa efectiva: se paga x tasa en un periodo t.</t>
  </si>
  <si>
    <t>Las tasas nominales tienen diferente el periodo y su periodo de capitalización.</t>
  </si>
  <si>
    <t>Se pueden dividir únicamente pór el numero de capitalizaciones que haya en el periodo.</t>
  </si>
  <si>
    <t>No se pueden dividir.</t>
  </si>
  <si>
    <t>Periodicidad</t>
  </si>
  <si>
    <t>EM</t>
  </si>
  <si>
    <t>ES</t>
  </si>
  <si>
    <t>NSMV</t>
  </si>
  <si>
    <t>Multiplica la efectiva por el numero de periodos.</t>
  </si>
  <si>
    <t>EA</t>
  </si>
  <si>
    <t>ET</t>
  </si>
  <si>
    <t>NADV</t>
  </si>
  <si>
    <t>ED</t>
  </si>
  <si>
    <t>ED350d</t>
  </si>
  <si>
    <t>N350d DV</t>
  </si>
  <si>
    <t>NTMV</t>
  </si>
  <si>
    <t>NATV</t>
  </si>
  <si>
    <t>NAMV</t>
  </si>
  <si>
    <t>NSTV</t>
  </si>
  <si>
    <t>NSDV</t>
  </si>
  <si>
    <t>NMbV</t>
  </si>
  <si>
    <t>EB</t>
  </si>
  <si>
    <t>Tasa Vencida</t>
  </si>
  <si>
    <t>(1+Tasa Vencida)</t>
  </si>
  <si>
    <r>
      <t xml:space="preserve">Tasa Anticipada </t>
    </r>
    <r>
      <rPr>
        <b/>
        <sz val="11"/>
        <color theme="1"/>
        <rFont val="Calibri"/>
        <family val="2"/>
        <scheme val="minor"/>
      </rPr>
      <t>=</t>
    </r>
  </si>
  <si>
    <r>
      <t xml:space="preserve">Tasa Vencida </t>
    </r>
    <r>
      <rPr>
        <b/>
        <sz val="11"/>
        <color theme="1"/>
        <rFont val="Calibri"/>
        <family val="2"/>
        <scheme val="minor"/>
      </rPr>
      <t>=</t>
    </r>
  </si>
  <si>
    <t>(1-Tasa Anticipada)</t>
  </si>
  <si>
    <t>Tasa Anticipada</t>
  </si>
  <si>
    <t>NATA</t>
  </si>
  <si>
    <t>Corporación A</t>
  </si>
  <si>
    <t>Corporación B</t>
  </si>
  <si>
    <t>Corporación D</t>
  </si>
  <si>
    <t>Corporación C</t>
  </si>
  <si>
    <t>NSBV</t>
  </si>
  <si>
    <t>EMA</t>
  </si>
  <si>
    <t>NTA</t>
  </si>
  <si>
    <t xml:space="preserve">EM </t>
  </si>
  <si>
    <t>NABA</t>
  </si>
  <si>
    <t>NBA</t>
  </si>
  <si>
    <t>NMA</t>
  </si>
  <si>
    <t>NA50dV</t>
  </si>
  <si>
    <t>NSTA</t>
  </si>
  <si>
    <t>Banco Estatal</t>
  </si>
  <si>
    <t>Banco Territorial</t>
  </si>
  <si>
    <t>DTF (EA)</t>
  </si>
  <si>
    <t>Spread (NATV)</t>
  </si>
  <si>
    <t>Spread (NAMA)</t>
  </si>
  <si>
    <t>DTF (NATV)</t>
  </si>
  <si>
    <t>TOTAL (NATV)</t>
  </si>
  <si>
    <t>TOTAL (EA)</t>
  </si>
  <si>
    <t>DTF (NAMA)</t>
  </si>
  <si>
    <t>DTF (EM)</t>
  </si>
  <si>
    <t>DTF (MA)</t>
  </si>
  <si>
    <t>TOTAL (NAMA)</t>
  </si>
  <si>
    <t>TOTAL (NMA)</t>
  </si>
  <si>
    <t>TOTAL EM</t>
  </si>
  <si>
    <t>TOTAL (EM)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</si>
</sst>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6" formatCode="&quot;$&quot;\ #,##0;[Red]\-&quot;$&quot;\ #,##0"/>
    <numFmt numFmtId="8" formatCode="&quot;$&quot;\ #,##0.00;[Red]\-&quot;$&quot;\ #,##0.00"/>
    <numFmt numFmtId="44" formatCode="_-&quot;$&quot;\ * #,##0.00_-;\-&quot;$&quot;\ * #,##0.00_-;_-&quot;$&quot;\ * &quot;-&quot;??_-;_-@_-"/>
    <numFmt numFmtId="43" formatCode="_-* #,##0.00_-;\-* #,##0.00_-;_-* &quot;-&quot;??_-;_-@_-"/>
    <numFmt numFmtId="164" formatCode="&quot;$&quot;\ #,##0"/>
    <numFmt numFmtId="165" formatCode="_-&quot;$&quot;\ * #,##0_-;\-&quot;$&quot;\ * #,##0_-;_-&quot;$&quot;\ * &quot;-&quot;??_-;_-@_-"/>
    <numFmt numFmtId="166" formatCode="0.0%"/>
    <numFmt numFmtId="167" formatCode="0.000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32">
    <xf numFmtId="0" fontId="0" fillId="0" borderId="0" xfId="0"/>
    <xf numFmtId="3" fontId="0" fillId="0" borderId="0" xfId="0" applyNumberFormat="1"/>
    <xf numFmtId="10" fontId="0" fillId="0" borderId="0" xfId="0" applyNumberFormat="1"/>
    <xf numFmtId="10" fontId="0" fillId="0" borderId="0" xfId="1" applyNumberFormat="1" applyFont="1"/>
    <xf numFmtId="9" fontId="0" fillId="0" borderId="0" xfId="0" applyNumberFormat="1"/>
    <xf numFmtId="8" fontId="0" fillId="0" borderId="0" xfId="0" applyNumberFormat="1"/>
    <xf numFmtId="6" fontId="0" fillId="0" borderId="0" xfId="0" applyNumberFormat="1"/>
    <xf numFmtId="4" fontId="0" fillId="0" borderId="0" xfId="0" applyNumberFormat="1"/>
    <xf numFmtId="164" fontId="0" fillId="0" borderId="0" xfId="0" applyNumberFormat="1"/>
    <xf numFmtId="165" fontId="0" fillId="0" borderId="0" xfId="3" applyNumberFormat="1" applyFont="1"/>
    <xf numFmtId="43" fontId="0" fillId="0" borderId="0" xfId="2" applyFont="1"/>
    <xf numFmtId="165" fontId="0" fillId="0" borderId="0" xfId="0" applyNumberFormat="1"/>
    <xf numFmtId="44" fontId="0" fillId="0" borderId="0" xfId="0" applyNumberFormat="1"/>
    <xf numFmtId="1" fontId="0" fillId="0" borderId="0" xfId="2" applyNumberFormat="1" applyFont="1"/>
    <xf numFmtId="165" fontId="0" fillId="2" borderId="0" xfId="3" applyNumberFormat="1" applyFont="1" applyFill="1"/>
    <xf numFmtId="165" fontId="0" fillId="0" borderId="0" xfId="3" applyNumberFormat="1" applyFont="1" applyFill="1"/>
    <xf numFmtId="44" fontId="0" fillId="2" borderId="0" xfId="0" applyNumberFormat="1" applyFill="1"/>
    <xf numFmtId="10" fontId="0" fillId="2" borderId="0" xfId="1" applyNumberFormat="1" applyFont="1" applyFill="1"/>
    <xf numFmtId="166" fontId="0" fillId="2" borderId="0" xfId="1" applyNumberFormat="1" applyFont="1" applyFill="1"/>
    <xf numFmtId="0" fontId="0" fillId="0" borderId="0" xfId="0" applyBorder="1"/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9" fontId="0" fillId="2" borderId="0" xfId="0" applyNumberFormat="1" applyFill="1"/>
    <xf numFmtId="167" fontId="0" fillId="0" borderId="0" xfId="0" applyNumberFormat="1"/>
    <xf numFmtId="10" fontId="0" fillId="2" borderId="0" xfId="0" applyNumberFormat="1" applyFill="1"/>
    <xf numFmtId="10" fontId="0" fillId="3" borderId="0" xfId="0" applyNumberFormat="1" applyFill="1"/>
    <xf numFmtId="10" fontId="0" fillId="3" borderId="0" xfId="1" applyNumberFormat="1" applyFont="1" applyFill="1"/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2" borderId="0" xfId="0" applyFill="1"/>
  </cellXfs>
  <cellStyles count="4">
    <cellStyle name="Millares" xfId="2" builtinId="3"/>
    <cellStyle name="Moneda" xfId="3" builtinId="4"/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Nicolas Gonzalez Jaramillo" id="{F9AA067E-6414-41C6-9796-894E1748E8F9}" userId="Nicolas Gonzalez Jaramillo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7" dT="2022-11-26T00:16:36.72" personId="{F9AA067E-6414-41C6-9796-894E1748E8F9}" id="{7B93AA9E-8191-4BF6-A5EE-6B402C7DDEFD}">
    <text>Tasa Nominal Semestral con capitalización Mes Vencido.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26"/>
  <sheetViews>
    <sheetView workbookViewId="0">
      <selection activeCell="I18" activeCellId="1" sqref="K19 I18"/>
    </sheetView>
  </sheetViews>
  <sheetFormatPr baseColWidth="10" defaultColWidth="8.88671875" defaultRowHeight="14.4" x14ac:dyDescent="0.3"/>
  <cols>
    <col min="1" max="1" width="8.88671875" style="1"/>
    <col min="2" max="2" width="10.109375" style="1" bestFit="1" customWidth="1"/>
    <col min="3" max="3" width="14" style="1" bestFit="1" customWidth="1"/>
    <col min="4" max="4" width="14" style="1" customWidth="1"/>
    <col min="5" max="5" width="9.109375" style="1" bestFit="1" customWidth="1"/>
    <col min="6" max="6" width="8.88671875" style="1"/>
    <col min="7" max="8" width="10.109375" style="1" bestFit="1" customWidth="1"/>
    <col min="9" max="16384" width="8.88671875" style="1"/>
  </cols>
  <sheetData>
    <row r="2" spans="2:8" x14ac:dyDescent="0.3">
      <c r="B2" s="1" t="s">
        <v>7</v>
      </c>
    </row>
    <row r="4" spans="2:8" x14ac:dyDescent="0.3">
      <c r="F4" s="1" t="s">
        <v>4</v>
      </c>
      <c r="G4" s="1" t="s">
        <v>5</v>
      </c>
      <c r="H4" s="1" t="s">
        <v>6</v>
      </c>
    </row>
    <row r="5" spans="2:8" x14ac:dyDescent="0.3">
      <c r="B5" s="1" t="s">
        <v>0</v>
      </c>
      <c r="C5" s="1">
        <v>8000000</v>
      </c>
      <c r="D5" s="1">
        <f>FV(C7,2,,-C5)</f>
        <v>13520000.000000002</v>
      </c>
      <c r="F5" s="1">
        <v>0</v>
      </c>
      <c r="H5" s="1">
        <f>8000000</f>
        <v>8000000</v>
      </c>
    </row>
    <row r="6" spans="2:8" x14ac:dyDescent="0.3">
      <c r="B6" s="1" t="s">
        <v>1</v>
      </c>
      <c r="C6" s="1">
        <v>3</v>
      </c>
      <c r="F6" s="1">
        <v>1</v>
      </c>
      <c r="G6" s="1">
        <f>H5*$C$7</f>
        <v>2400000</v>
      </c>
      <c r="H6" s="1">
        <f>H5+G6</f>
        <v>10400000</v>
      </c>
    </row>
    <row r="7" spans="2:8" x14ac:dyDescent="0.3">
      <c r="B7" s="1" t="s">
        <v>2</v>
      </c>
      <c r="C7" s="2">
        <v>0.3</v>
      </c>
      <c r="D7" s="2"/>
      <c r="F7" s="1">
        <v>2</v>
      </c>
      <c r="G7" s="1">
        <f t="shared" ref="G7:G8" si="0">H6*$C$7</f>
        <v>3120000</v>
      </c>
      <c r="H7" s="1">
        <f t="shared" ref="H7:H8" si="1">H6+G7</f>
        <v>13520000</v>
      </c>
    </row>
    <row r="8" spans="2:8" x14ac:dyDescent="0.3">
      <c r="B8" s="1" t="s">
        <v>3</v>
      </c>
      <c r="C8" s="1">
        <f>C5*(1+C7)^C6</f>
        <v>17576000.000000004</v>
      </c>
      <c r="F8" s="1">
        <v>3</v>
      </c>
      <c r="G8" s="1">
        <f t="shared" si="0"/>
        <v>4056000</v>
      </c>
      <c r="H8" s="1">
        <f t="shared" si="1"/>
        <v>17576000</v>
      </c>
    </row>
    <row r="9" spans="2:8" x14ac:dyDescent="0.3">
      <c r="B9" s="1" t="s">
        <v>3</v>
      </c>
      <c r="C9" s="1">
        <f>-FV(C7,C6,,C5)</f>
        <v>17576000.000000004</v>
      </c>
      <c r="D9" s="1">
        <f>PV(C7,1,,-C9)</f>
        <v>13520000.000000002</v>
      </c>
    </row>
    <row r="11" spans="2:8" x14ac:dyDescent="0.3">
      <c r="B11" s="1" t="s">
        <v>8</v>
      </c>
      <c r="C11" s="1" t="s">
        <v>3</v>
      </c>
      <c r="D11" s="1" t="s">
        <v>9</v>
      </c>
    </row>
    <row r="12" spans="2:8" x14ac:dyDescent="0.3">
      <c r="B12" s="1">
        <v>500000</v>
      </c>
      <c r="C12" s="1">
        <v>560000</v>
      </c>
      <c r="D12" s="3">
        <f>RATE(1,,-B12,C12)</f>
        <v>0.12000000000000002</v>
      </c>
    </row>
    <row r="13" spans="2:8" x14ac:dyDescent="0.3">
      <c r="B13" s="1">
        <v>800000</v>
      </c>
      <c r="C13" s="1">
        <v>907999.99999999988</v>
      </c>
      <c r="D13" s="3">
        <f t="shared" ref="D13:D15" si="2">RATE(1,,-B13,C13)</f>
        <v>0.1349999999999999</v>
      </c>
    </row>
    <row r="14" spans="2:8" x14ac:dyDescent="0.3">
      <c r="B14" s="1">
        <v>600000</v>
      </c>
      <c r="C14" s="1">
        <v>707999.99999999988</v>
      </c>
      <c r="D14" s="3">
        <f t="shared" si="2"/>
        <v>0.17999999999999969</v>
      </c>
    </row>
    <row r="15" spans="2:8" x14ac:dyDescent="0.3">
      <c r="B15" s="1">
        <v>2500000</v>
      </c>
      <c r="C15" s="1">
        <v>3800000.0000000005</v>
      </c>
      <c r="D15" s="3">
        <f t="shared" si="2"/>
        <v>0.52000000000000035</v>
      </c>
    </row>
    <row r="17" spans="2:4" x14ac:dyDescent="0.3">
      <c r="B17" s="1" t="s">
        <v>8</v>
      </c>
      <c r="C17" s="1" t="s">
        <v>10</v>
      </c>
      <c r="D17" s="1" t="s">
        <v>11</v>
      </c>
    </row>
    <row r="18" spans="2:4" x14ac:dyDescent="0.3">
      <c r="B18" s="1">
        <f>PV(0.01,60,,-C18)</f>
        <v>4505936.1537164003</v>
      </c>
      <c r="C18" s="1">
        <f>PV(0.015,60,,-D18)</f>
        <v>8185919.3343971642</v>
      </c>
      <c r="D18" s="1">
        <v>20000000</v>
      </c>
    </row>
    <row r="20" spans="2:4" x14ac:dyDescent="0.3">
      <c r="B20" s="1" t="s">
        <v>12</v>
      </c>
      <c r="C20" s="1" t="s">
        <v>3</v>
      </c>
    </row>
    <row r="21" spans="2:4" x14ac:dyDescent="0.3">
      <c r="B21" s="1">
        <v>5000000</v>
      </c>
      <c r="C21" s="1">
        <f>FV(0.0216,36,,-B21)</f>
        <v>10791500.558137948</v>
      </c>
    </row>
    <row r="22" spans="2:4" x14ac:dyDescent="0.3">
      <c r="B22" s="1">
        <f>C21</f>
        <v>10791500.558137948</v>
      </c>
      <c r="C22" s="1">
        <f>FV(0.0417,20,,-B22)</f>
        <v>24430655.559328515</v>
      </c>
    </row>
    <row r="24" spans="2:4" x14ac:dyDescent="0.3">
      <c r="B24" s="1">
        <v>15000000</v>
      </c>
      <c r="C24" s="1">
        <f>FV(0.0432,18,,-B24)</f>
        <v>32114981.046277855</v>
      </c>
    </row>
    <row r="25" spans="2:4" x14ac:dyDescent="0.3">
      <c r="B25" s="1">
        <v>5000000</v>
      </c>
      <c r="C25" s="1">
        <f>FV(0.15,2,,-B25)</f>
        <v>6612499.9999999991</v>
      </c>
    </row>
    <row r="26" spans="2:4" x14ac:dyDescent="0.3">
      <c r="C26" s="1">
        <f>SUM(C22:C25)</f>
        <v>63158136.60560637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A1982-B8E5-4C87-84DF-7E56AF726E06}">
  <dimension ref="A1:O196"/>
  <sheetViews>
    <sheetView topLeftCell="A9" zoomScaleNormal="100" workbookViewId="0">
      <selection activeCell="D21" sqref="D21"/>
    </sheetView>
  </sheetViews>
  <sheetFormatPr baseColWidth="10" defaultRowHeight="14.4" x14ac:dyDescent="0.3"/>
  <cols>
    <col min="1" max="1" width="14" bestFit="1" customWidth="1"/>
    <col min="2" max="2" width="14.33203125" bestFit="1" customWidth="1"/>
    <col min="4" max="4" width="13" bestFit="1" customWidth="1"/>
    <col min="5" max="5" width="15.6640625" bestFit="1" customWidth="1"/>
    <col min="6" max="8" width="13.6640625" bestFit="1" customWidth="1"/>
    <col min="9" max="9" width="15.33203125" bestFit="1" customWidth="1"/>
    <col min="10" max="10" width="13.6640625" bestFit="1" customWidth="1"/>
    <col min="11" max="11" width="11.6640625" bestFit="1" customWidth="1"/>
    <col min="12" max="12" width="15.33203125" bestFit="1" customWidth="1"/>
    <col min="13" max="13" width="15.44140625" bestFit="1" customWidth="1"/>
    <col min="14" max="14" width="15.33203125" bestFit="1" customWidth="1"/>
    <col min="15" max="15" width="15.44140625" bestFit="1" customWidth="1"/>
  </cols>
  <sheetData>
    <row r="1" spans="1:8" x14ac:dyDescent="0.3">
      <c r="A1" t="s">
        <v>13</v>
      </c>
    </row>
    <row r="2" spans="1:8" x14ac:dyDescent="0.3">
      <c r="A2" t="s">
        <v>14</v>
      </c>
    </row>
    <row r="4" spans="1:8" x14ac:dyDescent="0.3">
      <c r="A4" t="s">
        <v>19</v>
      </c>
      <c r="B4" t="s">
        <v>15</v>
      </c>
      <c r="C4" t="s">
        <v>17</v>
      </c>
      <c r="D4" t="s">
        <v>16</v>
      </c>
      <c r="E4" t="s">
        <v>18</v>
      </c>
    </row>
    <row r="5" spans="1:8" x14ac:dyDescent="0.3">
      <c r="A5">
        <v>5000000</v>
      </c>
      <c r="B5">
        <v>36</v>
      </c>
      <c r="C5">
        <v>480000</v>
      </c>
      <c r="D5" s="4">
        <v>0.02</v>
      </c>
      <c r="E5" s="5">
        <f>PV(D5,B5,-C5)</f>
        <v>12234644.391545944</v>
      </c>
    </row>
    <row r="6" spans="1:8" x14ac:dyDescent="0.3">
      <c r="A6" t="s">
        <v>20</v>
      </c>
    </row>
    <row r="7" spans="1:8" x14ac:dyDescent="0.3">
      <c r="A7" s="5">
        <f>A5+E5</f>
        <v>17234644.391545944</v>
      </c>
    </row>
    <row r="9" spans="1:8" x14ac:dyDescent="0.3">
      <c r="A9" t="s">
        <v>21</v>
      </c>
    </row>
    <row r="10" spans="1:8" x14ac:dyDescent="0.3">
      <c r="A10" t="s">
        <v>22</v>
      </c>
    </row>
    <row r="12" spans="1:8" x14ac:dyDescent="0.3">
      <c r="B12" t="s">
        <v>23</v>
      </c>
      <c r="C12" s="2">
        <v>8.8000000000000005E-3</v>
      </c>
    </row>
    <row r="13" spans="1:8" x14ac:dyDescent="0.3">
      <c r="B13" t="s">
        <v>25</v>
      </c>
      <c r="C13" s="4">
        <v>0.01</v>
      </c>
    </row>
    <row r="14" spans="1:8" x14ac:dyDescent="0.3">
      <c r="B14" t="s">
        <v>24</v>
      </c>
      <c r="C14" s="2">
        <v>1.0999999999999999E-2</v>
      </c>
    </row>
    <row r="15" spans="1:8" x14ac:dyDescent="0.3">
      <c r="F15" t="s">
        <v>30</v>
      </c>
      <c r="G15" t="s">
        <v>31</v>
      </c>
      <c r="H15" t="s">
        <v>32</v>
      </c>
    </row>
    <row r="16" spans="1:8" x14ac:dyDescent="0.3">
      <c r="B16" t="s">
        <v>26</v>
      </c>
      <c r="C16" s="1">
        <v>3014862.1534878858</v>
      </c>
      <c r="E16" t="s">
        <v>29</v>
      </c>
      <c r="F16" s="1">
        <f>FV($C$12,4,,-$C$16)</f>
        <v>3122394.3630982097</v>
      </c>
      <c r="G16" s="1">
        <f>FV($C$13,6,,-F16)</f>
        <v>3314484.5345517253</v>
      </c>
      <c r="H16" s="1">
        <f>FV($C$14,7,,-G16)</f>
        <v>3578278.0638854164</v>
      </c>
    </row>
    <row r="17" spans="2:12" x14ac:dyDescent="0.3">
      <c r="E17" t="s">
        <v>33</v>
      </c>
      <c r="F17" s="1">
        <f>FV($C$12,2,,-$C$16)</f>
        <v>3068157.1983144386</v>
      </c>
      <c r="G17" s="1">
        <f>FV($C$13,6,,-F17)</f>
        <v>3256910.6912222854</v>
      </c>
      <c r="H17" s="1">
        <f>FV($C$14,7,,-G17)</f>
        <v>3516122.0277079316</v>
      </c>
    </row>
    <row r="18" spans="2:12" x14ac:dyDescent="0.3">
      <c r="B18" t="s">
        <v>27</v>
      </c>
      <c r="C18" t="s">
        <v>16</v>
      </c>
      <c r="D18" t="s">
        <v>28</v>
      </c>
      <c r="E18" t="s">
        <v>34</v>
      </c>
      <c r="F18" s="1"/>
      <c r="G18" s="1">
        <f>FV($C$13,4,,-C16)</f>
        <v>3137277.6465167296</v>
      </c>
      <c r="H18" s="1">
        <f t="shared" ref="H18:H19" si="0">FV($C$14,7,,-G18)</f>
        <v>3386967.6161778113</v>
      </c>
    </row>
    <row r="19" spans="2:12" x14ac:dyDescent="0.3">
      <c r="B19">
        <v>0</v>
      </c>
      <c r="E19" t="s">
        <v>35</v>
      </c>
      <c r="F19" s="1"/>
      <c r="G19" s="1">
        <f>FV($C$13,1,,-C16)</f>
        <v>3045010.7750227647</v>
      </c>
      <c r="H19" s="1">
        <f t="shared" si="0"/>
        <v>3287357.3996121627</v>
      </c>
    </row>
    <row r="20" spans="2:12" x14ac:dyDescent="0.3">
      <c r="B20">
        <v>1</v>
      </c>
      <c r="E20" t="s">
        <v>36</v>
      </c>
      <c r="F20" s="1"/>
      <c r="G20" s="1"/>
      <c r="H20" s="1">
        <f>FV($C$14,4,,-C16)</f>
        <v>3149720.9734314862</v>
      </c>
    </row>
    <row r="21" spans="2:12" x14ac:dyDescent="0.3">
      <c r="B21">
        <v>2</v>
      </c>
      <c r="E21" t="s">
        <v>37</v>
      </c>
      <c r="F21" s="1"/>
      <c r="G21" s="1"/>
      <c r="H21" s="1">
        <f>FV($C$14,2,,-C16)</f>
        <v>3081553.9191851909</v>
      </c>
    </row>
    <row r="22" spans="2:12" x14ac:dyDescent="0.3">
      <c r="B22">
        <v>3</v>
      </c>
      <c r="D22" s="1">
        <f>C16</f>
        <v>3014862.1534878858</v>
      </c>
      <c r="H22" s="1">
        <f>SUM(H16:H21)</f>
        <v>20000000</v>
      </c>
    </row>
    <row r="23" spans="2:12" x14ac:dyDescent="0.3">
      <c r="B23">
        <v>4</v>
      </c>
      <c r="C23" s="1">
        <f>D22*$C$12</f>
        <v>26530.786950693397</v>
      </c>
      <c r="D23" s="1">
        <f>D22+C23</f>
        <v>3041392.9404385793</v>
      </c>
    </row>
    <row r="24" spans="2:12" x14ac:dyDescent="0.3">
      <c r="B24">
        <v>5</v>
      </c>
      <c r="C24" s="1">
        <f>D23*$C$12</f>
        <v>26764.257875859501</v>
      </c>
      <c r="D24" s="1">
        <f>C24+D23+C16</f>
        <v>6083019.3518023249</v>
      </c>
    </row>
    <row r="25" spans="2:12" x14ac:dyDescent="0.3">
      <c r="B25">
        <v>6</v>
      </c>
      <c r="C25" s="1">
        <f>D24*$C$12</f>
        <v>53530.57029586046</v>
      </c>
      <c r="D25" s="1">
        <f>C25+D24</f>
        <v>6136549.9220981849</v>
      </c>
      <c r="F25" t="s">
        <v>38</v>
      </c>
      <c r="G25" s="1">
        <v>748054.44692148373</v>
      </c>
      <c r="H25" s="1"/>
      <c r="I25" s="1"/>
      <c r="J25" s="1"/>
    </row>
    <row r="26" spans="2:12" x14ac:dyDescent="0.3">
      <c r="B26">
        <v>7</v>
      </c>
      <c r="C26" s="1">
        <f t="shared" ref="C26" si="1">D25*$C$12</f>
        <v>54001.639314464031</v>
      </c>
      <c r="D26" s="1">
        <f>D25+C26</f>
        <v>6190551.5614126492</v>
      </c>
      <c r="F26" t="s">
        <v>39</v>
      </c>
      <c r="G26" s="3">
        <v>2.3099999999999999E-2</v>
      </c>
      <c r="H26" s="1"/>
      <c r="I26" s="1"/>
      <c r="J26" s="1"/>
    </row>
    <row r="27" spans="2:12" x14ac:dyDescent="0.3">
      <c r="B27">
        <v>8</v>
      </c>
      <c r="C27" s="1">
        <f>D26*$C$13</f>
        <v>61905.515614126496</v>
      </c>
      <c r="D27" s="1">
        <f>C27+D26</f>
        <v>6252457.077026776</v>
      </c>
      <c r="F27" t="s">
        <v>40</v>
      </c>
      <c r="G27" s="3">
        <v>5.62E-2</v>
      </c>
      <c r="H27" s="1"/>
      <c r="I27" s="1"/>
      <c r="J27" s="1"/>
    </row>
    <row r="28" spans="2:12" x14ac:dyDescent="0.3">
      <c r="B28">
        <v>9</v>
      </c>
      <c r="C28" s="1">
        <f t="shared" ref="C28:C31" si="2">D27*$C$13</f>
        <v>62524.570770267761</v>
      </c>
      <c r="D28" s="1">
        <f>C16+D27+C28</f>
        <v>9329843.8012849297</v>
      </c>
      <c r="G28" s="1"/>
      <c r="H28" s="1"/>
      <c r="I28" s="1"/>
      <c r="J28" s="1"/>
    </row>
    <row r="29" spans="2:12" x14ac:dyDescent="0.3">
      <c r="B29">
        <v>10</v>
      </c>
      <c r="C29" s="1">
        <f t="shared" si="2"/>
        <v>93298.438012849292</v>
      </c>
      <c r="D29" s="1">
        <f>C29+D28</f>
        <v>9423142.2392977793</v>
      </c>
      <c r="F29" t="s">
        <v>41</v>
      </c>
      <c r="J29" s="7"/>
    </row>
    <row r="30" spans="2:12" x14ac:dyDescent="0.3">
      <c r="B30">
        <v>11</v>
      </c>
      <c r="C30" s="1">
        <f t="shared" si="2"/>
        <v>94231.422392977795</v>
      </c>
      <c r="D30" s="1">
        <f>C30+D29</f>
        <v>9517373.6616907567</v>
      </c>
      <c r="F30" t="s">
        <v>42</v>
      </c>
      <c r="G30" t="s">
        <v>43</v>
      </c>
      <c r="H30" t="s">
        <v>16</v>
      </c>
      <c r="I30" t="s">
        <v>44</v>
      </c>
      <c r="J30" s="7" t="s">
        <v>27</v>
      </c>
      <c r="K30" t="s">
        <v>16</v>
      </c>
      <c r="L30" t="s">
        <v>46</v>
      </c>
    </row>
    <row r="31" spans="2:12" x14ac:dyDescent="0.3">
      <c r="B31">
        <v>12</v>
      </c>
      <c r="C31" s="1">
        <f t="shared" si="2"/>
        <v>95173.736616907569</v>
      </c>
      <c r="D31" s="1">
        <f>C31+D30+C16</f>
        <v>12627409.55179555</v>
      </c>
      <c r="F31">
        <f>G25/3</f>
        <v>249351.48230716123</v>
      </c>
      <c r="G31">
        <v>11</v>
      </c>
      <c r="H31" s="2">
        <f>G26</f>
        <v>2.3099999999999999E-2</v>
      </c>
      <c r="I31" s="5">
        <f>FV(H31,G31,,-F31)</f>
        <v>320561.14865243703</v>
      </c>
      <c r="J31" s="7">
        <v>-11</v>
      </c>
      <c r="K31" s="2">
        <f>$G$26</f>
        <v>2.3099999999999999E-2</v>
      </c>
      <c r="L31" s="5">
        <f>FV(K31,J31,,-I31)</f>
        <v>249351.48230716123</v>
      </c>
    </row>
    <row r="32" spans="2:12" x14ac:dyDescent="0.3">
      <c r="B32">
        <v>13</v>
      </c>
      <c r="C32" s="1">
        <f>D31*$C$13</f>
        <v>126274.0955179555</v>
      </c>
      <c r="D32" s="1">
        <f>C32+D31</f>
        <v>12753683.647313505</v>
      </c>
      <c r="F32" s="1">
        <f>G25</f>
        <v>748054.44692148373</v>
      </c>
      <c r="G32">
        <v>5</v>
      </c>
      <c r="H32" s="2">
        <f>G26</f>
        <v>2.3099999999999999E-2</v>
      </c>
      <c r="I32" s="5">
        <f t="shared" ref="I32:I33" si="3">FV(H32,G32,,-F32)</f>
        <v>838539.70691521</v>
      </c>
      <c r="J32" s="7">
        <v>-11</v>
      </c>
      <c r="K32" s="2">
        <f t="shared" ref="K32:K33" si="4">$G$26</f>
        <v>2.3099999999999999E-2</v>
      </c>
      <c r="L32" s="5">
        <f t="shared" ref="L32" si="5">FV(K32,J32,,-I32)</f>
        <v>652265.93981113925</v>
      </c>
    </row>
    <row r="33" spans="2:12" x14ac:dyDescent="0.3">
      <c r="B33">
        <v>14</v>
      </c>
      <c r="C33" s="1">
        <f>D32*$C$14</f>
        <v>140290.52012044855</v>
      </c>
      <c r="D33" s="1">
        <f>D32+C33</f>
        <v>12893974.167433955</v>
      </c>
      <c r="F33">
        <f>G25*2</f>
        <v>1496108.8938429675</v>
      </c>
      <c r="G33">
        <v>-3</v>
      </c>
      <c r="H33" s="2">
        <f>G27</f>
        <v>5.62E-2</v>
      </c>
      <c r="I33" s="5">
        <f t="shared" si="3"/>
        <v>1269768.9858679117</v>
      </c>
      <c r="J33" s="7">
        <v>-11</v>
      </c>
      <c r="K33" s="2">
        <f t="shared" si="4"/>
        <v>2.3099999999999999E-2</v>
      </c>
      <c r="L33" s="5">
        <f>FV(K33,J33,,-I33)</f>
        <v>987701.66049383976</v>
      </c>
    </row>
    <row r="34" spans="2:12" x14ac:dyDescent="0.3">
      <c r="B34">
        <v>15</v>
      </c>
      <c r="C34" s="1">
        <f t="shared" ref="C34:C39" si="6">D33*$C$14</f>
        <v>141833.71584177349</v>
      </c>
      <c r="D34" s="1">
        <f t="shared" ref="D34:D39" si="7">D33+C34</f>
        <v>13035807.883275729</v>
      </c>
      <c r="I34" s="5">
        <f>SUM(I31:I33)</f>
        <v>2428869.8414355591</v>
      </c>
      <c r="J34" s="7"/>
    </row>
    <row r="35" spans="2:12" x14ac:dyDescent="0.3">
      <c r="B35">
        <v>16</v>
      </c>
      <c r="C35" s="1">
        <f t="shared" si="6"/>
        <v>143393.88671603301</v>
      </c>
      <c r="D35" s="1">
        <f>D34+C35+C16</f>
        <v>16194063.923479646</v>
      </c>
      <c r="J35" s="7"/>
    </row>
    <row r="36" spans="2:12" x14ac:dyDescent="0.3">
      <c r="B36">
        <v>17</v>
      </c>
      <c r="C36" s="1">
        <f t="shared" si="6"/>
        <v>178134.7031582761</v>
      </c>
      <c r="D36" s="1">
        <f t="shared" si="7"/>
        <v>16372198.626637923</v>
      </c>
      <c r="F36" t="s">
        <v>45</v>
      </c>
      <c r="J36" s="7"/>
    </row>
    <row r="37" spans="2:12" x14ac:dyDescent="0.3">
      <c r="B37">
        <v>18</v>
      </c>
      <c r="C37" s="1">
        <f t="shared" si="6"/>
        <v>180094.18489301714</v>
      </c>
      <c r="D37" s="1">
        <f>D36+C37+C16</f>
        <v>19567154.965018827</v>
      </c>
      <c r="F37" t="s">
        <v>42</v>
      </c>
      <c r="G37" t="s">
        <v>43</v>
      </c>
      <c r="H37" t="s">
        <v>16</v>
      </c>
      <c r="I37" t="s">
        <v>44</v>
      </c>
    </row>
    <row r="38" spans="2:12" x14ac:dyDescent="0.3">
      <c r="B38">
        <v>19</v>
      </c>
      <c r="C38" s="1">
        <f t="shared" si="6"/>
        <v>215238.7046152071</v>
      </c>
      <c r="D38" s="1">
        <f t="shared" si="7"/>
        <v>19782393.669634033</v>
      </c>
      <c r="F38">
        <f>G25/15</f>
        <v>49870.296461432248</v>
      </c>
      <c r="G38">
        <v>11</v>
      </c>
      <c r="H38" s="2">
        <f>G26</f>
        <v>2.3099999999999999E-2</v>
      </c>
      <c r="I38" s="5">
        <f>FV(H38,G38,,-F38)</f>
        <v>64112.229730487408</v>
      </c>
      <c r="J38" s="7">
        <v>-11</v>
      </c>
      <c r="K38" s="2">
        <f t="shared" ref="K38:K41" si="8">$G$26</f>
        <v>2.3099999999999999E-2</v>
      </c>
      <c r="L38" s="5">
        <f>FV(K38,J38,,-I38)</f>
        <v>49870.296461432248</v>
      </c>
    </row>
    <row r="39" spans="2:12" x14ac:dyDescent="0.3">
      <c r="B39">
        <v>20</v>
      </c>
      <c r="C39" s="1">
        <f t="shared" si="6"/>
        <v>217606.33036597434</v>
      </c>
      <c r="D39" s="1">
        <f t="shared" si="7"/>
        <v>20000000.000000007</v>
      </c>
      <c r="F39" s="1">
        <f>FV(H39,7,-150000)</f>
        <v>1125632.0699117358</v>
      </c>
      <c r="G39">
        <v>1</v>
      </c>
      <c r="H39" s="2">
        <f>G26</f>
        <v>2.3099999999999999E-2</v>
      </c>
      <c r="I39" s="5">
        <f>FV(H39,G39,,-F39)</f>
        <v>1151634.1707266967</v>
      </c>
      <c r="J39" s="7">
        <v>-11</v>
      </c>
      <c r="K39" s="2">
        <f t="shared" si="8"/>
        <v>2.3099999999999999E-2</v>
      </c>
      <c r="L39" s="5">
        <f t="shared" ref="L39:L41" si="9">FV(K39,J39,,-I39)</f>
        <v>895809.39160419093</v>
      </c>
    </row>
    <row r="40" spans="2:12" x14ac:dyDescent="0.3">
      <c r="F40" s="5">
        <f>PV(H40,6,-280000)</f>
        <v>1393443.7514796988</v>
      </c>
      <c r="G40">
        <v>-3</v>
      </c>
      <c r="H40" s="2">
        <v>5.62E-2</v>
      </c>
      <c r="I40" s="5">
        <f>FV(H40,G40,,-F40)</f>
        <v>1182635.6132644366</v>
      </c>
      <c r="J40" s="7">
        <v>-11</v>
      </c>
      <c r="K40" s="2">
        <f t="shared" si="8"/>
        <v>2.3099999999999999E-2</v>
      </c>
      <c r="L40" s="5">
        <f t="shared" si="9"/>
        <v>919924.15311831038</v>
      </c>
    </row>
    <row r="41" spans="2:12" x14ac:dyDescent="0.3">
      <c r="F41">
        <f>G25/15</f>
        <v>49870.296461432248</v>
      </c>
      <c r="G41">
        <v>-9</v>
      </c>
      <c r="H41" s="2">
        <v>5.62E-2</v>
      </c>
      <c r="I41" s="5">
        <f>FV(H41,G41,,-F41)</f>
        <v>30487.827713938008</v>
      </c>
      <c r="J41" s="7">
        <v>-11</v>
      </c>
      <c r="K41" s="2">
        <f t="shared" si="8"/>
        <v>2.3099999999999999E-2</v>
      </c>
      <c r="L41" s="5">
        <f t="shared" si="9"/>
        <v>23715.241428206675</v>
      </c>
    </row>
    <row r="42" spans="2:12" x14ac:dyDescent="0.3">
      <c r="I42" s="5">
        <f>SUM(I38:I41)</f>
        <v>2428869.8414355586</v>
      </c>
    </row>
    <row r="46" spans="2:12" x14ac:dyDescent="0.3">
      <c r="C46" t="s">
        <v>47</v>
      </c>
      <c r="D46" s="8">
        <v>100000000</v>
      </c>
      <c r="E46">
        <v>500000</v>
      </c>
    </row>
    <row r="47" spans="2:12" x14ac:dyDescent="0.3">
      <c r="C47" t="s">
        <v>16</v>
      </c>
      <c r="D47" s="2">
        <v>1.0999999999999999E-2</v>
      </c>
      <c r="E47" s="2">
        <v>0.14030000000000001</v>
      </c>
    </row>
    <row r="50" spans="2:15" x14ac:dyDescent="0.3">
      <c r="B50" t="s">
        <v>27</v>
      </c>
      <c r="C50" t="s">
        <v>16</v>
      </c>
      <c r="D50" t="s">
        <v>28</v>
      </c>
    </row>
    <row r="51" spans="2:15" x14ac:dyDescent="0.3">
      <c r="B51">
        <v>0</v>
      </c>
      <c r="C51" s="8"/>
      <c r="D51" s="8">
        <v>6000000</v>
      </c>
      <c r="E51" s="5">
        <f>PMT(D47,144,,-D64)</f>
        <v>164581.0758498949</v>
      </c>
      <c r="H51" t="s">
        <v>12</v>
      </c>
      <c r="I51" s="9">
        <v>100000000</v>
      </c>
      <c r="K51" t="s">
        <v>27</v>
      </c>
      <c r="L51" t="s">
        <v>16</v>
      </c>
      <c r="M51" t="s">
        <v>6</v>
      </c>
      <c r="N51" t="s">
        <v>26</v>
      </c>
      <c r="O51" t="s">
        <v>28</v>
      </c>
    </row>
    <row r="52" spans="2:15" x14ac:dyDescent="0.3">
      <c r="B52">
        <v>1</v>
      </c>
      <c r="C52" s="8">
        <f>D51*$E$47</f>
        <v>841800</v>
      </c>
      <c r="D52" s="8">
        <f>D51+C52+$E$46</f>
        <v>7341800</v>
      </c>
      <c r="E52" s="5"/>
      <c r="H52" t="s">
        <v>2</v>
      </c>
      <c r="I52" s="2">
        <v>9.7999999999999997E-3</v>
      </c>
      <c r="K52" s="13">
        <v>0</v>
      </c>
      <c r="L52" s="9">
        <f>I51*I52</f>
        <v>980000</v>
      </c>
      <c r="M52" s="9">
        <f>N52-L52</f>
        <v>9464527.1000150349</v>
      </c>
      <c r="N52" s="11">
        <f>I54</f>
        <v>10444527.100015035</v>
      </c>
      <c r="O52" s="9">
        <f>I51-M52-L52</f>
        <v>89555472.899984971</v>
      </c>
    </row>
    <row r="53" spans="2:15" x14ac:dyDescent="0.3">
      <c r="B53">
        <v>2</v>
      </c>
      <c r="C53" s="8">
        <f t="shared" ref="C53:C63" si="10">D52*$E$47</f>
        <v>1030054.54</v>
      </c>
      <c r="D53" s="8">
        <f t="shared" ref="D53:D63" si="11">D52+C53+$E$46</f>
        <v>8871854.5399999991</v>
      </c>
      <c r="H53" t="s">
        <v>1</v>
      </c>
      <c r="I53">
        <v>10</v>
      </c>
      <c r="K53" s="13">
        <v>1</v>
      </c>
      <c r="L53" s="9">
        <f>O52*$I$52</f>
        <v>877643.63441985263</v>
      </c>
      <c r="M53" s="9">
        <f>N53-L53</f>
        <v>9566883.465595182</v>
      </c>
      <c r="N53" s="9">
        <f>$I$54</f>
        <v>10444527.100015035</v>
      </c>
      <c r="O53" s="9">
        <f>O52-M53</f>
        <v>79988589.434389785</v>
      </c>
    </row>
    <row r="54" spans="2:15" x14ac:dyDescent="0.3">
      <c r="B54">
        <v>3</v>
      </c>
      <c r="C54" s="8">
        <f t="shared" si="10"/>
        <v>1244721.191962</v>
      </c>
      <c r="D54" s="8">
        <f t="shared" si="11"/>
        <v>10616575.731961999</v>
      </c>
      <c r="H54" t="s">
        <v>26</v>
      </c>
      <c r="I54" s="6">
        <f>PMT(I52,I53,-I51,,1)</f>
        <v>10444527.100015035</v>
      </c>
      <c r="K54" s="13">
        <v>2</v>
      </c>
      <c r="L54" s="9">
        <f t="shared" ref="L54:L58" si="12">O53*$I$52</f>
        <v>783888.17645701987</v>
      </c>
      <c r="M54" s="9">
        <f t="shared" ref="M54:M61" si="13">N54-L54</f>
        <v>9660638.9235580154</v>
      </c>
      <c r="N54" s="9">
        <f t="shared" ref="N54:N61" si="14">$I$54</f>
        <v>10444527.100015035</v>
      </c>
      <c r="O54" s="9">
        <f t="shared" ref="O54:O58" si="15">O53-M54</f>
        <v>70327950.510831773</v>
      </c>
    </row>
    <row r="55" spans="2:15" x14ac:dyDescent="0.3">
      <c r="B55">
        <v>4</v>
      </c>
      <c r="C55" s="8">
        <f t="shared" si="10"/>
        <v>1489505.5751942685</v>
      </c>
      <c r="D55" s="8">
        <f t="shared" si="11"/>
        <v>12606081.307156269</v>
      </c>
      <c r="K55" s="13">
        <v>3</v>
      </c>
      <c r="L55" s="9">
        <f t="shared" si="12"/>
        <v>689213.91500615131</v>
      </c>
      <c r="M55" s="9">
        <f t="shared" si="13"/>
        <v>9755313.1850088835</v>
      </c>
      <c r="N55" s="9">
        <f t="shared" si="14"/>
        <v>10444527.100015035</v>
      </c>
      <c r="O55" s="9">
        <f t="shared" si="15"/>
        <v>60572637.32582289</v>
      </c>
    </row>
    <row r="56" spans="2:15" x14ac:dyDescent="0.3">
      <c r="B56">
        <v>5</v>
      </c>
      <c r="C56" s="8">
        <f t="shared" si="10"/>
        <v>1768633.2073940246</v>
      </c>
      <c r="D56" s="8">
        <f t="shared" si="11"/>
        <v>14874714.514550293</v>
      </c>
      <c r="K56" s="13">
        <v>4</v>
      </c>
      <c r="L56" s="9">
        <f t="shared" si="12"/>
        <v>593611.84579306433</v>
      </c>
      <c r="M56" s="9">
        <f t="shared" si="13"/>
        <v>9850915.2542219702</v>
      </c>
      <c r="N56" s="9">
        <f t="shared" si="14"/>
        <v>10444527.100015035</v>
      </c>
      <c r="O56" s="9">
        <f t="shared" si="15"/>
        <v>50721722.071600921</v>
      </c>
    </row>
    <row r="57" spans="2:15" x14ac:dyDescent="0.3">
      <c r="B57">
        <v>6</v>
      </c>
      <c r="C57" s="8">
        <f t="shared" si="10"/>
        <v>2086922.4463914062</v>
      </c>
      <c r="D57" s="8">
        <f t="shared" si="11"/>
        <v>17461636.960941698</v>
      </c>
      <c r="K57" s="13">
        <v>5</v>
      </c>
      <c r="L57" s="9">
        <f t="shared" si="12"/>
        <v>497072.87630168902</v>
      </c>
      <c r="M57" s="9">
        <f t="shared" si="13"/>
        <v>9947454.2237133458</v>
      </c>
      <c r="N57" s="9">
        <f t="shared" si="14"/>
        <v>10444527.100015035</v>
      </c>
      <c r="O57" s="9">
        <f t="shared" si="15"/>
        <v>40774267.847887576</v>
      </c>
    </row>
    <row r="58" spans="2:15" x14ac:dyDescent="0.3">
      <c r="B58">
        <v>7</v>
      </c>
      <c r="C58" s="8">
        <f t="shared" si="10"/>
        <v>2449867.6656201202</v>
      </c>
      <c r="D58" s="8">
        <f t="shared" si="11"/>
        <v>20411504.626561821</v>
      </c>
      <c r="K58" s="13">
        <v>6</v>
      </c>
      <c r="L58" s="9">
        <f t="shared" si="12"/>
        <v>399587.82490929822</v>
      </c>
      <c r="M58" s="9">
        <f t="shared" si="13"/>
        <v>10044939.275105737</v>
      </c>
      <c r="N58" s="9">
        <f t="shared" si="14"/>
        <v>10444527.100015035</v>
      </c>
      <c r="O58" s="14">
        <f t="shared" si="15"/>
        <v>30729328.572781838</v>
      </c>
    </row>
    <row r="59" spans="2:15" x14ac:dyDescent="0.3">
      <c r="B59">
        <v>8</v>
      </c>
      <c r="C59" s="8">
        <f t="shared" si="10"/>
        <v>2863734.0991066238</v>
      </c>
      <c r="D59" s="8">
        <f t="shared" si="11"/>
        <v>23775238.725668445</v>
      </c>
      <c r="K59" s="13">
        <v>7</v>
      </c>
      <c r="L59" s="9">
        <f t="shared" ref="L59:L61" si="16">O58*$I$52</f>
        <v>301147.42001326202</v>
      </c>
      <c r="M59" s="9">
        <f t="shared" si="13"/>
        <v>10143379.680001773</v>
      </c>
      <c r="N59" s="9">
        <f t="shared" si="14"/>
        <v>10444527.100015035</v>
      </c>
      <c r="O59" s="15">
        <f t="shared" ref="O59:O61" si="17">O58-M59</f>
        <v>20585948.892780066</v>
      </c>
    </row>
    <row r="60" spans="2:15" x14ac:dyDescent="0.3">
      <c r="B60">
        <v>9</v>
      </c>
      <c r="C60" s="8">
        <f t="shared" si="10"/>
        <v>3335665.9932112829</v>
      </c>
      <c r="D60" s="8">
        <f t="shared" si="11"/>
        <v>27610904.71887973</v>
      </c>
      <c r="K60" s="13">
        <v>8</v>
      </c>
      <c r="L60" s="9">
        <f t="shared" si="16"/>
        <v>201742.29914924465</v>
      </c>
      <c r="M60" s="9">
        <f t="shared" si="13"/>
        <v>10242784.80086579</v>
      </c>
      <c r="N60" s="9">
        <f t="shared" si="14"/>
        <v>10444527.100015035</v>
      </c>
      <c r="O60" s="15">
        <f t="shared" si="17"/>
        <v>10343164.091914276</v>
      </c>
    </row>
    <row r="61" spans="2:15" x14ac:dyDescent="0.3">
      <c r="B61">
        <v>10</v>
      </c>
      <c r="C61" s="8">
        <f t="shared" si="10"/>
        <v>3873809.9320588261</v>
      </c>
      <c r="D61" s="8">
        <f t="shared" si="11"/>
        <v>31984714.650938556</v>
      </c>
      <c r="K61" s="13">
        <v>9</v>
      </c>
      <c r="L61" s="9">
        <f t="shared" si="16"/>
        <v>101363.00810075989</v>
      </c>
      <c r="M61" s="9">
        <f t="shared" si="13"/>
        <v>10343164.091914276</v>
      </c>
      <c r="N61" s="9">
        <f t="shared" si="14"/>
        <v>10444527.100015035</v>
      </c>
      <c r="O61" s="15">
        <f t="shared" si="17"/>
        <v>0</v>
      </c>
    </row>
    <row r="62" spans="2:15" x14ac:dyDescent="0.3">
      <c r="B62">
        <v>11</v>
      </c>
      <c r="C62" s="8">
        <f t="shared" si="10"/>
        <v>4487455.4655266795</v>
      </c>
      <c r="D62" s="8">
        <f t="shared" si="11"/>
        <v>36972170.116465233</v>
      </c>
      <c r="K62" s="13"/>
    </row>
    <row r="63" spans="2:15" x14ac:dyDescent="0.3">
      <c r="B63">
        <v>12</v>
      </c>
      <c r="C63" s="8">
        <f t="shared" si="10"/>
        <v>5187195.4673400726</v>
      </c>
      <c r="D63" s="8">
        <f t="shared" si="11"/>
        <v>42659365.583805308</v>
      </c>
    </row>
    <row r="64" spans="2:15" x14ac:dyDescent="0.3">
      <c r="C64" s="8"/>
      <c r="D64" s="8">
        <f>D46-D63</f>
        <v>57340634.416194692</v>
      </c>
      <c r="H64" t="s">
        <v>48</v>
      </c>
      <c r="I64" s="9">
        <v>50000000</v>
      </c>
      <c r="K64" t="s">
        <v>49</v>
      </c>
      <c r="L64" s="9">
        <v>2190506.5929484661</v>
      </c>
    </row>
    <row r="65" spans="2:13" x14ac:dyDescent="0.3">
      <c r="C65" s="8"/>
      <c r="H65" t="s">
        <v>15</v>
      </c>
      <c r="I65">
        <v>36</v>
      </c>
      <c r="K65" t="s">
        <v>50</v>
      </c>
      <c r="L65" s="9">
        <v>2180473.7245138576</v>
      </c>
      <c r="M65" t="s">
        <v>52</v>
      </c>
    </row>
    <row r="66" spans="2:13" x14ac:dyDescent="0.3">
      <c r="B66" s="9">
        <v>6000000</v>
      </c>
      <c r="C66" s="3">
        <f>$E$47</f>
        <v>0.14030000000000001</v>
      </c>
      <c r="D66" s="10">
        <v>12</v>
      </c>
      <c r="E66" s="5">
        <f>FV(C66,D66,,-B66)</f>
        <v>28998847.777945541</v>
      </c>
      <c r="H66" t="s">
        <v>2</v>
      </c>
      <c r="I66" s="2">
        <v>2.7050000000000001E-2</v>
      </c>
      <c r="K66" t="s">
        <v>51</v>
      </c>
      <c r="L66" s="9">
        <v>2099108.271797182</v>
      </c>
    </row>
    <row r="67" spans="2:13" x14ac:dyDescent="0.3">
      <c r="B67" s="9">
        <v>500000</v>
      </c>
      <c r="C67" s="3">
        <f>$E$47</f>
        <v>0.14030000000000001</v>
      </c>
      <c r="D67" s="10">
        <v>12</v>
      </c>
      <c r="E67" s="5">
        <f>FV(C67,D67,-B67)</f>
        <v>13660517.805859787</v>
      </c>
    </row>
    <row r="68" spans="2:13" x14ac:dyDescent="0.3">
      <c r="B68" s="5"/>
      <c r="C68" s="8"/>
      <c r="D68" s="8"/>
      <c r="E68" s="5">
        <f>E66+E67</f>
        <v>42659365.58380533</v>
      </c>
      <c r="H68" t="s">
        <v>26</v>
      </c>
      <c r="I68" s="6">
        <f>PMT(I66,I65,-I64)</f>
        <v>2190506.5929484661</v>
      </c>
    </row>
    <row r="69" spans="2:13" x14ac:dyDescent="0.3">
      <c r="B69" s="5"/>
      <c r="C69" s="8"/>
      <c r="D69" s="8"/>
    </row>
    <row r="70" spans="2:13" x14ac:dyDescent="0.3">
      <c r="C70" s="8"/>
      <c r="D70" s="8"/>
      <c r="H70" t="s">
        <v>27</v>
      </c>
      <c r="I70" t="s">
        <v>16</v>
      </c>
      <c r="J70" t="s">
        <v>6</v>
      </c>
      <c r="K70" t="s">
        <v>26</v>
      </c>
      <c r="L70" t="s">
        <v>28</v>
      </c>
    </row>
    <row r="71" spans="2:13" x14ac:dyDescent="0.3">
      <c r="C71" s="8"/>
      <c r="D71" s="8"/>
      <c r="H71" s="13">
        <v>0</v>
      </c>
      <c r="I71" s="9"/>
      <c r="J71" s="9"/>
      <c r="K71" s="11"/>
      <c r="L71" s="9">
        <f>I64</f>
        <v>50000000</v>
      </c>
    </row>
    <row r="72" spans="2:13" x14ac:dyDescent="0.3">
      <c r="C72" s="8"/>
      <c r="D72" s="8"/>
      <c r="H72">
        <v>1</v>
      </c>
      <c r="I72" s="12">
        <f>L71*$I$66</f>
        <v>1352500</v>
      </c>
      <c r="J72" s="5">
        <f>K72-I72</f>
        <v>838006.59294846607</v>
      </c>
      <c r="K72" s="6">
        <f>$I$68</f>
        <v>2190506.5929484661</v>
      </c>
      <c r="L72" s="12">
        <f>L71-J72</f>
        <v>49161993.407051533</v>
      </c>
    </row>
    <row r="73" spans="2:13" x14ac:dyDescent="0.3">
      <c r="C73" s="8"/>
      <c r="D73" s="8"/>
      <c r="H73">
        <v>2</v>
      </c>
      <c r="I73" s="12">
        <f t="shared" ref="I73:I107" si="18">L72*$I$66</f>
        <v>1329831.9216607441</v>
      </c>
      <c r="J73" s="5">
        <f t="shared" ref="J73:J107" si="19">K73-I73</f>
        <v>860674.67128772195</v>
      </c>
      <c r="K73" s="6">
        <f t="shared" ref="K73:K100" si="20">$I$68</f>
        <v>2190506.5929484661</v>
      </c>
      <c r="L73" s="12">
        <f t="shared" ref="L73:L107" si="21">L72-J73</f>
        <v>48301318.735763811</v>
      </c>
    </row>
    <row r="74" spans="2:13" x14ac:dyDescent="0.3">
      <c r="C74" s="8"/>
      <c r="D74" s="8"/>
      <c r="H74">
        <v>3</v>
      </c>
      <c r="I74" s="12">
        <f t="shared" si="18"/>
        <v>1306550.6718024111</v>
      </c>
      <c r="J74" s="5">
        <f t="shared" si="19"/>
        <v>883955.92114605499</v>
      </c>
      <c r="K74" s="6">
        <f t="shared" si="20"/>
        <v>2190506.5929484661</v>
      </c>
      <c r="L74" s="12">
        <f t="shared" si="21"/>
        <v>47417362.814617753</v>
      </c>
    </row>
    <row r="75" spans="2:13" x14ac:dyDescent="0.3">
      <c r="C75" s="8"/>
      <c r="D75" s="8"/>
      <c r="H75">
        <v>4</v>
      </c>
      <c r="I75" s="12">
        <f t="shared" si="18"/>
        <v>1282639.6641354102</v>
      </c>
      <c r="J75" s="5">
        <f t="shared" si="19"/>
        <v>907866.92881305586</v>
      </c>
      <c r="K75" s="6">
        <f t="shared" si="20"/>
        <v>2190506.5929484661</v>
      </c>
      <c r="L75" s="12">
        <f t="shared" si="21"/>
        <v>46509495.885804698</v>
      </c>
    </row>
    <row r="76" spans="2:13" x14ac:dyDescent="0.3">
      <c r="C76" s="8"/>
      <c r="D76" s="8"/>
      <c r="H76" s="13">
        <v>5</v>
      </c>
      <c r="I76" s="12">
        <f t="shared" si="18"/>
        <v>1258081.8637110172</v>
      </c>
      <c r="J76" s="5">
        <f t="shared" si="19"/>
        <v>932424.72923744889</v>
      </c>
      <c r="K76" s="6">
        <f t="shared" si="20"/>
        <v>2190506.5929484661</v>
      </c>
      <c r="L76" s="12">
        <f t="shared" si="21"/>
        <v>45577071.156567246</v>
      </c>
    </row>
    <row r="77" spans="2:13" x14ac:dyDescent="0.3">
      <c r="C77" s="8"/>
      <c r="D77" s="8"/>
      <c r="H77">
        <v>6</v>
      </c>
      <c r="I77" s="12">
        <f t="shared" si="18"/>
        <v>1232859.774785144</v>
      </c>
      <c r="J77" s="5">
        <f t="shared" si="19"/>
        <v>957646.81816332205</v>
      </c>
      <c r="K77" s="6">
        <f t="shared" si="20"/>
        <v>2190506.5929484661</v>
      </c>
      <c r="L77" s="12">
        <f t="shared" si="21"/>
        <v>44619424.338403925</v>
      </c>
    </row>
    <row r="78" spans="2:13" x14ac:dyDescent="0.3">
      <c r="C78" s="8"/>
      <c r="D78" s="8"/>
      <c r="H78">
        <v>7</v>
      </c>
      <c r="I78" s="12">
        <f t="shared" si="18"/>
        <v>1206955.4283538263</v>
      </c>
      <c r="J78" s="5">
        <f t="shared" si="19"/>
        <v>983551.16459463979</v>
      </c>
      <c r="K78" s="6">
        <f t="shared" si="20"/>
        <v>2190506.5929484661</v>
      </c>
      <c r="L78" s="12">
        <f t="shared" si="21"/>
        <v>43635873.173809282</v>
      </c>
    </row>
    <row r="79" spans="2:13" x14ac:dyDescent="0.3">
      <c r="C79" s="8"/>
      <c r="D79" s="8"/>
      <c r="H79">
        <v>8</v>
      </c>
      <c r="I79" s="12">
        <f t="shared" si="18"/>
        <v>1180350.3693515412</v>
      </c>
      <c r="J79" s="5">
        <f t="shared" si="19"/>
        <v>1010156.2235969249</v>
      </c>
      <c r="K79" s="6">
        <f t="shared" si="20"/>
        <v>2190506.5929484661</v>
      </c>
      <c r="L79" s="12">
        <f t="shared" si="21"/>
        <v>42625716.950212359</v>
      </c>
    </row>
    <row r="80" spans="2:13" x14ac:dyDescent="0.3">
      <c r="C80" s="8"/>
      <c r="D80" s="8"/>
      <c r="H80">
        <v>9</v>
      </c>
      <c r="I80" s="12">
        <f t="shared" si="18"/>
        <v>1153025.6435032443</v>
      </c>
      <c r="J80" s="5">
        <f t="shared" si="19"/>
        <v>1037480.9494452218</v>
      </c>
      <c r="K80" s="6">
        <f t="shared" si="20"/>
        <v>2190506.5929484661</v>
      </c>
      <c r="L80" s="12">
        <f t="shared" si="21"/>
        <v>41588236.000767134</v>
      </c>
    </row>
    <row r="81" spans="3:12" x14ac:dyDescent="0.3">
      <c r="C81" s="8"/>
      <c r="D81" s="8"/>
      <c r="H81" s="13">
        <v>10</v>
      </c>
      <c r="I81" s="12">
        <f t="shared" si="18"/>
        <v>1124961.7838207511</v>
      </c>
      <c r="J81" s="5">
        <f t="shared" si="19"/>
        <v>1065544.809127715</v>
      </c>
      <c r="K81" s="6">
        <f t="shared" si="20"/>
        <v>2190506.5929484661</v>
      </c>
      <c r="L81" s="12">
        <f t="shared" si="21"/>
        <v>40522691.191639416</v>
      </c>
    </row>
    <row r="82" spans="3:12" x14ac:dyDescent="0.3">
      <c r="C82" s="8"/>
      <c r="D82" s="8"/>
      <c r="H82">
        <v>11</v>
      </c>
      <c r="I82" s="12">
        <f t="shared" si="18"/>
        <v>1096138.7967338462</v>
      </c>
      <c r="J82" s="5">
        <f t="shared" si="19"/>
        <v>1094367.7962146199</v>
      </c>
      <c r="K82" s="6">
        <f t="shared" si="20"/>
        <v>2190506.5929484661</v>
      </c>
      <c r="L82" s="12">
        <f t="shared" si="21"/>
        <v>39428323.395424798</v>
      </c>
    </row>
    <row r="83" spans="3:12" x14ac:dyDescent="0.3">
      <c r="C83" s="8"/>
      <c r="D83" s="8"/>
      <c r="H83">
        <v>12</v>
      </c>
      <c r="I83" s="12">
        <f t="shared" si="18"/>
        <v>1066536.1478462408</v>
      </c>
      <c r="J83" s="5">
        <f t="shared" si="19"/>
        <v>1123970.4451022253</v>
      </c>
      <c r="K83" s="6">
        <f t="shared" si="20"/>
        <v>2190506.5929484661</v>
      </c>
      <c r="L83" s="12">
        <f t="shared" si="21"/>
        <v>38304352.950322576</v>
      </c>
    </row>
    <row r="84" spans="3:12" x14ac:dyDescent="0.3">
      <c r="C84" s="8"/>
      <c r="D84" s="8"/>
      <c r="H84">
        <v>13</v>
      </c>
      <c r="I84" s="12">
        <f t="shared" si="18"/>
        <v>1036132.7473062257</v>
      </c>
      <c r="J84" s="5">
        <f t="shared" si="19"/>
        <v>1154373.8456422403</v>
      </c>
      <c r="K84" s="6">
        <f t="shared" si="20"/>
        <v>2190506.5929484661</v>
      </c>
      <c r="L84" s="12">
        <f t="shared" si="21"/>
        <v>37149979.104680337</v>
      </c>
    </row>
    <row r="85" spans="3:12" x14ac:dyDescent="0.3">
      <c r="C85" s="8"/>
      <c r="D85" s="8"/>
      <c r="H85">
        <v>14</v>
      </c>
      <c r="I85" s="12">
        <f t="shared" si="18"/>
        <v>1004906.9347816032</v>
      </c>
      <c r="J85" s="5">
        <f t="shared" si="19"/>
        <v>1185599.658166863</v>
      </c>
      <c r="K85" s="6">
        <f t="shared" si="20"/>
        <v>2190506.5929484661</v>
      </c>
      <c r="L85" s="12">
        <f t="shared" si="21"/>
        <v>35964379.446513474</v>
      </c>
    </row>
    <row r="86" spans="3:12" x14ac:dyDescent="0.3">
      <c r="C86" s="8"/>
      <c r="D86" s="8"/>
      <c r="H86" s="13">
        <v>15</v>
      </c>
      <c r="I86" s="12">
        <f t="shared" si="18"/>
        <v>972836.46402818954</v>
      </c>
      <c r="J86" s="5">
        <f t="shared" si="19"/>
        <v>1217670.1289202766</v>
      </c>
      <c r="K86" s="6">
        <f t="shared" si="20"/>
        <v>2190506.5929484661</v>
      </c>
      <c r="L86" s="12">
        <f t="shared" si="21"/>
        <v>34746709.317593195</v>
      </c>
    </row>
    <row r="87" spans="3:12" x14ac:dyDescent="0.3">
      <c r="C87" s="8"/>
      <c r="D87" s="8"/>
      <c r="H87">
        <v>16</v>
      </c>
      <c r="I87" s="12">
        <f t="shared" si="18"/>
        <v>939898.48704089597</v>
      </c>
      <c r="J87" s="5">
        <f t="shared" si="19"/>
        <v>1250608.1059075701</v>
      </c>
      <c r="K87" s="6">
        <f t="shared" si="20"/>
        <v>2190506.5929484661</v>
      </c>
      <c r="L87" s="12">
        <f t="shared" si="21"/>
        <v>33496101.211685624</v>
      </c>
    </row>
    <row r="88" spans="3:12" x14ac:dyDescent="0.3">
      <c r="C88" s="8"/>
      <c r="D88" s="8"/>
      <c r="H88">
        <v>17</v>
      </c>
      <c r="I88" s="12">
        <f t="shared" si="18"/>
        <v>906069.53777609614</v>
      </c>
      <c r="J88" s="5">
        <f t="shared" si="19"/>
        <v>1284437.0551723698</v>
      </c>
      <c r="K88" s="6">
        <f t="shared" si="20"/>
        <v>2190506.5929484661</v>
      </c>
      <c r="L88" s="12">
        <f t="shared" si="21"/>
        <v>32211664.156513255</v>
      </c>
    </row>
    <row r="89" spans="3:12" x14ac:dyDescent="0.3">
      <c r="C89" s="8"/>
      <c r="D89" s="8"/>
      <c r="H89">
        <v>18</v>
      </c>
      <c r="I89" s="12">
        <f t="shared" si="18"/>
        <v>871325.51543368364</v>
      </c>
      <c r="J89" s="5">
        <f t="shared" si="19"/>
        <v>1319181.0775147825</v>
      </c>
      <c r="K89" s="6">
        <f t="shared" si="20"/>
        <v>2190506.5929484661</v>
      </c>
      <c r="L89" s="12">
        <f t="shared" si="21"/>
        <v>30892483.078998473</v>
      </c>
    </row>
    <row r="90" spans="3:12" x14ac:dyDescent="0.3">
      <c r="C90" s="8"/>
      <c r="D90" s="8"/>
      <c r="H90">
        <v>19</v>
      </c>
      <c r="I90" s="12">
        <f t="shared" si="18"/>
        <v>835641.66728690872</v>
      </c>
      <c r="J90" s="5">
        <f t="shared" si="19"/>
        <v>1354864.9256615574</v>
      </c>
      <c r="K90" s="6">
        <f t="shared" si="20"/>
        <v>2190506.5929484661</v>
      </c>
      <c r="L90" s="12">
        <f t="shared" si="21"/>
        <v>29537618.153336916</v>
      </c>
    </row>
    <row r="91" spans="3:12" x14ac:dyDescent="0.3">
      <c r="C91" s="8"/>
      <c r="D91" s="8"/>
      <c r="H91" s="13">
        <v>20</v>
      </c>
      <c r="I91" s="12">
        <f t="shared" si="18"/>
        <v>798992.57104776357</v>
      </c>
      <c r="J91" s="5">
        <f t="shared" si="19"/>
        <v>1391514.0219007025</v>
      </c>
      <c r="K91" s="6">
        <f t="shared" si="20"/>
        <v>2190506.5929484661</v>
      </c>
      <c r="L91" s="12">
        <f t="shared" si="21"/>
        <v>28146104.131436214</v>
      </c>
    </row>
    <row r="92" spans="3:12" x14ac:dyDescent="0.3">
      <c r="C92" s="8"/>
      <c r="D92" s="8"/>
      <c r="H92">
        <v>21</v>
      </c>
      <c r="I92" s="12">
        <f t="shared" si="18"/>
        <v>761352.11675534956</v>
      </c>
      <c r="J92" s="5">
        <f t="shared" si="19"/>
        <v>1429154.4761931165</v>
      </c>
      <c r="K92" s="6">
        <f t="shared" si="20"/>
        <v>2190506.5929484661</v>
      </c>
      <c r="L92" s="12">
        <f t="shared" si="21"/>
        <v>26716949.655243099</v>
      </c>
    </row>
    <row r="93" spans="3:12" x14ac:dyDescent="0.3">
      <c r="C93" s="8"/>
      <c r="D93" s="8"/>
      <c r="H93">
        <v>22</v>
      </c>
      <c r="I93" s="12">
        <f t="shared" si="18"/>
        <v>722693.4881743259</v>
      </c>
      <c r="J93" s="5">
        <f t="shared" si="19"/>
        <v>1467813.1047741403</v>
      </c>
      <c r="K93" s="6">
        <f t="shared" si="20"/>
        <v>2190506.5929484661</v>
      </c>
      <c r="L93" s="12">
        <f t="shared" si="21"/>
        <v>25249136.550468959</v>
      </c>
    </row>
    <row r="94" spans="3:12" x14ac:dyDescent="0.3">
      <c r="C94" s="8"/>
      <c r="D94" s="8"/>
      <c r="H94">
        <v>23</v>
      </c>
      <c r="I94" s="12">
        <f t="shared" si="18"/>
        <v>682989.14369018539</v>
      </c>
      <c r="J94" s="5">
        <f t="shared" si="19"/>
        <v>1507517.4492582807</v>
      </c>
      <c r="K94" s="6">
        <f t="shared" si="20"/>
        <v>2190506.5929484661</v>
      </c>
      <c r="L94" s="12">
        <f t="shared" si="21"/>
        <v>23741619.10121068</v>
      </c>
    </row>
    <row r="95" spans="3:12" x14ac:dyDescent="0.3">
      <c r="C95" s="8"/>
      <c r="D95" s="8"/>
      <c r="H95">
        <v>24</v>
      </c>
      <c r="I95" s="12">
        <f t="shared" si="18"/>
        <v>642210.79668774887</v>
      </c>
      <c r="J95" s="5">
        <f t="shared" si="19"/>
        <v>1548295.7962607173</v>
      </c>
      <c r="K95" s="6">
        <f t="shared" si="20"/>
        <v>2190506.5929484661</v>
      </c>
      <c r="L95" s="12">
        <f t="shared" si="21"/>
        <v>22193323.304949962</v>
      </c>
    </row>
    <row r="96" spans="3:12" x14ac:dyDescent="0.3">
      <c r="C96" s="8"/>
      <c r="D96" s="8"/>
      <c r="H96" s="13">
        <v>25</v>
      </c>
      <c r="I96" s="12">
        <f t="shared" si="18"/>
        <v>600329.39539889654</v>
      </c>
      <c r="J96" s="5">
        <f t="shared" si="19"/>
        <v>1590177.1975495694</v>
      </c>
      <c r="K96" s="6">
        <f t="shared" si="20"/>
        <v>2190506.5929484661</v>
      </c>
      <c r="L96" s="12">
        <f t="shared" si="21"/>
        <v>20603146.107400391</v>
      </c>
    </row>
    <row r="97" spans="3:13" x14ac:dyDescent="0.3">
      <c r="C97" s="8"/>
      <c r="D97" s="8"/>
      <c r="H97">
        <v>26</v>
      </c>
      <c r="I97" s="12">
        <f t="shared" si="18"/>
        <v>557315.10220518056</v>
      </c>
      <c r="J97" s="5">
        <f t="shared" si="19"/>
        <v>1633191.4907432855</v>
      </c>
      <c r="K97" s="6">
        <f t="shared" si="20"/>
        <v>2190506.5929484661</v>
      </c>
      <c r="L97" s="12">
        <f t="shared" si="21"/>
        <v>18969954.616657104</v>
      </c>
    </row>
    <row r="98" spans="3:13" x14ac:dyDescent="0.3">
      <c r="C98" s="8"/>
      <c r="D98" s="8"/>
      <c r="H98">
        <v>27</v>
      </c>
      <c r="I98" s="12">
        <f t="shared" si="18"/>
        <v>513137.27238057472</v>
      </c>
      <c r="J98" s="5">
        <f t="shared" si="19"/>
        <v>1677369.3205678915</v>
      </c>
      <c r="K98" s="6">
        <f t="shared" si="20"/>
        <v>2190506.5929484661</v>
      </c>
      <c r="L98" s="12">
        <f t="shared" si="21"/>
        <v>17292585.296089213</v>
      </c>
    </row>
    <row r="99" spans="3:13" x14ac:dyDescent="0.3">
      <c r="C99" s="8"/>
      <c r="D99" s="8"/>
      <c r="H99">
        <v>28</v>
      </c>
      <c r="I99" s="12">
        <f t="shared" si="18"/>
        <v>467764.43225921324</v>
      </c>
      <c r="J99" s="5">
        <f t="shared" si="19"/>
        <v>1722742.1606892529</v>
      </c>
      <c r="K99" s="6">
        <f t="shared" si="20"/>
        <v>2190506.5929484661</v>
      </c>
      <c r="L99" s="12">
        <f t="shared" si="21"/>
        <v>15569843.13539996</v>
      </c>
    </row>
    <row r="100" spans="3:13" x14ac:dyDescent="0.3">
      <c r="C100" s="8"/>
      <c r="D100" s="8"/>
      <c r="H100">
        <v>29</v>
      </c>
      <c r="I100" s="12">
        <f t="shared" si="18"/>
        <v>421164.25681256893</v>
      </c>
      <c r="J100" s="5">
        <f t="shared" si="19"/>
        <v>1769342.3361358971</v>
      </c>
      <c r="K100" s="6">
        <f t="shared" si="20"/>
        <v>2190506.5929484661</v>
      </c>
      <c r="L100" s="12">
        <f t="shared" si="21"/>
        <v>13800500.799264062</v>
      </c>
    </row>
    <row r="101" spans="3:13" x14ac:dyDescent="0.3">
      <c r="C101" s="8"/>
      <c r="D101" s="8"/>
      <c r="H101" s="13">
        <v>30</v>
      </c>
      <c r="I101" s="12">
        <f t="shared" si="18"/>
        <v>373303.54662009288</v>
      </c>
      <c r="J101" s="5">
        <f t="shared" si="19"/>
        <v>2317203.0463283733</v>
      </c>
      <c r="K101" s="6">
        <v>2690506.5929484661</v>
      </c>
      <c r="L101" s="16">
        <f t="shared" si="21"/>
        <v>11483297.752935689</v>
      </c>
      <c r="M101" s="5">
        <f>PMT(I66,6,-L101)</f>
        <v>2099108.271797182</v>
      </c>
    </row>
    <row r="102" spans="3:13" x14ac:dyDescent="0.3">
      <c r="C102" s="8"/>
      <c r="D102" s="8"/>
      <c r="H102">
        <v>31</v>
      </c>
      <c r="I102" s="12">
        <f t="shared" si="18"/>
        <v>310623.20421691041</v>
      </c>
      <c r="J102" s="5">
        <f t="shared" si="19"/>
        <v>1788485.0675802715</v>
      </c>
      <c r="K102" s="6">
        <f>$M$101</f>
        <v>2099108.271797182</v>
      </c>
      <c r="L102" s="12">
        <f t="shared" si="21"/>
        <v>9694812.6853554174</v>
      </c>
    </row>
    <row r="103" spans="3:13" x14ac:dyDescent="0.3">
      <c r="C103" s="8"/>
      <c r="D103" s="8"/>
      <c r="H103">
        <v>32</v>
      </c>
      <c r="I103" s="12">
        <f t="shared" si="18"/>
        <v>262244.68313886406</v>
      </c>
      <c r="J103" s="5">
        <f t="shared" si="19"/>
        <v>1836863.5886583179</v>
      </c>
      <c r="K103" s="6">
        <f t="shared" ref="K103:K107" si="22">$M$101</f>
        <v>2099108.271797182</v>
      </c>
      <c r="L103" s="12">
        <f t="shared" si="21"/>
        <v>7857949.0966970995</v>
      </c>
    </row>
    <row r="104" spans="3:13" x14ac:dyDescent="0.3">
      <c r="C104" s="8"/>
      <c r="D104" s="8"/>
      <c r="H104">
        <v>33</v>
      </c>
      <c r="I104" s="12">
        <f t="shared" si="18"/>
        <v>212557.52306565654</v>
      </c>
      <c r="J104" s="5">
        <f t="shared" si="19"/>
        <v>1886550.7487315256</v>
      </c>
      <c r="K104" s="6">
        <f t="shared" si="22"/>
        <v>2099108.271797182</v>
      </c>
      <c r="L104" s="12">
        <f t="shared" si="21"/>
        <v>5971398.3479655739</v>
      </c>
    </row>
    <row r="105" spans="3:13" x14ac:dyDescent="0.3">
      <c r="C105" s="8"/>
      <c r="D105" s="8"/>
      <c r="H105">
        <v>34</v>
      </c>
      <c r="I105" s="12">
        <f t="shared" si="18"/>
        <v>161526.32531246878</v>
      </c>
      <c r="J105" s="5">
        <f t="shared" si="19"/>
        <v>1937581.9464847133</v>
      </c>
      <c r="K105" s="6">
        <f t="shared" si="22"/>
        <v>2099108.271797182</v>
      </c>
      <c r="L105" s="12">
        <f t="shared" si="21"/>
        <v>4033816.4014808605</v>
      </c>
    </row>
    <row r="106" spans="3:13" x14ac:dyDescent="0.3">
      <c r="C106" s="8"/>
      <c r="D106" s="8"/>
      <c r="H106" s="13">
        <v>35</v>
      </c>
      <c r="I106" s="12">
        <f t="shared" si="18"/>
        <v>109114.73366005729</v>
      </c>
      <c r="J106" s="5">
        <f t="shared" si="19"/>
        <v>1989993.5381371249</v>
      </c>
      <c r="K106" s="6">
        <f t="shared" si="22"/>
        <v>2099108.271797182</v>
      </c>
      <c r="L106" s="12">
        <f t="shared" si="21"/>
        <v>2043822.8633437357</v>
      </c>
    </row>
    <row r="107" spans="3:13" x14ac:dyDescent="0.3">
      <c r="C107" s="8"/>
      <c r="D107" s="8"/>
      <c r="H107">
        <v>36</v>
      </c>
      <c r="I107" s="12">
        <f t="shared" si="18"/>
        <v>55285.40845344805</v>
      </c>
      <c r="J107" s="5">
        <f t="shared" si="19"/>
        <v>2043822.8633437341</v>
      </c>
      <c r="K107" s="6">
        <f t="shared" si="22"/>
        <v>2099108.271797182</v>
      </c>
      <c r="L107" s="12">
        <f t="shared" si="21"/>
        <v>0</v>
      </c>
    </row>
    <row r="108" spans="3:13" x14ac:dyDescent="0.3">
      <c r="C108" s="8"/>
      <c r="D108" s="8"/>
    </row>
    <row r="109" spans="3:13" x14ac:dyDescent="0.3">
      <c r="C109" s="8"/>
      <c r="D109" s="8"/>
    </row>
    <row r="110" spans="3:13" x14ac:dyDescent="0.3">
      <c r="C110" s="8"/>
      <c r="D110" s="8"/>
    </row>
    <row r="111" spans="3:13" x14ac:dyDescent="0.3">
      <c r="C111" s="8"/>
      <c r="D111" s="8"/>
    </row>
    <row r="112" spans="3:13" x14ac:dyDescent="0.3">
      <c r="C112" s="8"/>
      <c r="D112" s="8"/>
    </row>
    <row r="113" spans="3:4" x14ac:dyDescent="0.3">
      <c r="C113" s="8"/>
      <c r="D113" s="8"/>
    </row>
    <row r="114" spans="3:4" x14ac:dyDescent="0.3">
      <c r="C114" s="8"/>
      <c r="D114" s="8"/>
    </row>
    <row r="115" spans="3:4" x14ac:dyDescent="0.3">
      <c r="C115" s="8"/>
      <c r="D115" s="8"/>
    </row>
    <row r="116" spans="3:4" x14ac:dyDescent="0.3">
      <c r="C116" s="8"/>
      <c r="D116" s="8"/>
    </row>
    <row r="117" spans="3:4" x14ac:dyDescent="0.3">
      <c r="C117" s="8"/>
      <c r="D117" s="8"/>
    </row>
    <row r="118" spans="3:4" x14ac:dyDescent="0.3">
      <c r="C118" s="8"/>
      <c r="D118" s="8"/>
    </row>
    <row r="119" spans="3:4" x14ac:dyDescent="0.3">
      <c r="C119" s="8"/>
      <c r="D119" s="8"/>
    </row>
    <row r="120" spans="3:4" x14ac:dyDescent="0.3">
      <c r="C120" s="8"/>
      <c r="D120" s="8"/>
    </row>
    <row r="121" spans="3:4" x14ac:dyDescent="0.3">
      <c r="C121" s="8"/>
      <c r="D121" s="8"/>
    </row>
    <row r="122" spans="3:4" x14ac:dyDescent="0.3">
      <c r="C122" s="8"/>
      <c r="D122" s="8"/>
    </row>
    <row r="123" spans="3:4" x14ac:dyDescent="0.3">
      <c r="C123" s="8"/>
      <c r="D123" s="8"/>
    </row>
    <row r="124" spans="3:4" x14ac:dyDescent="0.3">
      <c r="C124" s="8"/>
      <c r="D124" s="8"/>
    </row>
    <row r="125" spans="3:4" x14ac:dyDescent="0.3">
      <c r="C125" s="8"/>
      <c r="D125" s="8"/>
    </row>
    <row r="126" spans="3:4" x14ac:dyDescent="0.3">
      <c r="C126" s="8"/>
      <c r="D126" s="8"/>
    </row>
    <row r="127" spans="3:4" x14ac:dyDescent="0.3">
      <c r="C127" s="8"/>
      <c r="D127" s="8"/>
    </row>
    <row r="128" spans="3:4" x14ac:dyDescent="0.3">
      <c r="C128" s="8"/>
      <c r="D128" s="8"/>
    </row>
    <row r="129" spans="3:4" x14ac:dyDescent="0.3">
      <c r="C129" s="8"/>
      <c r="D129" s="8"/>
    </row>
    <row r="130" spans="3:4" x14ac:dyDescent="0.3">
      <c r="C130" s="8"/>
      <c r="D130" s="8"/>
    </row>
    <row r="131" spans="3:4" x14ac:dyDescent="0.3">
      <c r="C131" s="8"/>
      <c r="D131" s="8"/>
    </row>
    <row r="132" spans="3:4" x14ac:dyDescent="0.3">
      <c r="C132" s="8"/>
      <c r="D132" s="8"/>
    </row>
    <row r="133" spans="3:4" x14ac:dyDescent="0.3">
      <c r="C133" s="8"/>
      <c r="D133" s="8"/>
    </row>
    <row r="134" spans="3:4" x14ac:dyDescent="0.3">
      <c r="C134" s="8"/>
      <c r="D134" s="8"/>
    </row>
    <row r="135" spans="3:4" x14ac:dyDescent="0.3">
      <c r="C135" s="8"/>
      <c r="D135" s="8"/>
    </row>
    <row r="136" spans="3:4" x14ac:dyDescent="0.3">
      <c r="C136" s="8"/>
      <c r="D136" s="8"/>
    </row>
    <row r="137" spans="3:4" x14ac:dyDescent="0.3">
      <c r="C137" s="8"/>
      <c r="D137" s="8"/>
    </row>
    <row r="138" spans="3:4" x14ac:dyDescent="0.3">
      <c r="C138" s="8"/>
      <c r="D138" s="8"/>
    </row>
    <row r="139" spans="3:4" x14ac:dyDescent="0.3">
      <c r="C139" s="8"/>
      <c r="D139" s="8"/>
    </row>
    <row r="140" spans="3:4" x14ac:dyDescent="0.3">
      <c r="C140" s="8"/>
      <c r="D140" s="8"/>
    </row>
    <row r="141" spans="3:4" x14ac:dyDescent="0.3">
      <c r="C141" s="8"/>
      <c r="D141" s="8"/>
    </row>
    <row r="142" spans="3:4" x14ac:dyDescent="0.3">
      <c r="C142" s="8"/>
      <c r="D142" s="8"/>
    </row>
    <row r="143" spans="3:4" x14ac:dyDescent="0.3">
      <c r="C143" s="8"/>
      <c r="D143" s="8"/>
    </row>
    <row r="144" spans="3:4" x14ac:dyDescent="0.3">
      <c r="C144" s="8"/>
      <c r="D144" s="8"/>
    </row>
    <row r="145" spans="3:4" x14ac:dyDescent="0.3">
      <c r="C145" s="8"/>
      <c r="D145" s="8"/>
    </row>
    <row r="146" spans="3:4" x14ac:dyDescent="0.3">
      <c r="C146" s="8"/>
      <c r="D146" s="8"/>
    </row>
    <row r="147" spans="3:4" x14ac:dyDescent="0.3">
      <c r="C147" s="8"/>
      <c r="D147" s="8"/>
    </row>
    <row r="148" spans="3:4" x14ac:dyDescent="0.3">
      <c r="C148" s="8"/>
      <c r="D148" s="8"/>
    </row>
    <row r="149" spans="3:4" x14ac:dyDescent="0.3">
      <c r="C149" s="8"/>
      <c r="D149" s="8"/>
    </row>
    <row r="150" spans="3:4" x14ac:dyDescent="0.3">
      <c r="C150" s="8"/>
      <c r="D150" s="8"/>
    </row>
    <row r="151" spans="3:4" x14ac:dyDescent="0.3">
      <c r="C151" s="8"/>
      <c r="D151" s="8"/>
    </row>
    <row r="152" spans="3:4" x14ac:dyDescent="0.3">
      <c r="C152" s="8"/>
      <c r="D152" s="8"/>
    </row>
    <row r="153" spans="3:4" x14ac:dyDescent="0.3">
      <c r="C153" s="8"/>
      <c r="D153" s="8"/>
    </row>
    <row r="154" spans="3:4" x14ac:dyDescent="0.3">
      <c r="C154" s="8"/>
      <c r="D154" s="8"/>
    </row>
    <row r="155" spans="3:4" x14ac:dyDescent="0.3">
      <c r="C155" s="8"/>
      <c r="D155" s="8"/>
    </row>
    <row r="156" spans="3:4" x14ac:dyDescent="0.3">
      <c r="C156" s="8"/>
      <c r="D156" s="8"/>
    </row>
    <row r="157" spans="3:4" x14ac:dyDescent="0.3">
      <c r="C157" s="8"/>
      <c r="D157" s="8"/>
    </row>
    <row r="158" spans="3:4" x14ac:dyDescent="0.3">
      <c r="C158" s="8"/>
      <c r="D158" s="8"/>
    </row>
    <row r="159" spans="3:4" x14ac:dyDescent="0.3">
      <c r="C159" s="8"/>
      <c r="D159" s="8"/>
    </row>
    <row r="160" spans="3:4" x14ac:dyDescent="0.3">
      <c r="C160" s="8"/>
      <c r="D160" s="8"/>
    </row>
    <row r="161" spans="3:4" x14ac:dyDescent="0.3">
      <c r="C161" s="8"/>
      <c r="D161" s="8"/>
    </row>
    <row r="162" spans="3:4" x14ac:dyDescent="0.3">
      <c r="C162" s="8"/>
      <c r="D162" s="8"/>
    </row>
    <row r="163" spans="3:4" x14ac:dyDescent="0.3">
      <c r="C163" s="8"/>
      <c r="D163" s="8"/>
    </row>
    <row r="164" spans="3:4" x14ac:dyDescent="0.3">
      <c r="C164" s="8"/>
      <c r="D164" s="8"/>
    </row>
    <row r="165" spans="3:4" x14ac:dyDescent="0.3">
      <c r="C165" s="8"/>
      <c r="D165" s="8"/>
    </row>
    <row r="166" spans="3:4" x14ac:dyDescent="0.3">
      <c r="C166" s="8"/>
      <c r="D166" s="8"/>
    </row>
    <row r="167" spans="3:4" x14ac:dyDescent="0.3">
      <c r="C167" s="8"/>
      <c r="D167" s="8"/>
    </row>
    <row r="168" spans="3:4" x14ac:dyDescent="0.3">
      <c r="C168" s="8"/>
      <c r="D168" s="8"/>
    </row>
    <row r="169" spans="3:4" x14ac:dyDescent="0.3">
      <c r="C169" s="8"/>
      <c r="D169" s="8"/>
    </row>
    <row r="170" spans="3:4" x14ac:dyDescent="0.3">
      <c r="C170" s="8"/>
      <c r="D170" s="8"/>
    </row>
    <row r="171" spans="3:4" x14ac:dyDescent="0.3">
      <c r="C171" s="8"/>
      <c r="D171" s="8"/>
    </row>
    <row r="172" spans="3:4" x14ac:dyDescent="0.3">
      <c r="C172" s="8"/>
      <c r="D172" s="8"/>
    </row>
    <row r="173" spans="3:4" x14ac:dyDescent="0.3">
      <c r="C173" s="8"/>
      <c r="D173" s="8"/>
    </row>
    <row r="174" spans="3:4" x14ac:dyDescent="0.3">
      <c r="C174" s="8"/>
      <c r="D174" s="8"/>
    </row>
    <row r="175" spans="3:4" x14ac:dyDescent="0.3">
      <c r="C175" s="8"/>
      <c r="D175" s="8"/>
    </row>
    <row r="176" spans="3:4" x14ac:dyDescent="0.3">
      <c r="C176" s="8"/>
      <c r="D176" s="8"/>
    </row>
    <row r="177" spans="3:4" x14ac:dyDescent="0.3">
      <c r="C177" s="8"/>
      <c r="D177" s="8"/>
    </row>
    <row r="178" spans="3:4" x14ac:dyDescent="0.3">
      <c r="C178" s="8"/>
      <c r="D178" s="8"/>
    </row>
    <row r="179" spans="3:4" x14ac:dyDescent="0.3">
      <c r="C179" s="8"/>
      <c r="D179" s="8"/>
    </row>
    <row r="180" spans="3:4" x14ac:dyDescent="0.3">
      <c r="C180" s="8"/>
      <c r="D180" s="8"/>
    </row>
    <row r="181" spans="3:4" x14ac:dyDescent="0.3">
      <c r="C181" s="8"/>
      <c r="D181" s="8"/>
    </row>
    <row r="182" spans="3:4" x14ac:dyDescent="0.3">
      <c r="C182" s="8"/>
      <c r="D182" s="8"/>
    </row>
    <row r="183" spans="3:4" x14ac:dyDescent="0.3">
      <c r="C183" s="8"/>
      <c r="D183" s="8"/>
    </row>
    <row r="184" spans="3:4" x14ac:dyDescent="0.3">
      <c r="C184" s="8"/>
      <c r="D184" s="8"/>
    </row>
    <row r="185" spans="3:4" x14ac:dyDescent="0.3">
      <c r="C185" s="8"/>
      <c r="D185" s="8"/>
    </row>
    <row r="186" spans="3:4" x14ac:dyDescent="0.3">
      <c r="C186" s="8"/>
      <c r="D186" s="8"/>
    </row>
    <row r="187" spans="3:4" x14ac:dyDescent="0.3">
      <c r="C187" s="8"/>
      <c r="D187" s="8"/>
    </row>
    <row r="188" spans="3:4" x14ac:dyDescent="0.3">
      <c r="C188" s="8"/>
      <c r="D188" s="8"/>
    </row>
    <row r="189" spans="3:4" x14ac:dyDescent="0.3">
      <c r="C189" s="8"/>
      <c r="D189" s="8"/>
    </row>
    <row r="190" spans="3:4" x14ac:dyDescent="0.3">
      <c r="C190" s="8"/>
      <c r="D190" s="8"/>
    </row>
    <row r="191" spans="3:4" x14ac:dyDescent="0.3">
      <c r="C191" s="8"/>
      <c r="D191" s="8"/>
    </row>
    <row r="192" spans="3:4" x14ac:dyDescent="0.3">
      <c r="C192" s="8"/>
      <c r="D192" s="8"/>
    </row>
    <row r="193" spans="3:4" x14ac:dyDescent="0.3">
      <c r="C193" s="8"/>
      <c r="D193" s="8"/>
    </row>
    <row r="194" spans="3:4" x14ac:dyDescent="0.3">
      <c r="C194" s="8"/>
      <c r="D194" s="8"/>
    </row>
    <row r="195" spans="3:4" x14ac:dyDescent="0.3">
      <c r="C195" s="8"/>
      <c r="D195" s="8"/>
    </row>
    <row r="196" spans="3:4" x14ac:dyDescent="0.3">
      <c r="C196" s="8"/>
      <c r="D196" s="8"/>
    </row>
  </sheetData>
  <pageMargins left="0.7" right="0.7" top="0.75" bottom="0.75" header="0.3" footer="0.3"/>
  <pageSetup paperSize="9" orientation="portrait" r:id="rId1"/>
  <ignoredErrors>
    <ignoredError sqref="D37 D35 D31 D28 D26" formula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BC736-4416-4A9D-A190-EF65A620A280}">
  <dimension ref="A1:H27"/>
  <sheetViews>
    <sheetView topLeftCell="A11" workbookViewId="0">
      <selection activeCell="H25" sqref="H25"/>
    </sheetView>
  </sheetViews>
  <sheetFormatPr baseColWidth="10" defaultRowHeight="14.4" x14ac:dyDescent="0.3"/>
  <sheetData>
    <row r="1" spans="1:6" x14ac:dyDescent="0.3">
      <c r="B1" t="s">
        <v>53</v>
      </c>
      <c r="F1" t="s">
        <v>56</v>
      </c>
    </row>
    <row r="2" spans="1:6" x14ac:dyDescent="0.3">
      <c r="B2" t="s">
        <v>54</v>
      </c>
      <c r="F2" t="s">
        <v>57</v>
      </c>
    </row>
    <row r="3" spans="1:6" x14ac:dyDescent="0.3">
      <c r="B3" t="s">
        <v>55</v>
      </c>
    </row>
    <row r="5" spans="1:6" x14ac:dyDescent="0.3">
      <c r="A5" t="s">
        <v>58</v>
      </c>
      <c r="B5" t="s">
        <v>9</v>
      </c>
    </row>
    <row r="6" spans="1:6" x14ac:dyDescent="0.3">
      <c r="A6" t="s">
        <v>59</v>
      </c>
      <c r="B6" s="3">
        <v>1.4999999999999999E-2</v>
      </c>
    </row>
    <row r="7" spans="1:6" x14ac:dyDescent="0.3">
      <c r="A7" t="s">
        <v>61</v>
      </c>
      <c r="B7" s="3">
        <f>B6*6</f>
        <v>0.09</v>
      </c>
      <c r="C7" t="s">
        <v>62</v>
      </c>
    </row>
    <row r="8" spans="1:6" x14ac:dyDescent="0.3">
      <c r="A8" t="s">
        <v>60</v>
      </c>
      <c r="B8" s="3">
        <f>EFFECT(B7,6)</f>
        <v>9.3443263942639687E-2</v>
      </c>
    </row>
    <row r="10" spans="1:6" x14ac:dyDescent="0.3">
      <c r="A10" t="s">
        <v>63</v>
      </c>
      <c r="B10" s="4">
        <v>0.18</v>
      </c>
    </row>
    <row r="11" spans="1:6" x14ac:dyDescent="0.3">
      <c r="A11" t="s">
        <v>64</v>
      </c>
      <c r="B11" s="3">
        <f>NOMINAL(B10,4)/4</f>
        <v>4.2246635456321124E-2</v>
      </c>
    </row>
    <row r="13" spans="1:6" x14ac:dyDescent="0.3">
      <c r="A13" t="s">
        <v>63</v>
      </c>
      <c r="B13" s="2">
        <v>0.15</v>
      </c>
    </row>
    <row r="14" spans="1:6" x14ac:dyDescent="0.3">
      <c r="A14" t="s">
        <v>65</v>
      </c>
      <c r="B14" s="3">
        <f>NOMINAL(B13,360)</f>
        <v>0.13978907560928455</v>
      </c>
    </row>
    <row r="15" spans="1:6" x14ac:dyDescent="0.3">
      <c r="A15" t="s">
        <v>66</v>
      </c>
      <c r="B15" s="3">
        <f>B14/360</f>
        <v>3.883029878035682E-4</v>
      </c>
    </row>
    <row r="16" spans="1:6" x14ac:dyDescent="0.3">
      <c r="A16" t="s">
        <v>68</v>
      </c>
      <c r="B16" s="3">
        <f>B15*350</f>
        <v>0.13590604573124887</v>
      </c>
    </row>
    <row r="17" spans="1:8" x14ac:dyDescent="0.3">
      <c r="A17" t="s">
        <v>67</v>
      </c>
      <c r="B17" s="3">
        <f>EFFECT(B16,350)</f>
        <v>0.14554403763129597</v>
      </c>
    </row>
    <row r="19" spans="1:8" x14ac:dyDescent="0.3">
      <c r="A19" t="s">
        <v>69</v>
      </c>
      <c r="B19" s="2">
        <v>0.125</v>
      </c>
      <c r="C19" s="3">
        <f>B19/3</f>
        <v>4.1666666666666664E-2</v>
      </c>
      <c r="D19" t="s">
        <v>59</v>
      </c>
    </row>
    <row r="20" spans="1:8" x14ac:dyDescent="0.3">
      <c r="A20" t="s">
        <v>64</v>
      </c>
      <c r="B20" s="3">
        <f>EFFECT(B19,3)</f>
        <v>0.1302806712962965</v>
      </c>
      <c r="C20" s="3">
        <f>C19*12</f>
        <v>0.5</v>
      </c>
      <c r="D20" t="s">
        <v>71</v>
      </c>
    </row>
    <row r="21" spans="1:8" x14ac:dyDescent="0.3">
      <c r="A21" t="s">
        <v>70</v>
      </c>
      <c r="B21" s="3">
        <f>B20*4</f>
        <v>0.52112268518518601</v>
      </c>
      <c r="C21" s="3">
        <f>EFFECT(C20,12)</f>
        <v>0.63209413272292592</v>
      </c>
      <c r="D21" t="s">
        <v>63</v>
      </c>
    </row>
    <row r="22" spans="1:8" x14ac:dyDescent="0.3">
      <c r="C22" s="3">
        <f>NOMINAL(C21,4)</f>
        <v>0.52112268518518601</v>
      </c>
      <c r="D22" t="s">
        <v>70</v>
      </c>
    </row>
    <row r="24" spans="1:8" x14ac:dyDescent="0.3">
      <c r="A24" t="s">
        <v>72</v>
      </c>
      <c r="B24" s="4">
        <v>0.15</v>
      </c>
      <c r="C24" t="s">
        <v>73</v>
      </c>
      <c r="D24" s="4">
        <v>0.15</v>
      </c>
      <c r="E24" t="s">
        <v>69</v>
      </c>
      <c r="F24" s="2">
        <v>0.09</v>
      </c>
      <c r="G24" t="s">
        <v>74</v>
      </c>
      <c r="H24" s="4">
        <v>0.03</v>
      </c>
    </row>
    <row r="25" spans="1:8" x14ac:dyDescent="0.3">
      <c r="A25" t="s">
        <v>60</v>
      </c>
      <c r="B25" s="18">
        <f>EFFECT(B24,2)</f>
        <v>0.1556249999999999</v>
      </c>
      <c r="C25" t="s">
        <v>60</v>
      </c>
      <c r="D25" s="17">
        <f>EFFECT(D24,360)</f>
        <v>0.1617979460574055</v>
      </c>
      <c r="E25" t="s">
        <v>59</v>
      </c>
      <c r="F25" s="3">
        <f>F24/3</f>
        <v>0.03</v>
      </c>
      <c r="G25" t="s">
        <v>59</v>
      </c>
      <c r="H25">
        <f>EFFECT(H24,2)</f>
        <v>3.0224999999999724E-2</v>
      </c>
    </row>
    <row r="26" spans="1:8" x14ac:dyDescent="0.3">
      <c r="E26" t="s">
        <v>61</v>
      </c>
      <c r="F26" s="3">
        <f>F25*6</f>
        <v>0.18</v>
      </c>
      <c r="G26" t="s">
        <v>61</v>
      </c>
      <c r="H26" s="3">
        <f>H25*6</f>
        <v>0.18134999999999835</v>
      </c>
    </row>
    <row r="27" spans="1:8" x14ac:dyDescent="0.3">
      <c r="E27" t="s">
        <v>60</v>
      </c>
      <c r="F27" s="17">
        <f>EFFECT(F26,6)</f>
        <v>0.19405229652899991</v>
      </c>
      <c r="G27" t="s">
        <v>60</v>
      </c>
      <c r="H27" s="17">
        <f>EFFECT(H26,6)</f>
        <v>0.19561817146153326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F783D-64C3-454E-9771-0E0480BAE320}">
  <dimension ref="B1:K35"/>
  <sheetViews>
    <sheetView tabSelected="1" topLeftCell="A14" zoomScaleNormal="100" workbookViewId="0">
      <selection activeCell="I20" sqref="I20"/>
    </sheetView>
  </sheetViews>
  <sheetFormatPr baseColWidth="10" defaultRowHeight="14.4" x14ac:dyDescent="0.3"/>
  <cols>
    <col min="2" max="2" width="15.21875" customWidth="1"/>
    <col min="3" max="3" width="16.6640625" bestFit="1" customWidth="1"/>
    <col min="4" max="4" width="15.21875" customWidth="1"/>
    <col min="6" max="6" width="15.21875" customWidth="1"/>
    <col min="8" max="8" width="15.21875" customWidth="1"/>
  </cols>
  <sheetData>
    <row r="1" spans="2:11" ht="15" thickBot="1" x14ac:dyDescent="0.35">
      <c r="C1" s="19"/>
    </row>
    <row r="2" spans="2:11" ht="15" thickBot="1" x14ac:dyDescent="0.35">
      <c r="B2" s="27" t="s">
        <v>78</v>
      </c>
      <c r="C2" s="20" t="s">
        <v>76</v>
      </c>
    </row>
    <row r="3" spans="2:11" ht="15" thickBot="1" x14ac:dyDescent="0.35">
      <c r="B3" s="28"/>
      <c r="C3" s="21" t="s">
        <v>77</v>
      </c>
    </row>
    <row r="4" spans="2:11" ht="15" thickBot="1" x14ac:dyDescent="0.35"/>
    <row r="5" spans="2:11" ht="15" thickBot="1" x14ac:dyDescent="0.35">
      <c r="B5" s="27" t="s">
        <v>79</v>
      </c>
      <c r="C5" s="20" t="s">
        <v>81</v>
      </c>
    </row>
    <row r="6" spans="2:11" ht="15" thickBot="1" x14ac:dyDescent="0.35">
      <c r="B6" s="28"/>
      <c r="C6" s="21" t="s">
        <v>80</v>
      </c>
    </row>
    <row r="8" spans="2:11" x14ac:dyDescent="0.3">
      <c r="B8" s="30" t="s">
        <v>83</v>
      </c>
      <c r="C8" s="30"/>
      <c r="D8" s="29" t="s">
        <v>84</v>
      </c>
      <c r="E8" s="29"/>
      <c r="F8" s="29" t="s">
        <v>86</v>
      </c>
      <c r="G8" s="29"/>
      <c r="H8" s="29" t="s">
        <v>85</v>
      </c>
      <c r="I8" s="29"/>
    </row>
    <row r="9" spans="2:11" x14ac:dyDescent="0.3">
      <c r="B9" t="s">
        <v>82</v>
      </c>
      <c r="C9" s="2">
        <v>0.30249999999999999</v>
      </c>
      <c r="D9" t="s">
        <v>87</v>
      </c>
      <c r="E9" s="2">
        <v>0.16</v>
      </c>
      <c r="F9" t="s">
        <v>63</v>
      </c>
      <c r="G9" s="22">
        <v>0.35</v>
      </c>
      <c r="H9" t="s">
        <v>88</v>
      </c>
      <c r="I9" s="2">
        <v>2.8000000000000001E-2</v>
      </c>
    </row>
    <row r="10" spans="2:11" x14ac:dyDescent="0.3">
      <c r="B10" t="s">
        <v>89</v>
      </c>
      <c r="C10" s="3">
        <f>C9/4</f>
        <v>7.5624999999999998E-2</v>
      </c>
      <c r="D10" s="3" t="s">
        <v>60</v>
      </c>
      <c r="E10" s="3">
        <f>EFFECT(E9,3)</f>
        <v>0.16868503703703674</v>
      </c>
      <c r="F10" s="3"/>
      <c r="G10" s="3"/>
      <c r="H10" s="3" t="s">
        <v>90</v>
      </c>
      <c r="I10" s="3">
        <f>I9/(1-I9)</f>
        <v>2.8806584362139918E-2</v>
      </c>
    </row>
    <row r="11" spans="2:11" x14ac:dyDescent="0.3">
      <c r="B11" t="s">
        <v>64</v>
      </c>
      <c r="C11" s="3">
        <f>C10/(1-C10)</f>
        <v>8.1812035158891142E-2</v>
      </c>
      <c r="D11" s="3" t="s">
        <v>63</v>
      </c>
      <c r="E11" s="17">
        <f>EFFECT(E10*2,2)</f>
        <v>0.36582471579426001</v>
      </c>
      <c r="F11" s="3"/>
      <c r="G11" s="3"/>
      <c r="H11" s="3" t="s">
        <v>63</v>
      </c>
      <c r="I11" s="26">
        <f>EFFECT(I10*12,12)</f>
        <v>0.40606313204322553</v>
      </c>
    </row>
    <row r="12" spans="2:11" x14ac:dyDescent="0.3">
      <c r="B12" t="s">
        <v>63</v>
      </c>
      <c r="C12" s="17">
        <f>EFFECT(C11*4,4)</f>
        <v>0.36964253449644224</v>
      </c>
      <c r="D12" s="3"/>
      <c r="E12" s="3"/>
      <c r="F12" s="3"/>
      <c r="G12" s="3"/>
      <c r="H12" s="3"/>
      <c r="I12" s="3"/>
    </row>
    <row r="13" spans="2:11" x14ac:dyDescent="0.3">
      <c r="C13" s="3"/>
      <c r="D13" s="3"/>
      <c r="E13" s="3"/>
      <c r="F13" s="3"/>
      <c r="G13" s="3"/>
      <c r="H13" s="3"/>
      <c r="I13" s="3"/>
    </row>
    <row r="14" spans="2:11" x14ac:dyDescent="0.3">
      <c r="C14" s="3"/>
      <c r="D14" s="3"/>
      <c r="E14" s="3"/>
      <c r="F14" s="3"/>
      <c r="G14" s="3"/>
      <c r="H14" s="3"/>
      <c r="I14" s="3"/>
    </row>
    <row r="15" spans="2:11" x14ac:dyDescent="0.3">
      <c r="B15" t="s">
        <v>91</v>
      </c>
      <c r="C15" s="23">
        <v>0.35655100000000001</v>
      </c>
      <c r="D15" t="s">
        <v>61</v>
      </c>
      <c r="E15" s="23">
        <v>0.14560000000000001</v>
      </c>
      <c r="F15" t="s">
        <v>93</v>
      </c>
      <c r="G15" s="2">
        <v>2.64E-2</v>
      </c>
      <c r="H15" t="s">
        <v>89</v>
      </c>
      <c r="I15" s="2">
        <v>8.7800000000000003E-2</v>
      </c>
      <c r="J15" t="s">
        <v>94</v>
      </c>
      <c r="K15" s="2">
        <v>0.26479999999999998</v>
      </c>
    </row>
    <row r="16" spans="2:11" x14ac:dyDescent="0.3">
      <c r="B16" t="s">
        <v>92</v>
      </c>
      <c r="C16" s="2">
        <f>C15/6</f>
        <v>5.9425166666666668E-2</v>
      </c>
      <c r="D16" t="s">
        <v>59</v>
      </c>
      <c r="E16" s="2">
        <f>E15/6</f>
        <v>2.4266666666666669E-2</v>
      </c>
      <c r="F16" t="s">
        <v>59</v>
      </c>
      <c r="G16" s="2">
        <f>G15/(1-G15)</f>
        <v>2.7115858668857847E-2</v>
      </c>
      <c r="H16" t="s">
        <v>64</v>
      </c>
      <c r="I16" s="2">
        <f>I15/(1-I15)</f>
        <v>9.6250822188116647E-2</v>
      </c>
      <c r="J16" t="s">
        <v>63</v>
      </c>
      <c r="K16" s="17">
        <f>EFFECT(K15,360/50)</f>
        <v>0.29681898130694639</v>
      </c>
    </row>
    <row r="17" spans="2:9" x14ac:dyDescent="0.3">
      <c r="B17" t="s">
        <v>75</v>
      </c>
      <c r="C17" s="2">
        <f>C16/(1-C16)</f>
        <v>6.3179626501453284E-2</v>
      </c>
      <c r="D17" t="s">
        <v>63</v>
      </c>
      <c r="E17" s="24">
        <f>EFFECT(E16*12,12)</f>
        <v>0.33338778794609047</v>
      </c>
      <c r="F17" t="s">
        <v>63</v>
      </c>
      <c r="G17" s="26">
        <f>EFFECT(G16*12,12)</f>
        <v>0.3785839480009825</v>
      </c>
      <c r="H17" t="s">
        <v>63</v>
      </c>
      <c r="I17" s="17">
        <f>EFFECT(I16*4,4)</f>
        <v>0.44424119463521361</v>
      </c>
    </row>
    <row r="18" spans="2:9" x14ac:dyDescent="0.3">
      <c r="B18" t="s">
        <v>63</v>
      </c>
      <c r="C18" s="25">
        <f>EFFECT(C17*6,6)</f>
        <v>0.44424167987848118</v>
      </c>
    </row>
    <row r="21" spans="2:9" x14ac:dyDescent="0.3">
      <c r="B21" t="s">
        <v>95</v>
      </c>
      <c r="C21" s="3">
        <v>0.12696849935016022</v>
      </c>
      <c r="E21" t="s">
        <v>63</v>
      </c>
      <c r="F21" s="4">
        <v>0.3</v>
      </c>
    </row>
    <row r="22" spans="2:9" x14ac:dyDescent="0.3">
      <c r="B22" t="s">
        <v>89</v>
      </c>
      <c r="C22" s="3">
        <f>C21/2</f>
        <v>6.3484249675080109E-2</v>
      </c>
      <c r="E22" t="s">
        <v>64</v>
      </c>
      <c r="F22" s="3">
        <f>NOMINAL(F21,4)/4</f>
        <v>6.7789972372440888E-2</v>
      </c>
    </row>
    <row r="23" spans="2:9" x14ac:dyDescent="0.3">
      <c r="B23" t="s">
        <v>64</v>
      </c>
      <c r="C23" s="3">
        <f>C22/(1-C22)</f>
        <v>6.7787701010959545E-2</v>
      </c>
      <c r="E23" t="s">
        <v>89</v>
      </c>
      <c r="F23" s="2">
        <f>F22/(1+F22)</f>
        <v>6.3486241795119622E-2</v>
      </c>
    </row>
    <row r="24" spans="2:9" x14ac:dyDescent="0.3">
      <c r="B24" t="s">
        <v>63</v>
      </c>
      <c r="C24" s="17">
        <f>EFFECT(C23*4,4)</f>
        <v>0.29998893879665278</v>
      </c>
      <c r="E24" t="s">
        <v>95</v>
      </c>
      <c r="F24" s="17">
        <f>F23*2</f>
        <v>0.12697248359023924</v>
      </c>
    </row>
    <row r="25" spans="2:9" x14ac:dyDescent="0.3">
      <c r="D25" s="2"/>
    </row>
    <row r="27" spans="2:9" x14ac:dyDescent="0.3">
      <c r="B27" t="s">
        <v>96</v>
      </c>
      <c r="F27" t="s">
        <v>97</v>
      </c>
    </row>
    <row r="28" spans="2:9" x14ac:dyDescent="0.3">
      <c r="B28" t="s">
        <v>98</v>
      </c>
      <c r="C28" s="2">
        <v>4.8000000000000001E-2</v>
      </c>
      <c r="F28" t="s">
        <v>98</v>
      </c>
      <c r="G28" s="2">
        <v>4.8000000000000001E-2</v>
      </c>
    </row>
    <row r="29" spans="2:9" x14ac:dyDescent="0.3">
      <c r="B29" t="s">
        <v>99</v>
      </c>
      <c r="C29" s="2">
        <v>0.09</v>
      </c>
      <c r="F29" t="s">
        <v>100</v>
      </c>
      <c r="G29" s="2">
        <v>0.08</v>
      </c>
    </row>
    <row r="30" spans="2:9" x14ac:dyDescent="0.3">
      <c r="B30" t="s">
        <v>101</v>
      </c>
      <c r="C30" s="3">
        <f>NOMINAL(C28,4)</f>
        <v>4.7159421353358155E-2</v>
      </c>
      <c r="F30" t="s">
        <v>105</v>
      </c>
      <c r="G30" s="2">
        <f>NOMINAL(G28,12)/12</f>
        <v>3.914607630530309E-3</v>
      </c>
    </row>
    <row r="31" spans="2:9" x14ac:dyDescent="0.3">
      <c r="B31" t="s">
        <v>102</v>
      </c>
      <c r="C31" s="2">
        <f>C29+C30</f>
        <v>0.13715942135335815</v>
      </c>
      <c r="F31" t="s">
        <v>106</v>
      </c>
      <c r="G31" s="2">
        <f>G30/(1+G30)</f>
        <v>3.8993432317612001E-3</v>
      </c>
    </row>
    <row r="32" spans="2:9" x14ac:dyDescent="0.3">
      <c r="B32" t="s">
        <v>103</v>
      </c>
      <c r="C32" s="3">
        <f>EFFECT(C31,4)</f>
        <v>0.14437684016929442</v>
      </c>
      <c r="F32" t="s">
        <v>104</v>
      </c>
      <c r="G32" s="2">
        <f>G31*12</f>
        <v>4.6792118781134401E-2</v>
      </c>
    </row>
    <row r="33" spans="2:7" x14ac:dyDescent="0.3">
      <c r="B33" s="31" t="s">
        <v>110</v>
      </c>
      <c r="C33" s="17">
        <f>NOMINAL(C32,12)/12</f>
        <v>1.1301741236431795E-2</v>
      </c>
      <c r="F33" t="s">
        <v>107</v>
      </c>
      <c r="G33" s="2">
        <f>G32+G29</f>
        <v>0.12679211878113439</v>
      </c>
    </row>
    <row r="34" spans="2:7" x14ac:dyDescent="0.3">
      <c r="F34" t="s">
        <v>108</v>
      </c>
      <c r="G34" s="2">
        <f>G33/12</f>
        <v>1.0566009898427866E-2</v>
      </c>
    </row>
    <row r="35" spans="2:7" x14ac:dyDescent="0.3">
      <c r="F35" s="31" t="s">
        <v>109</v>
      </c>
      <c r="G35" s="24">
        <f>G34/(1-G34)</f>
        <v>1.0678842655631017E-2</v>
      </c>
    </row>
  </sheetData>
  <mergeCells count="6">
    <mergeCell ref="B2:B3"/>
    <mergeCell ref="B5:B6"/>
    <mergeCell ref="H8:I8"/>
    <mergeCell ref="F8:G8"/>
    <mergeCell ref="D8:E8"/>
    <mergeCell ref="B8:C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Clase 18-11-2022</vt:lpstr>
      <vt:lpstr>Clase 19-11-2022</vt:lpstr>
      <vt:lpstr>Clase 25-11-2022</vt:lpstr>
      <vt:lpstr>Clase 26-11-2022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NICOLÁS GONZÁLEZ</dc:creator>
  <cp:lastModifiedBy>NICOLÁS GONZÁLEZ</cp:lastModifiedBy>
  <cp:lastPrinted>2022-11-19T14:21:44Z</cp:lastPrinted>
  <dcterms:created xsi:type="dcterms:W3CDTF">2015-06-05T18:19:34Z</dcterms:created>
  <dcterms:modified xsi:type="dcterms:W3CDTF">2022-11-26T17:59:21Z</dcterms:modified>
</cp:coreProperties>
</file>