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Derivados Financieros\"/>
    </mc:Choice>
  </mc:AlternateContent>
  <xr:revisionPtr revIDLastSave="0" documentId="13_ncr:1_{76E2797E-0237-42F9-9D30-2E5121E24818}" xr6:coauthVersionLast="47" xr6:coauthVersionMax="47" xr10:uidLastSave="{00000000-0000-0000-0000-000000000000}"/>
  <bookViews>
    <workbookView xWindow="-108" yWindow="-108" windowWidth="23256" windowHeight="12456" tabRatio="761" activeTab="2" xr2:uid="{0731B205-C92E-4420-8ACF-481E76A02D29}"/>
  </bookViews>
  <sheets>
    <sheet name="S2" sheetId="19" r:id="rId1"/>
    <sheet name="S3" sheetId="25" r:id="rId2"/>
    <sheet name="S4" sheetId="26" r:id="rId3"/>
    <sheet name="T1" sheetId="3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4" i="26" l="1"/>
  <c r="AS12" i="26"/>
  <c r="AV10" i="26"/>
  <c r="AV11" i="26"/>
  <c r="AV12" i="26"/>
  <c r="AS15" i="26"/>
  <c r="AS14" i="26"/>
  <c r="AS10" i="26"/>
  <c r="AS9" i="26"/>
  <c r="AD20" i="26"/>
  <c r="AG18" i="26"/>
  <c r="AG17" i="26"/>
  <c r="AG16" i="26"/>
  <c r="AG14" i="26"/>
  <c r="AD21" i="26"/>
  <c r="AD18" i="26"/>
  <c r="AD17" i="26"/>
  <c r="AD16" i="26"/>
  <c r="AD11" i="26"/>
  <c r="U11" i="26"/>
  <c r="U9" i="26"/>
  <c r="M12" i="26"/>
  <c r="M10" i="26"/>
  <c r="C31" i="25"/>
  <c r="C34" i="25" s="1"/>
  <c r="F31" i="25"/>
  <c r="F13" i="25"/>
  <c r="F17" i="25" s="1"/>
  <c r="E13" i="25"/>
  <c r="E16" i="25" s="1"/>
  <c r="D13" i="25"/>
  <c r="D16" i="25" s="1"/>
  <c r="C13" i="25"/>
  <c r="C16" i="25" s="1"/>
  <c r="C14" i="25"/>
  <c r="C15" i="25"/>
  <c r="K7" i="19"/>
  <c r="M7" i="19"/>
  <c r="N7" i="19"/>
  <c r="N8" i="19"/>
  <c r="E3" i="19"/>
  <c r="E4" i="19"/>
  <c r="O8" i="19"/>
  <c r="O9" i="19"/>
  <c r="O10" i="19"/>
  <c r="O7" i="19"/>
  <c r="N10" i="19"/>
  <c r="N9" i="19"/>
  <c r="L7" i="19"/>
  <c r="M8" i="19"/>
  <c r="M9" i="19"/>
  <c r="M10" i="19"/>
  <c r="L8" i="19"/>
  <c r="L9" i="19"/>
  <c r="L10" i="19"/>
  <c r="K8" i="19"/>
  <c r="K9" i="19"/>
  <c r="K10" i="19"/>
  <c r="J8" i="19"/>
  <c r="J9" i="19"/>
  <c r="J10" i="19"/>
  <c r="J7" i="19"/>
  <c r="F37" i="25"/>
  <c r="C37" i="25" l="1"/>
  <c r="C17" i="25"/>
  <c r="E14" i="25"/>
  <c r="E15" i="25" s="1"/>
  <c r="F14" i="25"/>
  <c r="F15" i="25" s="1"/>
  <c r="D14" i="25"/>
  <c r="D15" i="25" s="1"/>
  <c r="D17" i="25"/>
  <c r="E17" i="25"/>
  <c r="F16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tc={B513B455-8910-4373-98A8-29EAAD836F58}</author>
    <author>tc={4BB92003-BE3A-41AE-9985-37ECD8ECD8BE}</author>
    <author>tc={618FADBA-7856-45DF-B60E-F4B95527704F}</author>
    <author>tc={90F0E7D7-E772-413E-83CB-8DD45EA47CF3}</author>
    <author>NICOLÁS GONZÁLEZ</author>
  </authors>
  <commentList>
    <comment ref="L6" authorId="0" shapeId="0" xr:uid="{B513B455-8910-4373-98A8-29EAAD836F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Soy un colombiano y necesito pesos.
Respuesta:
    Comparo el retorno de mi inversión con la tasa del CDT.</t>
      </text>
    </comment>
    <comment ref="M6" authorId="1" shapeId="0" xr:uid="{4BB92003-BE3A-41AE-9985-37ECD8ECD8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gringo tiene dólares, viene a Colombia y vende sus dólares, el día que se le vence el CDT necesita volver a su país y comprar dólares entonces hace un forward de compra de dólares.
Respuesta:
    En el forward de compra se pagan devaluaciones entonces por eso se divide.</t>
      </text>
    </comment>
    <comment ref="N6" authorId="2" shapeId="0" xr:uid="{618FADBA-7856-45DF-B60E-F4B95527704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Soy una empresa colombiana que quiere fondearse en el extranjero. Me financio en dólares y hago un forward de compra de dólares para poder devolverle los intereses y el principal a los tomadores de deuda.</t>
      </text>
    </comment>
    <comment ref="O6" authorId="3" shapeId="0" xr:uid="{90F0E7D7-E772-413E-83CB-8DD45EA47C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Una empresa que busca capital y quiere endeudarse en otro país. Van a tomar deuda en pesos y la van a cubrir.
Respuesta:
    Al vencimiento yo necesito tener pesos para poder pagar la deuda y por eso hago un forward de venta de dólares.</t>
      </text>
    </comment>
    <comment ref="N10" authorId="4" shapeId="0" xr:uid="{BC2A596D-8855-40AB-8486-77BDE510756D}">
      <text>
        <r>
          <rPr>
            <b/>
            <sz val="9"/>
            <color indexed="81"/>
            <rFont val="Tahoma"/>
            <charset val="1"/>
          </rPr>
          <t>NICOLÁS GONZÁLEZ:</t>
        </r>
        <r>
          <rPr>
            <sz val="9"/>
            <color indexed="81"/>
            <rFont val="Tahoma"/>
            <charset val="1"/>
          </rPr>
          <t xml:space="preserve">
Yo puedo endeudarme sintéticamente al 13,29% y meter esa plata en un CDT que me da el 13,50%. Esta operación tiene una TIR infinita porque la operación está totalmente apalancada, me prestaron plata para una inversión y el retorno de la inversión me da para pagar los intereses de la deuda y me sobra.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Alonso Villamil</author>
    <author>NICOLÁS GONZÁLEZ</author>
  </authors>
  <commentList>
    <comment ref="F5" authorId="0" shapeId="0" xr:uid="{A2EAA4F8-FAF7-4740-A23A-592A9CFB122C}">
      <text>
        <r>
          <rPr>
            <b/>
            <sz val="9"/>
            <color indexed="81"/>
            <rFont val="Tahoma"/>
            <family val="2"/>
          </rPr>
          <t>Px limpio</t>
        </r>
      </text>
    </comment>
    <comment ref="B6" authorId="1" shapeId="0" xr:uid="{82EF7338-9350-45E6-816E-610C2A9FAA2E}">
      <text>
        <r>
          <rPr>
            <b/>
            <sz val="9"/>
            <color indexed="81"/>
            <rFont val="Tahoma"/>
            <charset val="1"/>
          </rPr>
          <t>NICOLÁS GONZÁLEZ:</t>
        </r>
        <r>
          <rPr>
            <sz val="9"/>
            <color indexed="81"/>
            <rFont val="Tahoma"/>
            <charset val="1"/>
          </rPr>
          <t xml:space="preserve">
Es establecido por la bolsa.
</t>
        </r>
      </text>
    </comment>
    <comment ref="C6" authorId="0" shapeId="0" xr:uid="{E2D41A72-9C05-4E08-9EC0-2FCD324FF3B4}">
      <text>
        <r>
          <rPr>
            <b/>
            <sz val="9"/>
            <color indexed="81"/>
            <rFont val="Tahoma"/>
            <family val="2"/>
          </rPr>
          <t>cantidad de acciones</t>
        </r>
      </text>
    </comment>
    <comment ref="D6" authorId="0" shapeId="0" xr:uid="{4A889933-13D9-4027-80F2-5792BE89F015}">
      <text>
        <r>
          <rPr>
            <b/>
            <sz val="9"/>
            <color indexed="81"/>
            <rFont val="Tahoma"/>
            <family val="2"/>
          </rPr>
          <t>también conocido como multiplicador</t>
        </r>
      </text>
    </comment>
    <comment ref="E6" authorId="0" shapeId="0" xr:uid="{70998BC9-10A6-4987-B80E-8A439A71E7E4}">
      <text>
        <r>
          <rPr>
            <b/>
            <sz val="9"/>
            <color indexed="81"/>
            <rFont val="Tahoma"/>
            <family val="2"/>
          </rPr>
          <t>valor nominal en U$</t>
        </r>
      </text>
    </comment>
    <comment ref="F6" authorId="0" shapeId="0" xr:uid="{4E91C054-EFA6-43F6-BB41-AA9B7F3318C3}">
      <text>
        <r>
          <rPr>
            <b/>
            <sz val="9"/>
            <color indexed="81"/>
            <rFont val="Tahoma"/>
            <family val="2"/>
          </rPr>
          <t>valor nominal del bono</t>
        </r>
      </text>
    </comment>
    <comment ref="B7" authorId="1" shapeId="0" xr:uid="{B4EE11F6-3514-4316-935D-05A792183D2C}">
      <text>
        <r>
          <rPr>
            <b/>
            <sz val="9"/>
            <color indexed="81"/>
            <rFont val="Tahoma"/>
            <charset val="1"/>
          </rPr>
          <t>NICOLÁS GONZÁLEZ:</t>
        </r>
        <r>
          <rPr>
            <sz val="9"/>
            <color indexed="81"/>
            <rFont val="Tahoma"/>
            <charset val="1"/>
          </rPr>
          <t xml:space="preserve">
Lo que yo, como operador del mercado, quiero tradear.</t>
        </r>
      </text>
    </comment>
    <comment ref="B9" authorId="1" shapeId="0" xr:uid="{DD0C7125-B885-45E9-B1C0-EDB4B60A002B}">
      <text>
        <r>
          <rPr>
            <b/>
            <sz val="9"/>
            <color indexed="81"/>
            <rFont val="Tahoma"/>
            <charset val="1"/>
          </rPr>
          <t>NICOLÁS GONZÁLEZ:</t>
        </r>
        <r>
          <rPr>
            <sz val="9"/>
            <color indexed="81"/>
            <rFont val="Tahoma"/>
            <charset val="1"/>
          </rPr>
          <t xml:space="preserve">
Entre más volatil el margen es mayor.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NICOLÁS GONZÁLEZ</author>
    <author>tc={19E9DCFA-8EAA-4891-BDFC-97120A93FB27}</author>
  </authors>
  <commentList>
    <comment ref="B2" authorId="0" shapeId="0" xr:uid="{CC8B24EE-6144-4B68-8D92-65C169E261F2}">
      <text>
        <r>
          <rPr>
            <b/>
            <sz val="9"/>
            <color indexed="81"/>
            <rFont val="Tahoma"/>
            <charset val="1"/>
          </rPr>
          <t>NICOLÁS GONZÁLEZ:</t>
        </r>
        <r>
          <rPr>
            <sz val="9"/>
            <color indexed="81"/>
            <rFont val="Tahoma"/>
            <charset val="1"/>
          </rPr>
          <t xml:space="preserve">
1. Importador
2. Alta caja
3. 100% Importaciones cubiertas con Forwards. Forward de Compra para Imports.
4. 100% Inversion con futuros. Futuro de Venta para Inversiones y Sintético de COP.</t>
        </r>
      </text>
    </comment>
    <comment ref="AS4" authorId="1" shapeId="0" xr:uid="{19E9DCFA-8EAA-4891-BDFC-97120A93FB2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Como hizo un futuro de venta habrá llamado a margen si el precio sube.</t>
      </text>
    </comment>
  </commentList>
</comments>
</file>

<file path=xl/sharedStrings.xml><?xml version="1.0" encoding="utf-8"?>
<sst xmlns="http://schemas.openxmlformats.org/spreadsheetml/2006/main" count="163" uniqueCount="105">
  <si>
    <t>A</t>
  </si>
  <si>
    <t>B</t>
  </si>
  <si>
    <t>C</t>
  </si>
  <si>
    <t>Inversión sintética</t>
  </si>
  <si>
    <t>Plazo</t>
  </si>
  <si>
    <t>Años</t>
  </si>
  <si>
    <t>Dif.</t>
  </si>
  <si>
    <t>Datos:</t>
  </si>
  <si>
    <t>IBR (EA)</t>
  </si>
  <si>
    <t>SOFR (EA)</t>
  </si>
  <si>
    <t>Basis</t>
  </si>
  <si>
    <t>Basis (pb)</t>
  </si>
  <si>
    <t>D. Teórica</t>
  </si>
  <si>
    <t>D. Mercado</t>
  </si>
  <si>
    <t>CDTs COP</t>
  </si>
  <si>
    <t>Deuda COP</t>
  </si>
  <si>
    <t>CDTs USD</t>
  </si>
  <si>
    <t>Deuda USD</t>
  </si>
  <si>
    <r>
      <rPr>
        <b/>
        <sz val="11"/>
        <color theme="1"/>
        <rFont val="Calibri"/>
        <family val="2"/>
        <scheme val="minor"/>
      </rPr>
      <t xml:space="preserve">Pregunta 5: </t>
    </r>
    <r>
      <rPr>
        <sz val="11"/>
        <color theme="1"/>
        <rFont val="Calibri"/>
        <family val="2"/>
        <scheme val="minor"/>
      </rPr>
      <t>¿Existen oportunidades de arbitraje?</t>
    </r>
  </si>
  <si>
    <r>
      <rPr>
        <b/>
        <sz val="11"/>
        <color theme="1"/>
        <rFont val="Calibri"/>
        <family val="2"/>
        <scheme val="minor"/>
      </rPr>
      <t xml:space="preserve">Pregunta 1: </t>
    </r>
    <r>
      <rPr>
        <sz val="11"/>
        <color theme="1"/>
        <rFont val="Calibri"/>
        <family val="2"/>
        <scheme val="minor"/>
      </rPr>
      <t>¿Cuál es la devaluación teórica y qué la explica?</t>
    </r>
  </si>
  <si>
    <r>
      <rPr>
        <b/>
        <sz val="11"/>
        <color theme="1"/>
        <rFont val="Calibri"/>
        <family val="2"/>
        <scheme val="minor"/>
      </rPr>
      <t>Pregunta 2:</t>
    </r>
    <r>
      <rPr>
        <sz val="11"/>
        <color theme="1"/>
        <rFont val="Calibri"/>
        <family val="2"/>
        <scheme val="minor"/>
      </rPr>
      <t xml:space="preserve"> ¿Cuál es la devaluación de mercado, y por qué es diferente a la teórica?</t>
    </r>
  </si>
  <si>
    <r>
      <rPr>
        <b/>
        <sz val="11"/>
        <color theme="1"/>
        <rFont val="Calibri"/>
        <family val="2"/>
        <scheme val="minor"/>
      </rPr>
      <t>Pregunta 3:</t>
    </r>
    <r>
      <rPr>
        <sz val="11"/>
        <color theme="1"/>
        <rFont val="Calibri"/>
        <family val="2"/>
        <scheme val="minor"/>
      </rPr>
      <t xml:space="preserve"> ¿Cómo quedan los sintéticos de inversión? ¿Existe alguna oportunidad?</t>
    </r>
  </si>
  <si>
    <r>
      <rPr>
        <b/>
        <sz val="11"/>
        <color theme="1"/>
        <rFont val="Calibri"/>
        <family val="2"/>
        <scheme val="minor"/>
      </rPr>
      <t xml:space="preserve">Pregunta 4: </t>
    </r>
    <r>
      <rPr>
        <sz val="11"/>
        <color theme="1"/>
        <rFont val="Calibri"/>
        <family val="2"/>
        <scheme val="minor"/>
      </rPr>
      <t>¿Cómo quedan los sintéticos de deuda? ¿Existe alguna oportunidad?</t>
    </r>
  </si>
  <si>
    <r>
      <rPr>
        <b/>
        <sz val="11"/>
        <color theme="1"/>
        <rFont val="Calibri"/>
        <family val="2"/>
        <scheme val="minor"/>
      </rPr>
      <t>Pregunta 6:</t>
    </r>
    <r>
      <rPr>
        <sz val="11"/>
        <color theme="1"/>
        <rFont val="Calibri"/>
        <family val="2"/>
        <scheme val="minor"/>
      </rPr>
      <t xml:space="preserve"> Con dólar a $5,000 ¿cuáles son los puntos forward a 6M? ¿Quién los paga y quién los recibe (exportadores o importadores)?</t>
    </r>
  </si>
  <si>
    <r>
      <rPr>
        <b/>
        <sz val="11"/>
        <color theme="1"/>
        <rFont val="Calibri"/>
        <family val="2"/>
        <scheme val="minor"/>
      </rPr>
      <t>Pregunta 7:</t>
    </r>
    <r>
      <rPr>
        <sz val="11"/>
        <color theme="1"/>
        <rFont val="Calibri"/>
        <family val="2"/>
        <scheme val="minor"/>
      </rPr>
      <t xml:space="preserve"> La proyección de dólar a 6M es 5,300 ¿exportadores o importadores deberían cubrir?</t>
    </r>
  </si>
  <si>
    <t>COP</t>
  </si>
  <si>
    <t>USD</t>
  </si>
  <si>
    <t>Deuda sintética</t>
  </si>
  <si>
    <t>Arbitraje</t>
  </si>
  <si>
    <t>Spot</t>
  </si>
  <si>
    <t>Forward</t>
  </si>
  <si>
    <t>Puntos</t>
  </si>
  <si>
    <t>Forward 6M</t>
  </si>
  <si>
    <t>Valoración</t>
  </si>
  <si>
    <r>
      <rPr>
        <b/>
        <sz val="11"/>
        <color theme="1"/>
        <rFont val="Calibri"/>
        <family val="2"/>
        <scheme val="minor"/>
      </rPr>
      <t>Pregunta 8:</t>
    </r>
    <r>
      <rPr>
        <sz val="11"/>
        <color theme="1"/>
        <rFont val="Calibri"/>
        <family val="2"/>
        <scheme val="minor"/>
      </rPr>
      <t xml:space="preserve"> 3M después de haber cerrado forwards a 6M, el spot en $6,000, los basis estables, y el FED sorprendió bajando tasas de interés. ¿Cuál es el impacto en valoración de esto y a quién le sirve (importadores o exportadores)? ¿Cuál hubiese sido la estrategia de un especulador para aprovechar el movimiento?</t>
    </r>
  </si>
  <si>
    <t>Nominal</t>
  </si>
  <si>
    <t>Px</t>
  </si>
  <si>
    <t># contratos</t>
  </si>
  <si>
    <t>Repo</t>
  </si>
  <si>
    <t>M. Inicial</t>
  </si>
  <si>
    <t>M. Mantto.</t>
  </si>
  <si>
    <t>Accion XYZ</t>
  </si>
  <si>
    <t>Indice C</t>
  </si>
  <si>
    <t>Dólar</t>
  </si>
  <si>
    <t>Bonos 10Y</t>
  </si>
  <si>
    <t>Calcule en cada caso los datos en amarillo:</t>
  </si>
  <si>
    <t>Px futuro</t>
  </si>
  <si>
    <t>Tamaño</t>
  </si>
  <si>
    <t>Actividad 8.2:</t>
  </si>
  <si>
    <t>Calcule el precio final pactado una vez hecho el  time spread:</t>
  </si>
  <si>
    <t>Repo 1</t>
  </si>
  <si>
    <t>Repo 2</t>
  </si>
  <si>
    <t>Px futuro 1</t>
  </si>
  <si>
    <t>Plazo 1</t>
  </si>
  <si>
    <t>Plazo 2</t>
  </si>
  <si>
    <t>Posición</t>
  </si>
  <si>
    <t>Compra</t>
  </si>
  <si>
    <t>Venta</t>
  </si>
  <si>
    <t>Futuro de compra</t>
  </si>
  <si>
    <t>Futuro de venta</t>
  </si>
  <si>
    <t>Px futuro 2</t>
  </si>
  <si>
    <t>Time spread</t>
  </si>
  <si>
    <t>Caso práctico</t>
  </si>
  <si>
    <t>Pregunta 1: Con una base de cálculo 30/360, la tasa forward que pactaría Jairo es:</t>
  </si>
  <si>
    <t>Devl.</t>
  </si>
  <si>
    <t>Pregunta 2: Magnitud y motivo principal que explicaría diferencia entre repo implícito y tasa de devaluación:</t>
  </si>
  <si>
    <t>10 pb; el mercado de futuros descuenta una versión más bajista del dólar</t>
  </si>
  <si>
    <t>10 pb; los cargos de crédito</t>
  </si>
  <si>
    <t>20 pb; los cargos de crédito</t>
  </si>
  <si>
    <t>TD</t>
  </si>
  <si>
    <t>Sintético</t>
  </si>
  <si>
    <t>Rent.</t>
  </si>
  <si>
    <t>VF (USD)</t>
  </si>
  <si>
    <t>Futuro</t>
  </si>
  <si>
    <t>VF (COP)</t>
  </si>
  <si>
    <t>Ret. EA</t>
  </si>
  <si>
    <t>Ret. Nom.</t>
  </si>
  <si>
    <t>Pregunta 4: Criterios que Jairo tendría en cuenta para elegir entre el CDT y la inversión sintética:</t>
  </si>
  <si>
    <t>Rentabilidad y operatividad</t>
  </si>
  <si>
    <t>Rentabilidad e impuestos</t>
  </si>
  <si>
    <t xml:space="preserve">Rentabilidad, impuestos, liquidez y operatividad </t>
  </si>
  <si>
    <t>Pregunta 5: Si el margen inicial de los futuros es 40%, y el de mantenimiento 50% sobre tal garantía:</t>
  </si>
  <si>
    <t>No habría llamado a margen si el dólar sube</t>
  </si>
  <si>
    <t>M. Mnto</t>
  </si>
  <si>
    <t>Llamado a margen</t>
  </si>
  <si>
    <t>Variación</t>
  </si>
  <si>
    <t>Var. %</t>
  </si>
  <si>
    <t>Pregunta 6: Si una de las SCB le ofrece a Jairo un repo implícito de 0% a 90 días, es debido a que tal SCB:</t>
  </si>
  <si>
    <t>Tiene una expectativa alcista fuerte sobre el dólar spot</t>
  </si>
  <si>
    <t>Quiere ganarse como sea el flujo de cobertura de inversiones de Jairo</t>
  </si>
  <si>
    <t>Tasa TD</t>
  </si>
  <si>
    <t>Llamado (Buy)</t>
  </si>
  <si>
    <t>Llamado (Sell)</t>
  </si>
  <si>
    <t>Pregunta 3: Calcule la rentabilidad de la inversión sintética que se podría construir con futuros:</t>
  </si>
  <si>
    <t>Habría llamado a margen si el dólar sube 22%</t>
  </si>
  <si>
    <t xml:space="preserve">Puede haber llamado a margen si sube o baja el dólar 22% </t>
  </si>
  <si>
    <t>Prueba</t>
  </si>
  <si>
    <t>Necesita para sí misma futuros de venta dada su posición de riesgo ante el mercado</t>
  </si>
  <si>
    <t>Pregunta 1:</t>
  </si>
  <si>
    <t>Pregunta 2:</t>
  </si>
  <si>
    <t>Pregunta 3:</t>
  </si>
  <si>
    <r>
      <t xml:space="preserve">En un párrafo emita su opinión del artículo </t>
    </r>
    <r>
      <rPr>
        <i/>
        <sz val="11"/>
        <color theme="1"/>
        <rFont val="Calibri"/>
        <family val="2"/>
        <scheme val="minor"/>
      </rPr>
      <t>Lectura Pandemia</t>
    </r>
  </si>
  <si>
    <t>Haga una reseña de 2 párrafos del documental Inside Job: en el 1ro, establezca cuál es la idea más importante; en el 2do, determine el rol de los derivados durante la crisis</t>
  </si>
  <si>
    <t>Escuchar el capítulo 1, 2 y 3 de Oído al Riesgo (temporada 1) y hacer un párrafo de cada uno con su opinión</t>
  </si>
  <si>
    <t>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</si>
</sst>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9" fontId="0" fillId="0" borderId="0" xfId="1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2" fillId="0" borderId="0" xfId="0" applyNumberFormat="1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10" fontId="5" fillId="0" borderId="0" xfId="1" applyNumberFormat="1" applyFont="1" applyFill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0" fontId="8" fillId="0" borderId="4" xfId="1" applyNumberFormat="1" applyFont="1" applyFill="1" applyBorder="1" applyAlignment="1">
      <alignment horizontal="center" vertical="center"/>
    </xf>
    <xf numFmtId="10" fontId="0" fillId="0" borderId="0" xfId="1" applyNumberFormat="1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0" fillId="0" borderId="4" xfId="0" applyNumberForma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0" fontId="5" fillId="6" borderId="0" xfId="0" applyNumberFormat="1" applyFont="1" applyFill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7" borderId="0" xfId="0" applyNumberFormat="1" applyFill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0" fontId="0" fillId="7" borderId="0" xfId="1" applyNumberFormat="1" applyFont="1" applyFill="1" applyAlignment="1">
      <alignment horizontal="left" vertical="center"/>
    </xf>
    <xf numFmtId="10" fontId="1" fillId="0" borderId="4" xfId="1" applyNumberFormat="1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76200</xdr:rowOff>
    </xdr:from>
    <xdr:to>
      <xdr:col>9</xdr:col>
      <xdr:colOff>684961</xdr:colOff>
      <xdr:row>20</xdr:row>
      <xdr:rowOff>113867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97A3ED-D2EF-CC20-1833-9AFC7F73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57200"/>
          <a:ext cx="6714286" cy="346666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36CA56AA-CFDE-47F1-856C-A32C3E264A62}" userId="S::nicolas.gonzalez07@est.uexternado.edu.co::abdeb7d9-3002-4d20-92a0-0ced1f3a571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3-07-15T14:12:17.96" personId="{36CA56AA-CFDE-47F1-856C-A32C3E264A62}" id="{B513B455-8910-4373-98A8-29EAAD836F58}">
    <text>Soy un colombiano y necesito pesos.</text>
  </threadedComment>
  <threadedComment ref="L6" dT="2023-07-15T14:12:39.61" personId="{36CA56AA-CFDE-47F1-856C-A32C3E264A62}" id="{681BCBE0-F977-42EB-ACFE-BA31845E51D6}" parentId="{B513B455-8910-4373-98A8-29EAAD836F58}">
    <text>Comparo el retorno de mi inversión con la tasa del CDT.</text>
  </threadedComment>
  <threadedComment ref="M6" dT="2023-07-15T14:13:45.41" personId="{36CA56AA-CFDE-47F1-856C-A32C3E264A62}" id="{4BB92003-BE3A-41AE-9985-37ECD8ECD8BE}">
    <text>El gringo tiene dólares, viene a Colombia y vende sus dólares, el día que se le vence el CDT necesita volver a su país y comprar dólares entonces hace un forward de compra de dólares.</text>
  </threadedComment>
  <threadedComment ref="M6" dT="2023-07-15T14:14:31.43" personId="{36CA56AA-CFDE-47F1-856C-A32C3E264A62}" id="{B2E2439C-4400-4C3A-874A-19798E58AB15}" parentId="{4BB92003-BE3A-41AE-9985-37ECD8ECD8BE}">
    <text>En el forward de compra se pagan devaluaciones entonces por eso se divide.</text>
  </threadedComment>
  <threadedComment ref="N6" dT="2023-07-15T14:16:11.18" personId="{36CA56AA-CFDE-47F1-856C-A32C3E264A62}" id="{618FADBA-7856-45DF-B60E-F4B95527704F}">
    <text>Soy una empresa colombiana que quiere fondearse en el extranjero. Me financio en dólares y hago un forward de compra de dólares para poder devolverle los intereses y el principal a los tomadores de deuda.</text>
  </threadedComment>
  <threadedComment ref="O6" dT="2023-07-15T14:20:34.77" personId="{36CA56AA-CFDE-47F1-856C-A32C3E264A62}" id="{90F0E7D7-E772-413E-83CB-8DD45EA47CF3}">
    <text>Una empresa que busca capital y quiere endeudarse en otro país. Van a tomar deuda en pesos y la van a cubrir.</text>
  </threadedComment>
  <threadedComment ref="O6" dT="2023-07-15T14:22:18.20" personId="{36CA56AA-CFDE-47F1-856C-A32C3E264A62}" id="{69D8963E-22D6-44A6-97A0-9DAE29486E38}" parentId="{90F0E7D7-E772-413E-83CB-8DD45EA47CF3}">
    <text>Al vencimiento yo necesito tener pesos para poder pagar la deuda y por eso hago un forward de venta de dólares.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S4" dT="2023-07-15T17:37:09.42" personId="{36CA56AA-CFDE-47F1-856C-A32C3E264A62}" id="{19E9DCFA-8EAA-4891-BDFC-97120A93FB27}">
    <text>Como hizo un futuro de venta habrá llamado a margen si el precio sube.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5EEF-E0BD-49C3-90F9-78FD794F326F}">
  <sheetPr>
    <tabColor rgb="FF002060"/>
  </sheetPr>
  <dimension ref="B1:Q39"/>
  <sheetViews>
    <sheetView showGridLines="0" workbookViewId="0">
      <selection activeCell="L7" sqref="L7"/>
    </sheetView>
  </sheetViews>
  <sheetFormatPr baseColWidth="10" defaultColWidth="11.44140625" defaultRowHeight="14.4" x14ac:dyDescent="0.3"/>
  <cols>
    <col min="1" max="1" width="5.6640625" style="1" customWidth="1"/>
    <col min="2" max="2" width="7.6640625" style="1" customWidth="1"/>
    <col min="3" max="3" width="11.44140625" style="2"/>
    <col min="4" max="4" width="11.44140625" style="1"/>
    <col min="5" max="5" width="9.5546875" style="1" bestFit="1" customWidth="1"/>
    <col min="6" max="7" width="11.44140625" style="1"/>
    <col min="8" max="8" width="11.44140625" style="1" customWidth="1"/>
    <col min="9" max="10" width="11.44140625" style="1"/>
    <col min="11" max="14" width="11.5546875" style="1" customWidth="1"/>
    <col min="15" max="16384" width="11.44140625" style="1"/>
  </cols>
  <sheetData>
    <row r="1" spans="2:17" x14ac:dyDescent="0.3">
      <c r="D1" s="54" t="s">
        <v>32</v>
      </c>
      <c r="E1" s="54"/>
      <c r="G1" s="54" t="s">
        <v>33</v>
      </c>
      <c r="H1" s="54"/>
    </row>
    <row r="2" spans="2:17" x14ac:dyDescent="0.3">
      <c r="B2" s="3"/>
      <c r="D2" s="14" t="s">
        <v>29</v>
      </c>
      <c r="E2" s="13">
        <v>5000</v>
      </c>
      <c r="G2" s="14" t="s">
        <v>29</v>
      </c>
      <c r="H2" s="30"/>
    </row>
    <row r="3" spans="2:17" x14ac:dyDescent="0.3">
      <c r="D3" s="15" t="s">
        <v>30</v>
      </c>
      <c r="E3" s="31">
        <f>E2*(1+K9)^(0.5)</f>
        <v>5195.3582718437756</v>
      </c>
      <c r="F3" s="31"/>
      <c r="G3" s="15" t="s">
        <v>10</v>
      </c>
      <c r="H3" s="31"/>
    </row>
    <row r="4" spans="2:17" x14ac:dyDescent="0.3">
      <c r="B4" s="2" t="s">
        <v>7</v>
      </c>
      <c r="D4" s="16" t="s">
        <v>31</v>
      </c>
      <c r="E4" s="32">
        <f>E3-E2</f>
        <v>195.35827184377558</v>
      </c>
      <c r="G4" s="16" t="s">
        <v>12</v>
      </c>
      <c r="H4" s="32"/>
    </row>
    <row r="5" spans="2:17" x14ac:dyDescent="0.3">
      <c r="B5" s="2"/>
      <c r="L5" s="56" t="s">
        <v>3</v>
      </c>
      <c r="M5" s="56"/>
      <c r="N5" s="56" t="s">
        <v>27</v>
      </c>
      <c r="O5" s="56"/>
      <c r="P5" s="56" t="s">
        <v>28</v>
      </c>
      <c r="Q5" s="56"/>
    </row>
    <row r="6" spans="2:17" x14ac:dyDescent="0.3">
      <c r="B6" s="11" t="s">
        <v>4</v>
      </c>
      <c r="C6" s="11" t="s">
        <v>8</v>
      </c>
      <c r="D6" s="11" t="s">
        <v>9</v>
      </c>
      <c r="E6" s="11" t="s">
        <v>11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12</v>
      </c>
      <c r="K6" s="11" t="s">
        <v>13</v>
      </c>
      <c r="L6" s="11" t="s">
        <v>25</v>
      </c>
      <c r="M6" s="11" t="s">
        <v>26</v>
      </c>
      <c r="N6" s="11" t="s">
        <v>25</v>
      </c>
      <c r="O6" s="11" t="s">
        <v>26</v>
      </c>
      <c r="P6" s="11" t="s">
        <v>25</v>
      </c>
      <c r="Q6" s="11" t="s">
        <v>26</v>
      </c>
    </row>
    <row r="7" spans="2:17" x14ac:dyDescent="0.3">
      <c r="B7" s="1">
        <v>30</v>
      </c>
      <c r="C7" s="4">
        <v>0.1</v>
      </c>
      <c r="D7" s="4">
        <v>2.5000000000000001E-2</v>
      </c>
      <c r="E7" s="12">
        <v>70</v>
      </c>
      <c r="F7" s="4">
        <v>0.12</v>
      </c>
      <c r="G7" s="4">
        <v>0.14000000000000001</v>
      </c>
      <c r="H7" s="4">
        <v>0.02</v>
      </c>
      <c r="I7" s="4">
        <v>0.04</v>
      </c>
      <c r="J7" s="29">
        <f>(1+C7)/(1+D7)-1</f>
        <v>7.317073170731736E-2</v>
      </c>
      <c r="K7" s="29">
        <f>J7+(E7/10000)</f>
        <v>8.0170731707317366E-2</v>
      </c>
      <c r="L7" s="29">
        <f>(1+H7)*(1+K7)-1</f>
        <v>0.10177414634146364</v>
      </c>
      <c r="M7" s="29">
        <f>(1+F7)/(1+K7)-1</f>
        <v>3.6873123038363431E-2</v>
      </c>
      <c r="N7" s="29">
        <f>(1+I7)*(1+K7)-1</f>
        <v>0.12337756097561003</v>
      </c>
      <c r="O7" s="29">
        <f>(1+G7)/(1+K7)-1</f>
        <v>5.5388714521191318E-2</v>
      </c>
      <c r="P7" s="29"/>
      <c r="Q7" s="29"/>
    </row>
    <row r="8" spans="2:17" x14ac:dyDescent="0.3">
      <c r="B8" s="1">
        <v>90</v>
      </c>
      <c r="C8" s="4">
        <v>0.10500000000000001</v>
      </c>
      <c r="D8" s="4">
        <v>2.75E-2</v>
      </c>
      <c r="E8" s="12">
        <v>60</v>
      </c>
      <c r="F8" s="4">
        <v>0.125</v>
      </c>
      <c r="G8" s="4">
        <v>0.14500000000000002</v>
      </c>
      <c r="H8" s="4">
        <v>2.5000000000000001E-2</v>
      </c>
      <c r="I8" s="4">
        <v>4.4999999999999998E-2</v>
      </c>
      <c r="J8" s="29">
        <f t="shared" ref="J8:J10" si="0">(1+C8)/(1+D8)-1</f>
        <v>7.5425790754257704E-2</v>
      </c>
      <c r="K8" s="29">
        <f t="shared" ref="K8:K10" si="1">J8+(E8/10000)</f>
        <v>8.142579075425771E-2</v>
      </c>
      <c r="L8" s="29">
        <f t="shared" ref="L8:L10" si="2">(1+H8)*(1+K8)-1</f>
        <v>0.10846143552311416</v>
      </c>
      <c r="M8" s="29">
        <f t="shared" ref="M8:M10" si="3">(1+F8)/(1+K8)-1</f>
        <v>4.0293295775155169E-2</v>
      </c>
      <c r="N8" s="29">
        <f t="shared" ref="N8:N10" si="4">(1+I8)*(1+K8)-1</f>
        <v>0.13008995133819923</v>
      </c>
      <c r="O8" s="29">
        <f t="shared" ref="O8:O10" si="5">(1+G8)/(1+K8)-1</f>
        <v>5.8787398811157798E-2</v>
      </c>
      <c r="P8" s="29"/>
      <c r="Q8" s="29"/>
    </row>
    <row r="9" spans="2:17" x14ac:dyDescent="0.3">
      <c r="B9" s="1">
        <v>180</v>
      </c>
      <c r="C9" s="4">
        <v>0.11000000000000001</v>
      </c>
      <c r="D9" s="4">
        <v>0.03</v>
      </c>
      <c r="E9" s="12">
        <v>20</v>
      </c>
      <c r="F9" s="4">
        <v>0.13</v>
      </c>
      <c r="G9" s="4">
        <v>0.15000000000000002</v>
      </c>
      <c r="H9" s="4">
        <v>3.0000000000000002E-2</v>
      </c>
      <c r="I9" s="4">
        <v>4.9999999999999996E-2</v>
      </c>
      <c r="J9" s="29">
        <f t="shared" si="0"/>
        <v>7.7669902912621325E-2</v>
      </c>
      <c r="K9" s="29">
        <f t="shared" si="1"/>
        <v>7.9669902912621327E-2</v>
      </c>
      <c r="L9" s="29">
        <f t="shared" si="2"/>
        <v>0.11206000000000005</v>
      </c>
      <c r="M9" s="29">
        <f t="shared" si="3"/>
        <v>4.6616189773933003E-2</v>
      </c>
      <c r="N9" s="29">
        <f t="shared" si="4"/>
        <v>0.13365339805825238</v>
      </c>
      <c r="O9" s="29">
        <f t="shared" si="5"/>
        <v>6.514037012391416E-2</v>
      </c>
      <c r="P9" s="29"/>
      <c r="Q9" s="29"/>
    </row>
    <row r="10" spans="2:17" x14ac:dyDescent="0.3">
      <c r="B10" s="1">
        <v>360</v>
      </c>
      <c r="C10" s="4">
        <v>0.11500000000000002</v>
      </c>
      <c r="D10" s="4">
        <v>3.2500000000000001E-2</v>
      </c>
      <c r="E10" s="12">
        <v>-20</v>
      </c>
      <c r="F10" s="62">
        <v>0.13500000000000001</v>
      </c>
      <c r="G10" s="4">
        <v>0.15500000000000003</v>
      </c>
      <c r="H10" s="4">
        <v>3.5000000000000003E-2</v>
      </c>
      <c r="I10" s="4">
        <v>5.0999999999999997E-2</v>
      </c>
      <c r="J10" s="29">
        <f t="shared" si="0"/>
        <v>7.9903147699757815E-2</v>
      </c>
      <c r="K10" s="29">
        <f t="shared" si="1"/>
        <v>7.7903147699757813E-2</v>
      </c>
      <c r="L10" s="29">
        <f t="shared" si="2"/>
        <v>0.11562975786924934</v>
      </c>
      <c r="M10" s="29">
        <f t="shared" si="3"/>
        <v>5.2970299253775055E-2</v>
      </c>
      <c r="N10" s="61">
        <f t="shared" si="4"/>
        <v>0.13287620823244528</v>
      </c>
      <c r="O10" s="29">
        <f t="shared" si="5"/>
        <v>7.152484197190323E-2</v>
      </c>
      <c r="P10" s="29"/>
      <c r="Q10" s="29"/>
    </row>
    <row r="11" spans="2:17" x14ac:dyDescent="0.3">
      <c r="C11" s="5"/>
    </row>
    <row r="12" spans="2:17" x14ac:dyDescent="0.3">
      <c r="B12" s="2" t="s">
        <v>19</v>
      </c>
      <c r="C12" s="5"/>
    </row>
    <row r="13" spans="2:17" x14ac:dyDescent="0.3">
      <c r="B13" s="2" t="s">
        <v>20</v>
      </c>
      <c r="C13" s="5"/>
    </row>
    <row r="14" spans="2:17" x14ac:dyDescent="0.3">
      <c r="B14" s="2" t="s">
        <v>21</v>
      </c>
    </row>
    <row r="15" spans="2:17" x14ac:dyDescent="0.3">
      <c r="B15" s="2" t="s">
        <v>22</v>
      </c>
    </row>
    <row r="16" spans="2:17" x14ac:dyDescent="0.3">
      <c r="B16" s="2" t="s">
        <v>18</v>
      </c>
    </row>
    <row r="17" spans="2:16" x14ac:dyDescent="0.3">
      <c r="B17" s="2" t="s">
        <v>23</v>
      </c>
    </row>
    <row r="18" spans="2:16" x14ac:dyDescent="0.3">
      <c r="B18" s="2" t="s">
        <v>24</v>
      </c>
    </row>
    <row r="19" spans="2:16" x14ac:dyDescent="0.3">
      <c r="B19" s="55" t="s">
        <v>34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</row>
    <row r="20" spans="2:16" x14ac:dyDescent="0.3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</row>
    <row r="21" spans="2:16" x14ac:dyDescent="0.3">
      <c r="B21" s="6"/>
    </row>
    <row r="22" spans="2:16" s="7" customFormat="1" x14ac:dyDescent="0.3">
      <c r="B22" s="8"/>
      <c r="C22" s="8"/>
    </row>
    <row r="23" spans="2:16" x14ac:dyDescent="0.3">
      <c r="B23" s="6"/>
    </row>
    <row r="25" spans="2:16" x14ac:dyDescent="0.3">
      <c r="B25" s="6"/>
    </row>
    <row r="27" spans="2:16" x14ac:dyDescent="0.3">
      <c r="B27" s="3"/>
      <c r="C27" s="3"/>
    </row>
    <row r="28" spans="2:16" x14ac:dyDescent="0.3">
      <c r="B28" s="2"/>
    </row>
    <row r="29" spans="2:16" x14ac:dyDescent="0.3">
      <c r="B29" s="6"/>
    </row>
    <row r="30" spans="2:16" x14ac:dyDescent="0.3">
      <c r="B30" s="6"/>
    </row>
    <row r="31" spans="2:16" x14ac:dyDescent="0.3">
      <c r="B31" s="6"/>
    </row>
    <row r="33" spans="2:3" x14ac:dyDescent="0.3">
      <c r="B33" s="6"/>
    </row>
    <row r="35" spans="2:3" x14ac:dyDescent="0.3">
      <c r="B35" s="3"/>
      <c r="C35" s="3"/>
    </row>
    <row r="36" spans="2:3" x14ac:dyDescent="0.3">
      <c r="B36" s="2"/>
    </row>
    <row r="37" spans="2:3" x14ac:dyDescent="0.3">
      <c r="B37" s="6"/>
    </row>
    <row r="38" spans="2:3" x14ac:dyDescent="0.3">
      <c r="B38" s="6"/>
    </row>
    <row r="39" spans="2:3" x14ac:dyDescent="0.3">
      <c r="B39" s="6"/>
    </row>
  </sheetData>
  <mergeCells count="6">
    <mergeCell ref="D1:E1"/>
    <mergeCell ref="G1:H1"/>
    <mergeCell ref="B19:P20"/>
    <mergeCell ref="L5:M5"/>
    <mergeCell ref="N5:O5"/>
    <mergeCell ref="P5:Q5"/>
  </mergeCells>
  <pageMargins left="0.7" right="0.7" top="0.75" bottom="0.75" header="0.3" footer="0.3"/>
  <pageSetup orientation="portrait" verticalDpi="597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DEAE-0DCA-48CA-8D11-BDBCAD94F073}">
  <sheetPr>
    <tabColor rgb="FF002060"/>
  </sheetPr>
  <dimension ref="B2:H37"/>
  <sheetViews>
    <sheetView showGridLines="0" topLeftCell="A20" workbookViewId="0">
      <selection activeCell="J31" sqref="J31"/>
    </sheetView>
  </sheetViews>
  <sheetFormatPr baseColWidth="10" defaultColWidth="11.44140625" defaultRowHeight="14.4" x14ac:dyDescent="0.3"/>
  <cols>
    <col min="1" max="1" width="4.44140625" style="1" customWidth="1"/>
    <col min="2" max="2" width="14.6640625" style="1" customWidth="1"/>
    <col min="3" max="6" width="20.6640625" style="1" customWidth="1"/>
    <col min="7" max="7" width="14.5546875" style="1" bestFit="1" customWidth="1"/>
    <col min="8" max="8" width="13" style="1" bestFit="1" customWidth="1"/>
    <col min="9" max="16384" width="11.44140625" style="1"/>
  </cols>
  <sheetData>
    <row r="2" spans="2:7" x14ac:dyDescent="0.3">
      <c r="B2" s="2" t="s">
        <v>45</v>
      </c>
    </row>
    <row r="4" spans="2:7" x14ac:dyDescent="0.3">
      <c r="B4" s="20"/>
      <c r="C4" s="18" t="s">
        <v>41</v>
      </c>
      <c r="D4" s="18" t="s">
        <v>42</v>
      </c>
      <c r="E4" s="18" t="s">
        <v>43</v>
      </c>
      <c r="F4" s="18" t="s">
        <v>44</v>
      </c>
    </row>
    <row r="5" spans="2:7" x14ac:dyDescent="0.3">
      <c r="B5" s="1" t="s">
        <v>29</v>
      </c>
      <c r="C5" s="10">
        <v>25000</v>
      </c>
      <c r="D5" s="10">
        <v>17300</v>
      </c>
      <c r="E5" s="10">
        <v>5000</v>
      </c>
      <c r="F5" s="10">
        <v>104</v>
      </c>
    </row>
    <row r="6" spans="2:7" x14ac:dyDescent="0.3">
      <c r="B6" s="21" t="s">
        <v>47</v>
      </c>
      <c r="C6" s="22">
        <v>10</v>
      </c>
      <c r="D6" s="22">
        <v>25000</v>
      </c>
      <c r="E6" s="22">
        <v>50000</v>
      </c>
      <c r="F6" s="22">
        <v>100000000</v>
      </c>
    </row>
    <row r="7" spans="2:7" x14ac:dyDescent="0.3">
      <c r="B7" s="1" t="s">
        <v>37</v>
      </c>
      <c r="C7" s="10">
        <v>1000</v>
      </c>
      <c r="D7" s="10">
        <v>40</v>
      </c>
      <c r="E7" s="10">
        <v>100</v>
      </c>
      <c r="F7" s="10">
        <v>5</v>
      </c>
    </row>
    <row r="8" spans="2:7" x14ac:dyDescent="0.3">
      <c r="B8" s="21" t="s">
        <v>38</v>
      </c>
      <c r="C8" s="23">
        <v>7.0000000000000007E-2</v>
      </c>
      <c r="D8" s="23">
        <v>0.04</v>
      </c>
      <c r="E8" s="23">
        <v>0.08</v>
      </c>
      <c r="F8" s="23">
        <v>0.05</v>
      </c>
      <c r="G8" s="5"/>
    </row>
    <row r="9" spans="2:7" x14ac:dyDescent="0.3">
      <c r="B9" s="1" t="s">
        <v>39</v>
      </c>
      <c r="C9" s="5">
        <v>0.5</v>
      </c>
      <c r="D9" s="5">
        <v>0.25</v>
      </c>
      <c r="E9" s="5">
        <v>0.3</v>
      </c>
      <c r="F9" s="5">
        <v>0.5</v>
      </c>
    </row>
    <row r="10" spans="2:7" x14ac:dyDescent="0.3">
      <c r="B10" s="21" t="s">
        <v>40</v>
      </c>
      <c r="C10" s="23">
        <v>0.7</v>
      </c>
      <c r="D10" s="23">
        <v>0.7</v>
      </c>
      <c r="E10" s="23">
        <v>0.5</v>
      </c>
      <c r="F10" s="23">
        <v>0.5</v>
      </c>
      <c r="G10" s="12"/>
    </row>
    <row r="11" spans="2:7" x14ac:dyDescent="0.3">
      <c r="B11" s="1" t="s">
        <v>4</v>
      </c>
      <c r="C11" s="1">
        <v>30</v>
      </c>
      <c r="D11" s="1">
        <v>60</v>
      </c>
      <c r="E11" s="1">
        <v>90</v>
      </c>
      <c r="F11" s="1">
        <v>60</v>
      </c>
    </row>
    <row r="13" spans="2:7" x14ac:dyDescent="0.3">
      <c r="B13" s="24" t="s">
        <v>46</v>
      </c>
      <c r="C13" s="36">
        <f>C5*(1+C8)^(C11/360)</f>
        <v>25141.353634685132</v>
      </c>
      <c r="D13" s="36">
        <f t="shared" ref="D13:F13" si="0">D5*(1+D8)^(D11/360)</f>
        <v>17413.456807002476</v>
      </c>
      <c r="E13" s="36">
        <f t="shared" si="0"/>
        <v>5097.1327345413674</v>
      </c>
      <c r="F13" s="30">
        <f t="shared" si="0"/>
        <v>104.8491439893977</v>
      </c>
    </row>
    <row r="14" spans="2:7" x14ac:dyDescent="0.3">
      <c r="B14" s="25" t="s">
        <v>39</v>
      </c>
      <c r="C14" s="63">
        <f>C7*C6*C13*C9</f>
        <v>125706768.17342566</v>
      </c>
      <c r="D14" s="63">
        <f t="shared" ref="D14:F14" si="1">D7*D6*D13*D9</f>
        <v>4353364201.7506189</v>
      </c>
      <c r="E14" s="63">
        <f t="shared" si="1"/>
        <v>7645699101.8120508</v>
      </c>
      <c r="F14" s="31">
        <f t="shared" si="1"/>
        <v>26212285997.349426</v>
      </c>
    </row>
    <row r="15" spans="2:7" x14ac:dyDescent="0.3">
      <c r="B15" s="25" t="s">
        <v>40</v>
      </c>
      <c r="C15" s="63">
        <f>C14*C10</f>
        <v>87994737.721397951</v>
      </c>
      <c r="D15" s="63">
        <f t="shared" ref="D15:F15" si="2">D14*D10</f>
        <v>3047354941.2254329</v>
      </c>
      <c r="E15" s="63">
        <f t="shared" si="2"/>
        <v>3822849550.9060254</v>
      </c>
      <c r="F15" s="31">
        <f t="shared" si="2"/>
        <v>13106142998.674713</v>
      </c>
    </row>
    <row r="16" spans="2:7" x14ac:dyDescent="0.3">
      <c r="B16" s="25" t="s">
        <v>91</v>
      </c>
      <c r="C16" s="63">
        <f>C13-(C13*C9*(1-C10))</f>
        <v>21370.150589482364</v>
      </c>
      <c r="D16" s="63">
        <f t="shared" ref="D16:F16" si="3">D13-(D13*D9*(1-D10))</f>
        <v>16107.44754647729</v>
      </c>
      <c r="E16" s="63">
        <f t="shared" si="3"/>
        <v>4332.5628243601623</v>
      </c>
      <c r="F16" s="31">
        <f t="shared" si="3"/>
        <v>78.636857992048277</v>
      </c>
    </row>
    <row r="17" spans="2:8" x14ac:dyDescent="0.3">
      <c r="B17" s="26" t="s">
        <v>92</v>
      </c>
      <c r="C17" s="35">
        <f>C13+(C13*C9*(1-C10))</f>
        <v>28912.556679887901</v>
      </c>
      <c r="D17" s="35">
        <f t="shared" ref="D17:F17" si="4">D13+(D13*D9*(1-D10))</f>
        <v>18719.466067527661</v>
      </c>
      <c r="E17" s="35">
        <f t="shared" si="4"/>
        <v>5861.7026447225726</v>
      </c>
      <c r="F17" s="32">
        <f t="shared" si="4"/>
        <v>131.06142998674713</v>
      </c>
    </row>
    <row r="18" spans="2:8" x14ac:dyDescent="0.3">
      <c r="D18" s="10"/>
      <c r="G18" s="5"/>
    </row>
    <row r="19" spans="2:8" x14ac:dyDescent="0.3">
      <c r="B19" s="6" t="s">
        <v>48</v>
      </c>
      <c r="D19" s="10"/>
      <c r="G19" s="19"/>
      <c r="H19" s="19"/>
    </row>
    <row r="21" spans="2:8" x14ac:dyDescent="0.3">
      <c r="B21" s="2" t="s">
        <v>49</v>
      </c>
    </row>
    <row r="23" spans="2:8" x14ac:dyDescent="0.3">
      <c r="B23" s="57" t="s">
        <v>58</v>
      </c>
      <c r="C23" s="57"/>
      <c r="E23" s="57" t="s">
        <v>59</v>
      </c>
      <c r="F23" s="57"/>
    </row>
    <row r="24" spans="2:8" x14ac:dyDescent="0.3">
      <c r="B24" s="6" t="s">
        <v>46</v>
      </c>
      <c r="C24" s="9">
        <v>104</v>
      </c>
      <c r="E24" s="6" t="s">
        <v>46</v>
      </c>
      <c r="F24" s="9">
        <v>93</v>
      </c>
    </row>
    <row r="25" spans="2:8" x14ac:dyDescent="0.3">
      <c r="B25" s="6" t="s">
        <v>55</v>
      </c>
      <c r="C25" s="9" t="s">
        <v>56</v>
      </c>
      <c r="E25" s="6" t="s">
        <v>55</v>
      </c>
      <c r="F25" s="9" t="s">
        <v>57</v>
      </c>
    </row>
    <row r="26" spans="2:8" x14ac:dyDescent="0.3">
      <c r="B26" s="6" t="s">
        <v>50</v>
      </c>
      <c r="C26" s="5">
        <v>0.05</v>
      </c>
      <c r="E26" s="6" t="s">
        <v>50</v>
      </c>
      <c r="F26" s="5">
        <v>0.09</v>
      </c>
    </row>
    <row r="27" spans="2:8" x14ac:dyDescent="0.3">
      <c r="B27" s="6" t="s">
        <v>53</v>
      </c>
      <c r="C27" s="1">
        <v>2</v>
      </c>
      <c r="E27" s="6" t="s">
        <v>53</v>
      </c>
      <c r="F27" s="1">
        <v>3</v>
      </c>
    </row>
    <row r="28" spans="2:8" x14ac:dyDescent="0.3">
      <c r="B28" s="6" t="s">
        <v>51</v>
      </c>
      <c r="C28" s="17">
        <v>0.06</v>
      </c>
      <c r="E28" s="6" t="s">
        <v>51</v>
      </c>
      <c r="F28" s="17">
        <v>0.06</v>
      </c>
    </row>
    <row r="29" spans="2:8" x14ac:dyDescent="0.3">
      <c r="B29" s="6" t="s">
        <v>54</v>
      </c>
      <c r="C29" s="1">
        <v>90</v>
      </c>
      <c r="E29" s="6" t="s">
        <v>54</v>
      </c>
      <c r="F29" s="1">
        <v>30</v>
      </c>
    </row>
    <row r="30" spans="2:8" x14ac:dyDescent="0.3">
      <c r="B30" s="6"/>
      <c r="E30" s="6"/>
    </row>
    <row r="31" spans="2:8" x14ac:dyDescent="0.3">
      <c r="B31" s="24" t="s">
        <v>52</v>
      </c>
      <c r="C31" s="37">
        <f>C24/((1+C26)^(C27/360))</f>
        <v>103.97181394754726</v>
      </c>
      <c r="E31" s="24" t="s">
        <v>52</v>
      </c>
      <c r="F31" s="37">
        <f>F24/((1+F26)^(F27/360))</f>
        <v>92.933236261387506</v>
      </c>
    </row>
    <row r="32" spans="2:8" x14ac:dyDescent="0.3">
      <c r="B32" s="26" t="s">
        <v>55</v>
      </c>
      <c r="C32" s="64" t="s">
        <v>57</v>
      </c>
      <c r="E32" s="26" t="s">
        <v>55</v>
      </c>
      <c r="F32" s="38"/>
    </row>
    <row r="33" spans="2:6" x14ac:dyDescent="0.3">
      <c r="B33" s="6"/>
      <c r="C33" s="34"/>
      <c r="E33" s="6"/>
      <c r="F33" s="34"/>
    </row>
    <row r="34" spans="2:6" x14ac:dyDescent="0.3">
      <c r="B34" s="24" t="s">
        <v>60</v>
      </c>
      <c r="C34" s="37">
        <f>C31*(1+C28)^((C29+C27)/360)</f>
        <v>105.5316371183732</v>
      </c>
      <c r="E34" s="24" t="s">
        <v>60</v>
      </c>
      <c r="F34" s="37"/>
    </row>
    <row r="35" spans="2:6" x14ac:dyDescent="0.3">
      <c r="B35" s="26" t="s">
        <v>55</v>
      </c>
      <c r="C35" s="38" t="s">
        <v>56</v>
      </c>
      <c r="E35" s="26" t="s">
        <v>55</v>
      </c>
      <c r="F35" s="38"/>
    </row>
    <row r="36" spans="2:6" x14ac:dyDescent="0.3">
      <c r="F36" s="34"/>
    </row>
    <row r="37" spans="2:6" x14ac:dyDescent="0.3">
      <c r="B37" s="28" t="s">
        <v>61</v>
      </c>
      <c r="C37" s="27">
        <f>C31-C34</f>
        <v>-1.5598231708259362</v>
      </c>
      <c r="E37" s="28" t="s">
        <v>61</v>
      </c>
      <c r="F37" s="27">
        <f>F31-F34</f>
        <v>92.933236261387506</v>
      </c>
    </row>
  </sheetData>
  <mergeCells count="2">
    <mergeCell ref="B23:C23"/>
    <mergeCell ref="E23:F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5E73-8314-4743-A409-2D0C0FDCAE09}">
  <sheetPr>
    <tabColor rgb="FF002060"/>
  </sheetPr>
  <dimension ref="B2:BF40"/>
  <sheetViews>
    <sheetView showGridLines="0" tabSelected="1" workbookViewId="0">
      <pane xSplit="11436" topLeftCell="AX1" activePane="topRight"/>
      <selection activeCell="E22" sqref="E22"/>
      <selection pane="topRight" activeCell="AZ8" sqref="AZ8"/>
    </sheetView>
  </sheetViews>
  <sheetFormatPr baseColWidth="10" defaultColWidth="11.44140625" defaultRowHeight="14.4" x14ac:dyDescent="0.3"/>
  <cols>
    <col min="1" max="1" width="0.88671875" style="1" customWidth="1"/>
    <col min="2" max="2" width="11.44140625" style="1"/>
    <col min="3" max="3" width="11.44140625" style="2"/>
    <col min="4" max="10" width="11.44140625" style="1"/>
    <col min="11" max="11" width="1.33203125" style="1" customWidth="1"/>
    <col min="12" max="18" width="11.44140625" style="1"/>
    <col min="19" max="19" width="1.44140625" style="1" customWidth="1"/>
    <col min="20" max="26" width="11.44140625" style="1"/>
    <col min="27" max="27" width="4.109375" style="1" customWidth="1"/>
    <col min="28" max="34" width="11.44140625" style="1"/>
    <col min="35" max="35" width="1.44140625" style="1" customWidth="1"/>
    <col min="36" max="42" width="11.44140625" style="1"/>
    <col min="43" max="43" width="1.44140625" style="1" customWidth="1"/>
    <col min="44" max="50" width="11.44140625" style="1"/>
    <col min="51" max="51" width="1.6640625" style="1" customWidth="1"/>
    <col min="52" max="52" width="5.88671875" style="1" customWidth="1"/>
    <col min="53" max="16384" width="11.44140625" style="1"/>
  </cols>
  <sheetData>
    <row r="2" spans="2:58" x14ac:dyDescent="0.3">
      <c r="B2" s="58" t="s">
        <v>62</v>
      </c>
      <c r="C2" s="58"/>
      <c r="D2" s="58"/>
      <c r="E2" s="58"/>
      <c r="F2" s="58"/>
      <c r="G2" s="58"/>
      <c r="H2" s="58"/>
      <c r="I2" s="58"/>
      <c r="J2" s="58"/>
      <c r="L2" s="58" t="s">
        <v>63</v>
      </c>
      <c r="M2" s="58"/>
      <c r="N2" s="58"/>
      <c r="O2" s="58"/>
      <c r="P2" s="58"/>
      <c r="Q2" s="58"/>
      <c r="R2" s="58"/>
      <c r="T2" s="59" t="s">
        <v>65</v>
      </c>
      <c r="U2" s="59"/>
      <c r="V2" s="59"/>
      <c r="W2" s="59"/>
      <c r="X2" s="59"/>
      <c r="Y2" s="59"/>
      <c r="Z2" s="59"/>
      <c r="AB2" s="60" t="s">
        <v>93</v>
      </c>
      <c r="AC2" s="60"/>
      <c r="AD2" s="60"/>
      <c r="AE2" s="60"/>
      <c r="AF2" s="60"/>
      <c r="AG2" s="60"/>
      <c r="AH2" s="60"/>
      <c r="AJ2" s="60" t="s">
        <v>77</v>
      </c>
      <c r="AK2" s="60"/>
      <c r="AL2" s="60"/>
      <c r="AM2" s="60"/>
      <c r="AN2" s="60"/>
      <c r="AO2" s="60"/>
      <c r="AP2" s="60"/>
      <c r="AR2" s="60" t="s">
        <v>81</v>
      </c>
      <c r="AS2" s="60"/>
      <c r="AT2" s="60"/>
      <c r="AU2" s="60"/>
      <c r="AV2" s="60"/>
      <c r="AW2" s="60"/>
      <c r="AX2" s="60"/>
      <c r="AZ2" s="59" t="s">
        <v>87</v>
      </c>
      <c r="BA2" s="59"/>
      <c r="BB2" s="59"/>
      <c r="BC2" s="59"/>
      <c r="BD2" s="59"/>
      <c r="BE2" s="59"/>
      <c r="BF2" s="59"/>
    </row>
    <row r="4" spans="2:58" s="6" customFormat="1" x14ac:dyDescent="0.3">
      <c r="B4" s="3"/>
      <c r="C4" s="3"/>
      <c r="L4" s="1" t="s">
        <v>0</v>
      </c>
      <c r="M4" s="10">
        <v>5000</v>
      </c>
      <c r="T4" s="1" t="s">
        <v>0</v>
      </c>
      <c r="U4" s="41" t="s">
        <v>66</v>
      </c>
      <c r="AB4" s="1" t="s">
        <v>0</v>
      </c>
      <c r="AC4" s="48">
        <v>0.109</v>
      </c>
      <c r="AJ4" s="1" t="s">
        <v>0</v>
      </c>
      <c r="AK4" s="48" t="s">
        <v>78</v>
      </c>
      <c r="AR4" s="65" t="s">
        <v>0</v>
      </c>
      <c r="AS4" s="69" t="s">
        <v>94</v>
      </c>
      <c r="AZ4" s="1" t="s">
        <v>0</v>
      </c>
      <c r="BA4" s="48" t="s">
        <v>88</v>
      </c>
    </row>
    <row r="5" spans="2:58" x14ac:dyDescent="0.3">
      <c r="B5" s="2"/>
      <c r="L5" s="1" t="s">
        <v>1</v>
      </c>
      <c r="M5" s="10">
        <v>4925</v>
      </c>
      <c r="T5" s="1" t="s">
        <v>1</v>
      </c>
      <c r="U5" s="41" t="s">
        <v>67</v>
      </c>
      <c r="AB5" s="65" t="s">
        <v>1</v>
      </c>
      <c r="AC5" s="69">
        <v>0.112</v>
      </c>
      <c r="AJ5" s="1" t="s">
        <v>1</v>
      </c>
      <c r="AK5" s="48" t="s">
        <v>79</v>
      </c>
      <c r="AR5" s="1" t="s">
        <v>1</v>
      </c>
      <c r="AS5" s="48" t="s">
        <v>82</v>
      </c>
      <c r="AZ5" s="65" t="s">
        <v>1</v>
      </c>
      <c r="BA5" s="69" t="s">
        <v>97</v>
      </c>
    </row>
    <row r="6" spans="2:58" x14ac:dyDescent="0.3">
      <c r="B6" s="6"/>
      <c r="L6" s="65" t="s">
        <v>2</v>
      </c>
      <c r="M6" s="66">
        <v>5075</v>
      </c>
      <c r="T6" s="65" t="s">
        <v>2</v>
      </c>
      <c r="U6" s="67" t="s">
        <v>68</v>
      </c>
      <c r="AB6" s="1" t="s">
        <v>2</v>
      </c>
      <c r="AC6" s="48">
        <v>0.114</v>
      </c>
      <c r="AJ6" s="65" t="s">
        <v>2</v>
      </c>
      <c r="AK6" s="69" t="s">
        <v>80</v>
      </c>
      <c r="AR6" s="1" t="s">
        <v>2</v>
      </c>
      <c r="AS6" s="48" t="s">
        <v>95</v>
      </c>
      <c r="AZ6" s="1" t="s">
        <v>2</v>
      </c>
      <c r="BA6" s="48" t="s">
        <v>89</v>
      </c>
    </row>
    <row r="7" spans="2:58" x14ac:dyDescent="0.3">
      <c r="B7" s="6"/>
    </row>
    <row r="8" spans="2:58" x14ac:dyDescent="0.3">
      <c r="B8" s="6"/>
      <c r="L8" s="7"/>
      <c r="M8" s="7"/>
      <c r="N8" s="7"/>
      <c r="O8" s="7"/>
      <c r="P8" s="7"/>
      <c r="Q8" s="7"/>
      <c r="R8" s="7"/>
      <c r="T8" s="7"/>
      <c r="U8" s="7"/>
      <c r="V8" s="7"/>
      <c r="W8" s="7"/>
      <c r="X8" s="7"/>
      <c r="Y8" s="7"/>
      <c r="Z8" s="7"/>
      <c r="AB8" s="7"/>
      <c r="AC8" s="7"/>
      <c r="AD8" s="7"/>
      <c r="AE8" s="7"/>
      <c r="AF8" s="7"/>
      <c r="AG8" s="7"/>
      <c r="AH8" s="7"/>
      <c r="AJ8" s="7"/>
      <c r="AK8" s="7"/>
      <c r="AL8" s="7"/>
      <c r="AM8" s="7"/>
      <c r="AN8" s="7"/>
      <c r="AO8" s="7"/>
      <c r="AP8" s="7"/>
      <c r="AR8" s="7"/>
      <c r="AS8" s="7"/>
      <c r="AT8" s="7"/>
      <c r="AU8" s="7"/>
      <c r="AV8" s="7"/>
      <c r="AW8" s="7"/>
      <c r="AX8" s="7"/>
      <c r="AZ8" s="7"/>
      <c r="BA8" s="7"/>
      <c r="BB8" s="7"/>
      <c r="BC8" s="7"/>
      <c r="BD8" s="7"/>
      <c r="BE8" s="7"/>
      <c r="BF8" s="7"/>
    </row>
    <row r="9" spans="2:58" x14ac:dyDescent="0.3">
      <c r="L9" s="2" t="s">
        <v>29</v>
      </c>
      <c r="M9" s="33">
        <v>5000</v>
      </c>
      <c r="T9" s="2" t="s">
        <v>38</v>
      </c>
      <c r="U9" s="42">
        <f>5.9%</f>
        <v>5.9000000000000004E-2</v>
      </c>
      <c r="AC9" s="1" t="s">
        <v>90</v>
      </c>
      <c r="AD9" s="29">
        <v>0.05</v>
      </c>
      <c r="AJ9" s="2" t="s">
        <v>104</v>
      </c>
      <c r="AK9" s="42">
        <v>0.1</v>
      </c>
      <c r="AR9" s="2" t="s">
        <v>4</v>
      </c>
      <c r="AS9" s="34">
        <f>90/360</f>
        <v>0.25</v>
      </c>
      <c r="AU9" s="58" t="s">
        <v>84</v>
      </c>
      <c r="AV9" s="58"/>
      <c r="AZ9" s="2"/>
      <c r="BA9" s="34"/>
      <c r="BC9" s="56"/>
      <c r="BD9" s="56"/>
    </row>
    <row r="10" spans="2:58" x14ac:dyDescent="0.3">
      <c r="B10" s="6"/>
      <c r="L10" s="2" t="s">
        <v>5</v>
      </c>
      <c r="M10" s="34">
        <f>90/360</f>
        <v>0.25</v>
      </c>
      <c r="T10" s="2" t="s">
        <v>64</v>
      </c>
      <c r="U10" s="42">
        <v>6.0999999999999999E-2</v>
      </c>
      <c r="AC10" s="1" t="s">
        <v>38</v>
      </c>
      <c r="AD10" s="29">
        <v>5.8999999999999997E-2</v>
      </c>
      <c r="AJ10" s="2" t="s">
        <v>70</v>
      </c>
      <c r="AK10" s="42">
        <v>0.112</v>
      </c>
      <c r="AR10" s="2" t="s">
        <v>38</v>
      </c>
      <c r="AS10" s="29">
        <f>5.9%</f>
        <v>5.9000000000000004E-2</v>
      </c>
      <c r="AU10" s="1" t="s">
        <v>85</v>
      </c>
      <c r="AV10" s="10">
        <f>0.4*(1-0.5)*AS12</f>
        <v>1014.4344515911488</v>
      </c>
      <c r="AZ10" s="2"/>
      <c r="BA10" s="29"/>
      <c r="BD10" s="10"/>
    </row>
    <row r="11" spans="2:58" x14ac:dyDescent="0.3">
      <c r="L11" s="2" t="s">
        <v>64</v>
      </c>
      <c r="M11" s="29">
        <v>6.0999999999999999E-2</v>
      </c>
      <c r="T11" s="51" t="s">
        <v>6</v>
      </c>
      <c r="U11" s="68">
        <f>(U10-U9)*10000</f>
        <v>19.999999999999947</v>
      </c>
      <c r="AC11" s="1" t="s">
        <v>70</v>
      </c>
      <c r="AD11" s="43">
        <f>(1+AD9)*(1+AD10)-1</f>
        <v>0.11194999999999999</v>
      </c>
      <c r="AJ11" s="2"/>
      <c r="AK11" s="43"/>
      <c r="AR11" s="2" t="s">
        <v>29</v>
      </c>
      <c r="AS11" s="33">
        <v>5000</v>
      </c>
      <c r="AU11" s="1" t="s">
        <v>36</v>
      </c>
      <c r="AV11" s="10">
        <f>AS12+(AS12*0.4*(1-0.5))</f>
        <v>6086.6067095468925</v>
      </c>
      <c r="AZ11" s="2"/>
      <c r="BA11" s="33"/>
      <c r="BD11" s="10"/>
    </row>
    <row r="12" spans="2:58" x14ac:dyDescent="0.3">
      <c r="B12" s="3"/>
      <c r="C12" s="3"/>
      <c r="D12" s="6"/>
      <c r="L12" s="39" t="s">
        <v>30</v>
      </c>
      <c r="M12" s="40">
        <f>M9*(1+M11)^M10</f>
        <v>5074.5653571154426</v>
      </c>
      <c r="T12" s="39"/>
      <c r="U12" s="40"/>
      <c r="AR12" s="2" t="s">
        <v>73</v>
      </c>
      <c r="AS12" s="33">
        <f>AS11*(1+AS10)^AS9</f>
        <v>5072.1722579557436</v>
      </c>
      <c r="AU12" s="49" t="s">
        <v>86</v>
      </c>
      <c r="AV12" s="70">
        <f>AV11/AS11-1</f>
        <v>0.21732134190937846</v>
      </c>
      <c r="AZ12" s="2"/>
      <c r="BA12" s="33"/>
      <c r="BC12" s="6"/>
      <c r="BD12" s="50"/>
    </row>
    <row r="13" spans="2:58" x14ac:dyDescent="0.3">
      <c r="B13" s="2"/>
      <c r="AC13" s="58" t="s">
        <v>69</v>
      </c>
      <c r="AD13" s="58"/>
      <c r="AF13" s="58" t="s">
        <v>70</v>
      </c>
      <c r="AG13" s="58"/>
      <c r="AS13" s="12"/>
    </row>
    <row r="14" spans="2:58" x14ac:dyDescent="0.3">
      <c r="B14" s="6"/>
      <c r="AC14" s="1" t="s">
        <v>35</v>
      </c>
      <c r="AD14" s="34">
        <v>1</v>
      </c>
      <c r="AF14" s="1" t="s">
        <v>35</v>
      </c>
      <c r="AG14" s="45">
        <f>AD18</f>
        <v>1.0122722344290394</v>
      </c>
      <c r="AR14" s="2" t="s">
        <v>39</v>
      </c>
      <c r="AS14" s="33">
        <f>AS12*0.4</f>
        <v>2028.8689031822976</v>
      </c>
      <c r="AU14" s="49" t="s">
        <v>96</v>
      </c>
      <c r="AV14" s="52">
        <f>AS12+(0.4*(1-0.5))*AS12</f>
        <v>6086.6067095468925</v>
      </c>
      <c r="AZ14" s="2"/>
      <c r="BA14" s="33"/>
    </row>
    <row r="15" spans="2:58" x14ac:dyDescent="0.3">
      <c r="B15" s="6"/>
      <c r="AC15" s="1" t="s">
        <v>29</v>
      </c>
      <c r="AD15" s="34">
        <v>5000</v>
      </c>
      <c r="AF15" s="1" t="s">
        <v>38</v>
      </c>
      <c r="AG15" s="29">
        <v>5.8999999999999997E-2</v>
      </c>
      <c r="AR15" s="2" t="s">
        <v>83</v>
      </c>
      <c r="AS15" s="33">
        <f>AS14*0.5</f>
        <v>1014.4344515911488</v>
      </c>
      <c r="AZ15" s="2"/>
      <c r="BA15" s="33"/>
    </row>
    <row r="16" spans="2:58" x14ac:dyDescent="0.3">
      <c r="B16" s="6"/>
      <c r="AC16" s="1" t="s">
        <v>71</v>
      </c>
      <c r="AD16" s="29">
        <f>AD9</f>
        <v>0.05</v>
      </c>
      <c r="AF16" s="1" t="s">
        <v>4</v>
      </c>
      <c r="AG16" s="34">
        <f>90/360</f>
        <v>0.25</v>
      </c>
    </row>
    <row r="17" spans="2:33" x14ac:dyDescent="0.3">
      <c r="AC17" s="1" t="s">
        <v>4</v>
      </c>
      <c r="AD17" s="34">
        <f>90/360</f>
        <v>0.25</v>
      </c>
      <c r="AF17" s="1" t="s">
        <v>73</v>
      </c>
      <c r="AG17" s="46">
        <f>AD15*(1+AG15)^AG16</f>
        <v>5072.1722579557436</v>
      </c>
    </row>
    <row r="18" spans="2:33" x14ac:dyDescent="0.3">
      <c r="B18" s="6"/>
      <c r="AC18" s="1" t="s">
        <v>72</v>
      </c>
      <c r="AD18" s="45">
        <f>AD14*(1+AD16)^AD17</f>
        <v>1.0122722344290394</v>
      </c>
      <c r="AF18" s="1" t="s">
        <v>74</v>
      </c>
      <c r="AG18" s="46">
        <f>AG17*AG14</f>
        <v>5134.4191449698465</v>
      </c>
    </row>
    <row r="19" spans="2:33" x14ac:dyDescent="0.3">
      <c r="AD19" s="34"/>
    </row>
    <row r="20" spans="2:33" x14ac:dyDescent="0.3">
      <c r="B20" s="3"/>
      <c r="C20" s="3"/>
      <c r="AC20" s="2" t="s">
        <v>76</v>
      </c>
      <c r="AD20" s="42">
        <f>AG18/AD15-1</f>
        <v>2.6883828993969239E-2</v>
      </c>
    </row>
    <row r="21" spans="2:33" x14ac:dyDescent="0.3">
      <c r="B21" s="2"/>
      <c r="AC21" s="44" t="s">
        <v>75</v>
      </c>
      <c r="AD21" s="47">
        <f>EFFECT(AD20*4,4)</f>
        <v>0.11194999999999999</v>
      </c>
    </row>
    <row r="22" spans="2:33" x14ac:dyDescent="0.3">
      <c r="B22" s="6"/>
    </row>
    <row r="23" spans="2:33" x14ac:dyDescent="0.3">
      <c r="B23" s="6"/>
    </row>
    <row r="24" spans="2:33" x14ac:dyDescent="0.3">
      <c r="B24" s="6"/>
    </row>
    <row r="26" spans="2:33" x14ac:dyDescent="0.3">
      <c r="B26" s="6"/>
    </row>
    <row r="28" spans="2:33" x14ac:dyDescent="0.3">
      <c r="B28" s="3"/>
      <c r="C28" s="3"/>
    </row>
    <row r="29" spans="2:33" x14ac:dyDescent="0.3">
      <c r="B29" s="2"/>
    </row>
    <row r="30" spans="2:33" x14ac:dyDescent="0.3">
      <c r="B30" s="6"/>
    </row>
    <row r="31" spans="2:33" x14ac:dyDescent="0.3">
      <c r="B31" s="6"/>
    </row>
    <row r="32" spans="2:33" x14ac:dyDescent="0.3">
      <c r="B32" s="6"/>
    </row>
    <row r="34" spans="2:3" x14ac:dyDescent="0.3">
      <c r="B34" s="6"/>
    </row>
    <row r="36" spans="2:3" x14ac:dyDescent="0.3">
      <c r="B36" s="3"/>
      <c r="C36" s="3"/>
    </row>
    <row r="37" spans="2:3" x14ac:dyDescent="0.3">
      <c r="B37" s="2"/>
    </row>
    <row r="38" spans="2:3" x14ac:dyDescent="0.3">
      <c r="B38" s="6"/>
    </row>
    <row r="39" spans="2:3" x14ac:dyDescent="0.3">
      <c r="B39" s="6"/>
    </row>
    <row r="40" spans="2:3" x14ac:dyDescent="0.3">
      <c r="B40" s="6"/>
    </row>
  </sheetData>
  <mergeCells count="11">
    <mergeCell ref="AR2:AX2"/>
    <mergeCell ref="AU9:AV9"/>
    <mergeCell ref="AZ2:BF2"/>
    <mergeCell ref="BC9:BD9"/>
    <mergeCell ref="AB2:AH2"/>
    <mergeCell ref="B2:J2"/>
    <mergeCell ref="L2:R2"/>
    <mergeCell ref="T2:Z2"/>
    <mergeCell ref="AJ2:AP2"/>
    <mergeCell ref="AC13:AD13"/>
    <mergeCell ref="AF13:AG13"/>
  </mergeCells>
  <pageMargins left="0.7" right="0.7" top="0.75" bottom="0.75" header="0.3" footer="0.3"/>
  <pageSetup orientation="portrait" verticalDpi="597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3F7-4CF9-4DEB-B040-8C55B8C60102}">
  <sheetPr>
    <tabColor rgb="FF002060"/>
  </sheetPr>
  <dimension ref="B2:K19"/>
  <sheetViews>
    <sheetView showGridLines="0" workbookViewId="0">
      <selection activeCell="B12" sqref="B12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2"/>
    <col min="4" max="16384" width="11.44140625" style="1"/>
  </cols>
  <sheetData>
    <row r="2" spans="2:11" x14ac:dyDescent="0.3">
      <c r="B2" s="6" t="s">
        <v>98</v>
      </c>
    </row>
    <row r="4" spans="2:11" s="6" customFormat="1" x14ac:dyDescent="0.3">
      <c r="B4" s="2" t="s">
        <v>102</v>
      </c>
      <c r="C4" s="3"/>
      <c r="K4" s="3"/>
    </row>
    <row r="5" spans="2:11" x14ac:dyDescent="0.3">
      <c r="B5" s="3"/>
      <c r="K5" s="3"/>
    </row>
    <row r="6" spans="2:11" x14ac:dyDescent="0.3">
      <c r="B6" s="6" t="s">
        <v>99</v>
      </c>
      <c r="K6" s="3"/>
    </row>
    <row r="7" spans="2:11" x14ac:dyDescent="0.3">
      <c r="B7" s="6"/>
      <c r="K7" s="3"/>
    </row>
    <row r="8" spans="2:11" x14ac:dyDescent="0.3">
      <c r="B8" s="2" t="s">
        <v>101</v>
      </c>
      <c r="K8" s="3"/>
    </row>
    <row r="9" spans="2:11" x14ac:dyDescent="0.3">
      <c r="B9" s="6"/>
    </row>
    <row r="10" spans="2:11" x14ac:dyDescent="0.3">
      <c r="B10" s="6" t="s">
        <v>100</v>
      </c>
    </row>
    <row r="12" spans="2:11" x14ac:dyDescent="0.3">
      <c r="B12" s="2" t="s">
        <v>103</v>
      </c>
    </row>
    <row r="16" spans="2:11" x14ac:dyDescent="0.3">
      <c r="B16" s="53"/>
    </row>
    <row r="19" spans="2:2" x14ac:dyDescent="0.3">
      <c r="B19" s="6"/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S2</vt:lpstr>
      <vt:lpstr>S3</vt:lpstr>
      <vt:lpstr>S4</vt:lpstr>
      <vt:lpstr>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Alonso Villamil</dc:creator>
  <cp:lastModifiedBy>NICOLÁS GONZÁLEZ</cp:lastModifiedBy>
  <dcterms:created xsi:type="dcterms:W3CDTF">2022-07-25T13:23:41Z</dcterms:created>
  <dcterms:modified xsi:type="dcterms:W3CDTF">2023-07-15T17:50:11Z</dcterms:modified>
</cp:coreProperties>
</file>