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Mi unidad\EAFIT\MICROECONOMÍA\"/>
    </mc:Choice>
  </mc:AlternateContent>
  <xr:revisionPtr revIDLastSave="0" documentId="8_{DF688CB1-55E9-423C-8436-E54D937DD3AA}" xr6:coauthVersionLast="47" xr6:coauthVersionMax="47" xr10:uidLastSave="{00000000-0000-0000-0000-000000000000}"/>
  <bookViews>
    <workbookView xWindow="-108" yWindow="-108" windowWidth="23256" windowHeight="12456" xr2:uid="{B81E17C3-5D7C-4F73-80E5-2188B9697ACE}"/>
  </bookViews>
  <sheets>
    <sheet name="Hoja2" sheetId="2" r:id="rId1"/>
    <sheet name="Hoja2 (2)" sheetId="3" r:id="rId2"/>
    <sheet name="Molto" sheetId="1" r:id="rId3"/>
  </sheets>
  <externalReferences>
    <externalReference r:id="rId4"/>
    <externalReference r:id="rId5"/>
  </externalReferences>
  <definedNames>
    <definedName name="solver_adj" localSheetId="0" hidden="1">Hoja2!$B$61</definedName>
    <definedName name="solver_adj" localSheetId="1" hidden="1">'Hoja2 (2)'!$B$57</definedName>
    <definedName name="solver_adj" localSheetId="2" hidden="1">Molto!$B$23</definedName>
    <definedName name="solver_cvg" localSheetId="0" hidden="1">0.0001</definedName>
    <definedName name="solver_cvg" localSheetId="1" hidden="1">0.0001</definedName>
    <definedName name="solver_cvg" localSheetId="2" hidden="1">0.0001</definedName>
    <definedName name="solver_drv" localSheetId="0" hidden="1">1</definedName>
    <definedName name="solver_drv" localSheetId="1" hidden="1">1</definedName>
    <definedName name="solver_drv" localSheetId="2" hidden="1">1</definedName>
    <definedName name="solver_eng" localSheetId="0" hidden="1">1</definedName>
    <definedName name="solver_eng" localSheetId="1" hidden="1">1</definedName>
    <definedName name="solver_eng" localSheetId="2" hidden="1">1</definedName>
    <definedName name="solver_est" localSheetId="0" hidden="1">1</definedName>
    <definedName name="solver_est" localSheetId="1" hidden="1">1</definedName>
    <definedName name="solver_est" localSheetId="2" hidden="1">1</definedName>
    <definedName name="solver_itr" localSheetId="0" hidden="1">2147483647</definedName>
    <definedName name="solver_itr" localSheetId="1" hidden="1">2147483647</definedName>
    <definedName name="solver_itr" localSheetId="2" hidden="1">2147483647</definedName>
    <definedName name="solver_mip" localSheetId="0" hidden="1">2147483647</definedName>
    <definedName name="solver_mip" localSheetId="1" hidden="1">2147483647</definedName>
    <definedName name="solver_mip" localSheetId="2" hidden="1">2147483647</definedName>
    <definedName name="solver_mni" localSheetId="0" hidden="1">30</definedName>
    <definedName name="solver_mni" localSheetId="1" hidden="1">30</definedName>
    <definedName name="solver_mni" localSheetId="2" hidden="1">30</definedName>
    <definedName name="solver_mrt" localSheetId="0" hidden="1">0.075</definedName>
    <definedName name="solver_mrt" localSheetId="1" hidden="1">0.075</definedName>
    <definedName name="solver_mrt" localSheetId="2" hidden="1">0.075</definedName>
    <definedName name="solver_msl" localSheetId="0" hidden="1">2</definedName>
    <definedName name="solver_msl" localSheetId="1" hidden="1">2</definedName>
    <definedName name="solver_msl" localSheetId="2" hidden="1">2</definedName>
    <definedName name="solver_neg" localSheetId="0" hidden="1">1</definedName>
    <definedName name="solver_neg" localSheetId="1" hidden="1">1</definedName>
    <definedName name="solver_neg" localSheetId="2" hidden="1">1</definedName>
    <definedName name="solver_nod" localSheetId="0" hidden="1">2147483647</definedName>
    <definedName name="solver_nod" localSheetId="1" hidden="1">2147483647</definedName>
    <definedName name="solver_nod" localSheetId="2" hidden="1">2147483647</definedName>
    <definedName name="solver_num" localSheetId="0" hidden="1">0</definedName>
    <definedName name="solver_num" localSheetId="1" hidden="1">0</definedName>
    <definedName name="solver_num" localSheetId="2" hidden="1">0</definedName>
    <definedName name="solver_nwt" localSheetId="0" hidden="1">1</definedName>
    <definedName name="solver_nwt" localSheetId="1" hidden="1">1</definedName>
    <definedName name="solver_nwt" localSheetId="2" hidden="1">1</definedName>
    <definedName name="solver_opt" localSheetId="0" hidden="1">Hoja2!$F$61</definedName>
    <definedName name="solver_opt" localSheetId="1" hidden="1">'Hoja2 (2)'!$F$57</definedName>
    <definedName name="solver_opt" localSheetId="2" hidden="1">Molto!$F$23</definedName>
    <definedName name="solver_pre" localSheetId="0" hidden="1">0.000001</definedName>
    <definedName name="solver_pre" localSheetId="1" hidden="1">0.000001</definedName>
    <definedName name="solver_pre" localSheetId="2" hidden="1">0.000001</definedName>
    <definedName name="solver_rbv" localSheetId="0" hidden="1">1</definedName>
    <definedName name="solver_rbv" localSheetId="1" hidden="1">1</definedName>
    <definedName name="solver_rbv" localSheetId="2" hidden="1">1</definedName>
    <definedName name="solver_rlx" localSheetId="0" hidden="1">2</definedName>
    <definedName name="solver_rlx" localSheetId="1" hidden="1">2</definedName>
    <definedName name="solver_rlx" localSheetId="2" hidden="1">2</definedName>
    <definedName name="solver_rsd" localSheetId="0" hidden="1">0</definedName>
    <definedName name="solver_rsd" localSheetId="1" hidden="1">0</definedName>
    <definedName name="solver_rsd" localSheetId="2" hidden="1">0</definedName>
    <definedName name="solver_scl" localSheetId="0" hidden="1">1</definedName>
    <definedName name="solver_scl" localSheetId="1" hidden="1">1</definedName>
    <definedName name="solver_scl" localSheetId="2" hidden="1">1</definedName>
    <definedName name="solver_sho" localSheetId="0" hidden="1">2</definedName>
    <definedName name="solver_sho" localSheetId="1" hidden="1">2</definedName>
    <definedName name="solver_sho" localSheetId="2" hidden="1">2</definedName>
    <definedName name="solver_ssz" localSheetId="0" hidden="1">100</definedName>
    <definedName name="solver_ssz" localSheetId="1" hidden="1">100</definedName>
    <definedName name="solver_ssz" localSheetId="2" hidden="1">100</definedName>
    <definedName name="solver_tim" localSheetId="0" hidden="1">2147483647</definedName>
    <definedName name="solver_tim" localSheetId="1" hidden="1">2147483647</definedName>
    <definedName name="solver_tim" localSheetId="2" hidden="1">2147483647</definedName>
    <definedName name="solver_tol" localSheetId="0" hidden="1">0.01</definedName>
    <definedName name="solver_tol" localSheetId="1" hidden="1">0.01</definedName>
    <definedName name="solver_tol" localSheetId="2" hidden="1">0.01</definedName>
    <definedName name="solver_typ" localSheetId="0" hidden="1">1</definedName>
    <definedName name="solver_typ" localSheetId="1" hidden="1">1</definedName>
    <definedName name="solver_typ" localSheetId="2" hidden="1">1</definedName>
    <definedName name="solver_val" localSheetId="0" hidden="1">0</definedName>
    <definedName name="solver_val" localSheetId="1" hidden="1">0</definedName>
    <definedName name="solver_val" localSheetId="2" hidden="1">0</definedName>
    <definedName name="solver_ver" localSheetId="0" hidden="1">3</definedName>
    <definedName name="solver_ver" localSheetId="1" hidden="1">3</definedName>
    <definedName name="solver_ver" localSheetId="2"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6" i="3" l="1"/>
  <c r="C56" i="3"/>
  <c r="G56" i="3" s="1"/>
  <c r="E63" i="3"/>
  <c r="C63" i="3"/>
  <c r="G63" i="3" s="1"/>
  <c r="E59" i="3"/>
  <c r="C59" i="3"/>
  <c r="G59" i="3" s="1"/>
  <c r="G57" i="3"/>
  <c r="E57" i="3"/>
  <c r="C57" i="3"/>
  <c r="D57" i="3" s="1"/>
  <c r="F57" i="3" s="1"/>
  <c r="B53" i="3"/>
  <c r="E53" i="3" s="1"/>
  <c r="E52" i="3"/>
  <c r="C52" i="3"/>
  <c r="G52" i="3" s="1"/>
  <c r="G44" i="3"/>
  <c r="C43" i="3"/>
  <c r="G40" i="3"/>
  <c r="G41" i="3" s="1"/>
  <c r="D41" i="3" s="1"/>
  <c r="D40" i="3"/>
  <c r="C26" i="3"/>
  <c r="C25" i="3"/>
  <c r="F24" i="3"/>
  <c r="H24" i="3" s="1"/>
  <c r="F23" i="3"/>
  <c r="H23" i="3" s="1"/>
  <c r="C20" i="3"/>
  <c r="F21" i="3" s="1"/>
  <c r="H21" i="3" s="1"/>
  <c r="C15" i="3"/>
  <c r="F14" i="3"/>
  <c r="H14" i="3" s="1"/>
  <c r="L12" i="3"/>
  <c r="C11" i="3"/>
  <c r="F11" i="3" s="1"/>
  <c r="H10" i="3"/>
  <c r="H11" i="3" s="1"/>
  <c r="E61" i="2"/>
  <c r="E63" i="2"/>
  <c r="E67" i="2"/>
  <c r="E57" i="2"/>
  <c r="L16" i="2"/>
  <c r="C61" i="2"/>
  <c r="D61" i="2" s="1"/>
  <c r="C63" i="2"/>
  <c r="G63" i="2" s="1"/>
  <c r="C67" i="2"/>
  <c r="G67" i="2" s="1"/>
  <c r="B58" i="2"/>
  <c r="B59" i="2" s="1"/>
  <c r="B60" i="2" s="1"/>
  <c r="B62" i="2" s="1"/>
  <c r="B64" i="2" s="1"/>
  <c r="B65" i="2" s="1"/>
  <c r="B66" i="2" s="1"/>
  <c r="C66" i="2" s="1"/>
  <c r="G66" i="2" s="1"/>
  <c r="C57" i="2"/>
  <c r="G57" i="2" s="1"/>
  <c r="L17" i="2"/>
  <c r="G49" i="2"/>
  <c r="D45" i="2" s="1"/>
  <c r="C48" i="2"/>
  <c r="G45" i="2"/>
  <c r="G46" i="2" s="1"/>
  <c r="D46" i="2" s="1"/>
  <c r="H15" i="2"/>
  <c r="H16" i="2" s="1"/>
  <c r="F29" i="2"/>
  <c r="H29" i="2" s="1"/>
  <c r="F28" i="2"/>
  <c r="H28" i="2" s="1"/>
  <c r="F19" i="2"/>
  <c r="H19" i="2" s="1"/>
  <c r="C31" i="2"/>
  <c r="C30" i="2"/>
  <c r="C20" i="2"/>
  <c r="C25" i="2"/>
  <c r="F26" i="2" s="1"/>
  <c r="H26" i="2" s="1"/>
  <c r="C16" i="2"/>
  <c r="F16" i="2" s="1"/>
  <c r="G23" i="1"/>
  <c r="E23" i="1"/>
  <c r="F23" i="1" s="1"/>
  <c r="D23" i="1"/>
  <c r="C23" i="1"/>
  <c r="E20" i="1"/>
  <c r="C20" i="1"/>
  <c r="D20" i="1" s="1"/>
  <c r="F20" i="1" s="1"/>
  <c r="G15" i="1"/>
  <c r="F15" i="1"/>
  <c r="E15" i="1"/>
  <c r="D15" i="1"/>
  <c r="C15" i="1"/>
  <c r="B13" i="1"/>
  <c r="B14" i="1" s="1"/>
  <c r="B12" i="1"/>
  <c r="E12" i="1" s="1"/>
  <c r="G11" i="1"/>
  <c r="E11" i="1"/>
  <c r="C11" i="1"/>
  <c r="D11" i="1" s="1"/>
  <c r="F11" i="1" s="1"/>
  <c r="B11" i="1"/>
  <c r="E10" i="1"/>
  <c r="D10" i="1"/>
  <c r="F10" i="1" s="1"/>
  <c r="C10" i="1"/>
  <c r="G10" i="1" s="1"/>
  <c r="E5" i="1"/>
  <c r="E4" i="1"/>
  <c r="D63" i="2" l="1"/>
  <c r="F63" i="2" s="1"/>
  <c r="E62" i="2"/>
  <c r="E60" i="2"/>
  <c r="E66" i="2"/>
  <c r="E64" i="2"/>
  <c r="E59" i="2"/>
  <c r="E58" i="2"/>
  <c r="C65" i="2"/>
  <c r="G65" i="2" s="1"/>
  <c r="E65" i="2"/>
  <c r="C62" i="2"/>
  <c r="D56" i="3"/>
  <c r="F56" i="3" s="1"/>
  <c r="B54" i="3"/>
  <c r="D63" i="3"/>
  <c r="F63" i="3" s="1"/>
  <c r="C53" i="3"/>
  <c r="F28" i="3"/>
  <c r="L11" i="3"/>
  <c r="M11" i="3" s="1"/>
  <c r="H28" i="3"/>
  <c r="D59" i="3"/>
  <c r="F59" i="3" s="1"/>
  <c r="C28" i="3"/>
  <c r="E54" i="3"/>
  <c r="C12" i="3"/>
  <c r="C29" i="3" s="1"/>
  <c r="D52" i="3"/>
  <c r="F52" i="3" s="1"/>
  <c r="B55" i="3"/>
  <c r="C54" i="3"/>
  <c r="G54" i="3" s="1"/>
  <c r="G61" i="2"/>
  <c r="F61" i="2"/>
  <c r="D67" i="2"/>
  <c r="F67" i="2" s="1"/>
  <c r="C60" i="2"/>
  <c r="C64" i="2"/>
  <c r="D64" i="2" s="1"/>
  <c r="F64" i="2" s="1"/>
  <c r="D66" i="2"/>
  <c r="C59" i="2"/>
  <c r="G59" i="2" s="1"/>
  <c r="C58" i="2"/>
  <c r="G58" i="2" s="1"/>
  <c r="M16" i="2"/>
  <c r="D57" i="2"/>
  <c r="F57" i="2" s="1"/>
  <c r="F33" i="2"/>
  <c r="H33" i="2"/>
  <c r="C33" i="2"/>
  <c r="C17" i="2"/>
  <c r="C34" i="2" s="1"/>
  <c r="C14" i="1"/>
  <c r="G14" i="1" s="1"/>
  <c r="B16" i="1"/>
  <c r="D14" i="1"/>
  <c r="F14" i="1" s="1"/>
  <c r="E14" i="1"/>
  <c r="C12" i="1"/>
  <c r="G12" i="1" s="1"/>
  <c r="E13" i="1"/>
  <c r="G20" i="1"/>
  <c r="C13" i="1"/>
  <c r="G13" i="1" s="1"/>
  <c r="D13" i="1"/>
  <c r="F13" i="1" s="1"/>
  <c r="D58" i="2" l="1"/>
  <c r="F58" i="2" s="1"/>
  <c r="D65" i="2"/>
  <c r="F65" i="2" s="1"/>
  <c r="D53" i="3"/>
  <c r="F53" i="3" s="1"/>
  <c r="G53" i="3"/>
  <c r="B58" i="3"/>
  <c r="E55" i="3"/>
  <c r="C55" i="3"/>
  <c r="G55" i="3" s="1"/>
  <c r="D55" i="3"/>
  <c r="F55" i="3" s="1"/>
  <c r="D54" i="3"/>
  <c r="F54" i="3" s="1"/>
  <c r="G62" i="2"/>
  <c r="D62" i="2"/>
  <c r="F62" i="2" s="1"/>
  <c r="F66" i="2"/>
  <c r="G64" i="2"/>
  <c r="D60" i="2"/>
  <c r="F60" i="2" s="1"/>
  <c r="G60" i="2"/>
  <c r="D59" i="2"/>
  <c r="F59" i="2" s="1"/>
  <c r="D12" i="1"/>
  <c r="F12" i="1" s="1"/>
  <c r="B17" i="1"/>
  <c r="C16" i="1"/>
  <c r="G16" i="1" s="1"/>
  <c r="E16" i="1"/>
  <c r="C58" i="3" l="1"/>
  <c r="G58" i="3" s="1"/>
  <c r="B60" i="3"/>
  <c r="E58" i="3"/>
  <c r="B18" i="1"/>
  <c r="E17" i="1"/>
  <c r="C17" i="1"/>
  <c r="G17" i="1" s="1"/>
  <c r="D16" i="1"/>
  <c r="F16" i="1" s="1"/>
  <c r="D58" i="3" l="1"/>
  <c r="F58" i="3" s="1"/>
  <c r="B61" i="3"/>
  <c r="E60" i="3"/>
  <c r="C60" i="3"/>
  <c r="G60" i="3" s="1"/>
  <c r="C18" i="1"/>
  <c r="G18" i="1" s="1"/>
  <c r="E18" i="1"/>
  <c r="B19" i="1"/>
  <c r="D17" i="1"/>
  <c r="F17" i="1" s="1"/>
  <c r="D60" i="3" l="1"/>
  <c r="F60" i="3" s="1"/>
  <c r="E61" i="3"/>
  <c r="C61" i="3"/>
  <c r="G61" i="3" s="1"/>
  <c r="B62" i="3"/>
  <c r="D18" i="1"/>
  <c r="F18" i="1" s="1"/>
  <c r="E19" i="1"/>
  <c r="D19" i="1"/>
  <c r="F19" i="1" s="1"/>
  <c r="C19" i="1"/>
  <c r="G19" i="1" s="1"/>
  <c r="C62" i="3" l="1"/>
  <c r="G62" i="3" s="1"/>
  <c r="E62" i="3"/>
  <c r="D61" i="3"/>
  <c r="F61" i="3" s="1"/>
  <c r="D62" i="3" l="1"/>
  <c r="F62" i="3" s="1"/>
</calcChain>
</file>

<file path=xl/sharedStrings.xml><?xml version="1.0" encoding="utf-8"?>
<sst xmlns="http://schemas.openxmlformats.org/spreadsheetml/2006/main" count="168" uniqueCount="68">
  <si>
    <t>Cantidades</t>
  </si>
  <si>
    <t>Precio</t>
  </si>
  <si>
    <t>Deriv IT</t>
  </si>
  <si>
    <t>0 en P</t>
  </si>
  <si>
    <t xml:space="preserve"> </t>
  </si>
  <si>
    <t>Q</t>
  </si>
  <si>
    <t>P=3,1765-0,0118*Q</t>
  </si>
  <si>
    <t>IT=P*Q</t>
  </si>
  <si>
    <t>CT=60+1,2Q</t>
  </si>
  <si>
    <t>B=IT-CT</t>
  </si>
  <si>
    <t>Ed=(-1/0,0118)*(P/Q)</t>
  </si>
  <si>
    <t>Precio 1</t>
  </si>
  <si>
    <t>Precio 2</t>
  </si>
  <si>
    <t>Elasticidad 1</t>
  </si>
  <si>
    <t>Elasticidad 2</t>
  </si>
  <si>
    <t>Ventas en UK</t>
  </si>
  <si>
    <t>Precio Unitario</t>
  </si>
  <si>
    <t>Ventas en Libras</t>
  </si>
  <si>
    <t>Mano de Obra (variable)</t>
  </si>
  <si>
    <t>Libras</t>
  </si>
  <si>
    <t>Importaciones de Máquinas</t>
  </si>
  <si>
    <t>Unidad</t>
  </si>
  <si>
    <t>Euros</t>
  </si>
  <si>
    <t>Cantidad</t>
  </si>
  <si>
    <t>Importaciones Totales</t>
  </si>
  <si>
    <t>Costos de Mercadeo y Dist</t>
  </si>
  <si>
    <t>Otros costos fijos</t>
  </si>
  <si>
    <t>Utilidades</t>
  </si>
  <si>
    <t>Ventas en Euros</t>
  </si>
  <si>
    <t>PRE BREXIT</t>
  </si>
  <si>
    <t>1. POST BREXIT</t>
  </si>
  <si>
    <t>2. Ed -1.1</t>
  </si>
  <si>
    <t>Porque no todos los oferentes tienen las mismas condiciones, como la importación de las máquinas, ni reaccionan de la misma manera ante los cambios del mercado. Por ejemplo, algunos competidores pueden tener todos sus costos e ingresos en libras.</t>
  </si>
  <si>
    <t>P</t>
  </si>
  <si>
    <t>X1</t>
  </si>
  <si>
    <t>Elasticidad</t>
  </si>
  <si>
    <t>X0</t>
  </si>
  <si>
    <t>Var P</t>
  </si>
  <si>
    <t>Var Q</t>
  </si>
  <si>
    <t>P = -0.0045X + 381.82</t>
  </si>
  <si>
    <t>Q Max</t>
  </si>
  <si>
    <t>P Max</t>
  </si>
  <si>
    <t>2. Porque cree que la elasticidad precio demanda puede ser - 1.1 según el caso y las características del producto?</t>
  </si>
  <si>
    <t xml:space="preserve">3. Si la Ed = - 1.1 estime la función de demanda de Molto Delizioso. </t>
  </si>
  <si>
    <t xml:space="preserve">4. Dada la función de demanda estime la función de ingresos totales. </t>
  </si>
  <si>
    <t>IT=(-0.0045Q+381.82)*Q</t>
  </si>
  <si>
    <t>Total Variables</t>
  </si>
  <si>
    <t>Total Fijos</t>
  </si>
  <si>
    <t>Ed=(-1/-0,0045)*(P/Q)</t>
  </si>
  <si>
    <t>Función CT</t>
  </si>
  <si>
    <t>Función BT</t>
  </si>
  <si>
    <t>CT=900.000+71,176474Q</t>
  </si>
  <si>
    <t>-0,0045x^2+310,64x-900000</t>
  </si>
  <si>
    <t>5. Precio y Q que Maximiza IT</t>
  </si>
  <si>
    <t>6. Función de CT</t>
  </si>
  <si>
    <t>7.	Encuentre la función de beneficios totales.</t>
  </si>
  <si>
    <t>8. Precio y Q que Maximiza Beneficios</t>
  </si>
  <si>
    <t xml:space="preserve">9.	Haga la gráfica correspondiente de la demanda, los ingresos totales y los beneficios. Analice. </t>
  </si>
  <si>
    <t xml:space="preserve">10.	Realice un análisis completo como consultor para Molto Delizioso en términos de la estrategia que debe implementar y las implicaciones del Brexit para la subsidiaria en UK. </t>
  </si>
  <si>
    <t>1. En caso de mantener el precio estable, la utilidad en libras se cae  en $1.5MM Libras y la matriz recibe $2.6MM de dolares menos.</t>
  </si>
  <si>
    <t>2. Cuando la compañía decida incrementar el precio a 235, su demanda se reducirá en 8.000 unidades, significando una perdida de $400K libras, pero incrementando el beneficio total de la compañía en $200K</t>
  </si>
  <si>
    <t>3. Adicionalmente, se sugiere quela compañía no incremente su  precio hasta 235, es recomendable el precio de 226 dado que tendrán que producir 6000 unidades adicionales pero percibirán una leve mejora de $30K libras en su beneficio total. Es importante recalcarque se busca la minimización de la pérdida, esto debido a la devaluación de la libra que frente al escenario base significa menos euros (- $600K euros)</t>
  </si>
  <si>
    <t>Taller Molto</t>
  </si>
  <si>
    <t>Diego Vallejo</t>
  </si>
  <si>
    <t>Daniel Gómez</t>
  </si>
  <si>
    <t>Juan Camilo Escobar</t>
  </si>
  <si>
    <t>Nicolás Gómez</t>
  </si>
  <si>
    <t>Santiago Ulloa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</si>
</sst>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_-* #,##0.000_-;\-* #,##0.000_-;_-* &quot;-&quot;??_-;_-@_-"/>
    <numFmt numFmtId="167" formatCode="_-* #,##0_-;\-* #,##0_-;_-* &quot;-&quot;??_-;_-@_-"/>
    <numFmt numFmtId="173" formatCode="_-* #,##0.00_-;\-* #,##0.00_-;_-* &quot;-&quot;??_-;_-@_-"/>
    <numFmt numFmtId="178" formatCode="_-* #,##0.00000000_-;\-* #,##0.00000000_-;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173" fontId="1" fillId="0" borderId="0" applyFont="0" applyFill="0" applyBorder="0" applyAlignment="0" applyProtection="0"/>
  </cellStyleXfs>
  <cellXfs count="34">
    <xf numFmtId="0" fontId="0" fillId="0" borderId="0" xfId="0"/>
    <xf numFmtId="0" fontId="2" fillId="2" borderId="0" xfId="0" applyFont="1" applyFill="1" applyAlignment="1">
      <alignment horizontal="center"/>
    </xf>
    <xf numFmtId="0" fontId="0" fillId="2" borderId="0" xfId="0" applyFill="1"/>
    <xf numFmtId="0" fontId="2" fillId="3" borderId="1" xfId="0" applyFont="1" applyFill="1" applyBorder="1"/>
    <xf numFmtId="0" fontId="2" fillId="2" borderId="0" xfId="0" applyFont="1" applyFill="1"/>
    <xf numFmtId="0" fontId="0" fillId="2" borderId="1" xfId="0" applyFill="1" applyBorder="1"/>
    <xf numFmtId="43" fontId="0" fillId="2" borderId="1" xfId="1" applyFont="1" applyFill="1" applyBorder="1"/>
    <xf numFmtId="164" fontId="0" fillId="2" borderId="1" xfId="0" applyNumberFormat="1" applyFill="1" applyBorder="1"/>
    <xf numFmtId="167" fontId="0" fillId="2" borderId="0" xfId="1" applyNumberFormat="1" applyFont="1" applyFill="1"/>
    <xf numFmtId="167" fontId="0" fillId="2" borderId="0" xfId="0" applyNumberFormat="1" applyFill="1"/>
    <xf numFmtId="0" fontId="2" fillId="4" borderId="0" xfId="0" applyFont="1" applyFill="1" applyAlignment="1">
      <alignment horizontal="center"/>
    </xf>
    <xf numFmtId="0" fontId="2" fillId="4" borderId="0" xfId="0" applyFont="1" applyFill="1" applyAlignment="1">
      <alignment horizontal="center"/>
    </xf>
    <xf numFmtId="0" fontId="2" fillId="2" borderId="0" xfId="0" applyFont="1" applyFill="1" applyAlignment="1"/>
    <xf numFmtId="0" fontId="0" fillId="2" borderId="0" xfId="0" applyFill="1" applyAlignment="1">
      <alignment horizontal="left" wrapText="1"/>
    </xf>
    <xf numFmtId="10" fontId="0" fillId="2" borderId="0" xfId="2" applyNumberFormat="1" applyFont="1" applyFill="1"/>
    <xf numFmtId="167" fontId="0" fillId="2" borderId="1" xfId="1" applyNumberFormat="1" applyFont="1" applyFill="1" applyBorder="1" applyAlignment="1">
      <alignment horizontal="center"/>
    </xf>
    <xf numFmtId="0" fontId="0" fillId="2" borderId="1" xfId="0" applyFill="1" applyBorder="1" applyAlignment="1">
      <alignment horizontal="center"/>
    </xf>
    <xf numFmtId="167" fontId="0" fillId="2" borderId="1" xfId="1" applyNumberFormat="1" applyFont="1" applyFill="1" applyBorder="1"/>
    <xf numFmtId="0" fontId="0" fillId="5" borderId="1" xfId="0" applyFill="1" applyBorder="1"/>
    <xf numFmtId="0" fontId="2" fillId="5" borderId="1" xfId="0" applyFont="1" applyFill="1" applyBorder="1" applyAlignment="1">
      <alignment horizontal="center"/>
    </xf>
    <xf numFmtId="165" fontId="0" fillId="2" borderId="0" xfId="0" applyNumberFormat="1" applyFill="1"/>
    <xf numFmtId="167" fontId="0" fillId="2" borderId="1" xfId="0" applyNumberFormat="1" applyFill="1" applyBorder="1"/>
    <xf numFmtId="43" fontId="0" fillId="2" borderId="1" xfId="1" applyNumberFormat="1" applyFont="1" applyFill="1" applyBorder="1"/>
    <xf numFmtId="167" fontId="0" fillId="7" borderId="1" xfId="0" applyNumberFormat="1" applyFill="1" applyBorder="1"/>
    <xf numFmtId="0" fontId="2" fillId="7" borderId="1" xfId="0" applyFont="1" applyFill="1" applyBorder="1"/>
    <xf numFmtId="0" fontId="0" fillId="7" borderId="0" xfId="0" quotePrefix="1" applyFill="1"/>
    <xf numFmtId="0" fontId="0" fillId="7" borderId="0" xfId="0" applyFill="1"/>
    <xf numFmtId="178" fontId="0" fillId="2" borderId="0" xfId="0" applyNumberFormat="1" applyFill="1"/>
    <xf numFmtId="0" fontId="2" fillId="3" borderId="0" xfId="0" applyFont="1" applyFill="1"/>
    <xf numFmtId="167" fontId="0" fillId="6" borderId="1" xfId="0" applyNumberFormat="1" applyFill="1" applyBorder="1"/>
    <xf numFmtId="167" fontId="0" fillId="6" borderId="1" xfId="1" applyNumberFormat="1" applyFont="1" applyFill="1" applyBorder="1"/>
    <xf numFmtId="43" fontId="0" fillId="6" borderId="1" xfId="1" applyNumberFormat="1" applyFont="1" applyFill="1" applyBorder="1"/>
    <xf numFmtId="0" fontId="0" fillId="2" borderId="0" xfId="0" applyFill="1" applyAlignment="1">
      <alignment horizontal="left" vertical="top" wrapText="1"/>
    </xf>
    <xf numFmtId="0" fontId="2" fillId="6" borderId="0" xfId="0" applyFont="1" applyFill="1"/>
  </cellXfs>
  <cellStyles count="4">
    <cellStyle name="Millares" xfId="1" builtinId="3"/>
    <cellStyle name="Millares 2" xfId="3" xr:uid="{4CA1F18B-B37E-42BD-AA9D-966A60311221}"/>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Demanda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trendlineLbl>
          </c:trendline>
          <c:xVal>
            <c:numRef>
              <c:f>[2]Hoja1!$F$6:$F$9</c:f>
              <c:numCache>
                <c:formatCode>_-* #,##0_-;\-* #,##0_-;_-* "-"??_-;_-@_-</c:formatCode>
                <c:ptCount val="4"/>
                <c:pt idx="0">
                  <c:v>84848.888888888891</c:v>
                </c:pt>
                <c:pt idx="1">
                  <c:v>32299.999999999996</c:v>
                </c:pt>
                <c:pt idx="2">
                  <c:v>40000</c:v>
                </c:pt>
                <c:pt idx="3">
                  <c:v>0</c:v>
                </c:pt>
              </c:numCache>
            </c:numRef>
          </c:xVal>
          <c:yVal>
            <c:numRef>
              <c:f>[2]Hoja1!$E$6:$E$9</c:f>
              <c:numCache>
                <c:formatCode>_-* #,##0_-;\-* #,##0_-;_-* "-"??_-;_-@_-</c:formatCode>
                <c:ptCount val="4"/>
                <c:pt idx="0">
                  <c:v>0</c:v>
                </c:pt>
                <c:pt idx="1">
                  <c:v>235</c:v>
                </c:pt>
                <c:pt idx="2">
                  <c:v>200</c:v>
                </c:pt>
                <c:pt idx="3">
                  <c:v>381.82</c:v>
                </c:pt>
              </c:numCache>
            </c:numRef>
          </c:yVal>
          <c:smooth val="0"/>
          <c:extLst>
            <c:ext xmlns:c16="http://schemas.microsoft.com/office/drawing/2014/chart" uri="{C3380CC4-5D6E-409C-BE32-E72D297353CC}">
              <c16:uniqueId val="{00000001-15C8-4C46-B33B-47084DB5244F}"/>
            </c:ext>
          </c:extLst>
        </c:ser>
        <c:dLbls>
          <c:showLegendKey val="0"/>
          <c:showVal val="0"/>
          <c:showCatName val="0"/>
          <c:showSerName val="0"/>
          <c:showPercent val="0"/>
          <c:showBubbleSize val="0"/>
        </c:dLbls>
        <c:axId val="289865760"/>
        <c:axId val="289867840"/>
      </c:scatterChart>
      <c:valAx>
        <c:axId val="289865760"/>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89867840"/>
        <c:crosses val="autoZero"/>
        <c:crossBetween val="midCat"/>
      </c:valAx>
      <c:valAx>
        <c:axId val="289867840"/>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898657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IT</a:t>
            </a:r>
            <a:r>
              <a:rPr lang="es-CO" baseline="0"/>
              <a:t> vs BT</a:t>
            </a:r>
            <a:endParaRPr lang="es-CO"/>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tx>
            <c:strRef>
              <c:f>Hoja2!$D$56</c:f>
              <c:strCache>
                <c:ptCount val="1"/>
                <c:pt idx="0">
                  <c:v>IT=P*Q</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Hoja2!$B$57:$B$67</c:f>
              <c:numCache>
                <c:formatCode>_-* #,##0_-;\-* #,##0_-;_-* "-"??_-;_-@_-</c:formatCode>
                <c:ptCount val="11"/>
                <c:pt idx="0">
                  <c:v>0</c:v>
                </c:pt>
                <c:pt idx="1">
                  <c:v>10000</c:v>
                </c:pt>
                <c:pt idx="2">
                  <c:v>20000</c:v>
                </c:pt>
                <c:pt idx="3">
                  <c:v>30000</c:v>
                </c:pt>
                <c:pt idx="4">
                  <c:v>34515.947333333279</c:v>
                </c:pt>
                <c:pt idx="5">
                  <c:v>40000</c:v>
                </c:pt>
                <c:pt idx="6">
                  <c:v>42424.444444444453</c:v>
                </c:pt>
                <c:pt idx="7">
                  <c:v>50000</c:v>
                </c:pt>
                <c:pt idx="8">
                  <c:v>60000</c:v>
                </c:pt>
                <c:pt idx="9">
                  <c:v>70000</c:v>
                </c:pt>
                <c:pt idx="10">
                  <c:v>84848.888888888905</c:v>
                </c:pt>
              </c:numCache>
            </c:numRef>
          </c:xVal>
          <c:yVal>
            <c:numRef>
              <c:f>Hoja2!$D$57:$D$67</c:f>
              <c:numCache>
                <c:formatCode>_-* #,##0_-;\-* #,##0_-;_-* "-"??_-;_-@_-</c:formatCode>
                <c:ptCount val="11"/>
                <c:pt idx="0">
                  <c:v>0</c:v>
                </c:pt>
                <c:pt idx="1">
                  <c:v>3368200</c:v>
                </c:pt>
                <c:pt idx="2">
                  <c:v>5836400</c:v>
                </c:pt>
                <c:pt idx="3">
                  <c:v>7404600</c:v>
                </c:pt>
                <c:pt idx="4">
                  <c:v>7817801.2193848472</c:v>
                </c:pt>
                <c:pt idx="5">
                  <c:v>8072800</c:v>
                </c:pt>
                <c:pt idx="6">
                  <c:v>8099250.6888888888</c:v>
                </c:pt>
                <c:pt idx="7">
                  <c:v>7841000.0000000009</c:v>
                </c:pt>
                <c:pt idx="8">
                  <c:v>6709200</c:v>
                </c:pt>
                <c:pt idx="9">
                  <c:v>4677399.9999999991</c:v>
                </c:pt>
                <c:pt idx="10">
                  <c:v>0</c:v>
                </c:pt>
              </c:numCache>
            </c:numRef>
          </c:yVal>
          <c:smooth val="0"/>
          <c:extLst>
            <c:ext xmlns:c16="http://schemas.microsoft.com/office/drawing/2014/chart" uri="{C3380CC4-5D6E-409C-BE32-E72D297353CC}">
              <c16:uniqueId val="{00000000-301E-440A-AAAD-C72962852216}"/>
            </c:ext>
          </c:extLst>
        </c:ser>
        <c:ser>
          <c:idx val="1"/>
          <c:order val="1"/>
          <c:tx>
            <c:strRef>
              <c:f>Hoja2!$F$56</c:f>
              <c:strCache>
                <c:ptCount val="1"/>
                <c:pt idx="0">
                  <c:v>B=IT-CT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Hoja2!$B$57:$B$67</c:f>
              <c:numCache>
                <c:formatCode>_-* #,##0_-;\-* #,##0_-;_-* "-"??_-;_-@_-</c:formatCode>
                <c:ptCount val="11"/>
                <c:pt idx="0">
                  <c:v>0</c:v>
                </c:pt>
                <c:pt idx="1">
                  <c:v>10000</c:v>
                </c:pt>
                <c:pt idx="2">
                  <c:v>20000</c:v>
                </c:pt>
                <c:pt idx="3">
                  <c:v>30000</c:v>
                </c:pt>
                <c:pt idx="4">
                  <c:v>34515.947333333279</c:v>
                </c:pt>
                <c:pt idx="5">
                  <c:v>40000</c:v>
                </c:pt>
                <c:pt idx="6">
                  <c:v>42424.444444444453</c:v>
                </c:pt>
                <c:pt idx="7">
                  <c:v>50000</c:v>
                </c:pt>
                <c:pt idx="8">
                  <c:v>60000</c:v>
                </c:pt>
                <c:pt idx="9">
                  <c:v>70000</c:v>
                </c:pt>
                <c:pt idx="10">
                  <c:v>84848.888888888905</c:v>
                </c:pt>
              </c:numCache>
            </c:numRef>
          </c:xVal>
          <c:yVal>
            <c:numRef>
              <c:f>Hoja2!$F$57:$F$67</c:f>
              <c:numCache>
                <c:formatCode>_-* #,##0_-;\-* #,##0_-;_-* "-"??_-;_-@_-</c:formatCode>
                <c:ptCount val="11"/>
                <c:pt idx="0">
                  <c:v>-900000</c:v>
                </c:pt>
                <c:pt idx="1">
                  <c:v>1756435.26</c:v>
                </c:pt>
                <c:pt idx="2">
                  <c:v>3512870.52</c:v>
                </c:pt>
                <c:pt idx="3">
                  <c:v>4369305.78</c:v>
                </c:pt>
                <c:pt idx="4">
                  <c:v>4461077.7914284822</c:v>
                </c:pt>
                <c:pt idx="5">
                  <c:v>4325741.04</c:v>
                </c:pt>
                <c:pt idx="6">
                  <c:v>4179628.3219244438</c:v>
                </c:pt>
                <c:pt idx="7">
                  <c:v>3382176.3000000017</c:v>
                </c:pt>
                <c:pt idx="8">
                  <c:v>1538611.5600000005</c:v>
                </c:pt>
                <c:pt idx="9">
                  <c:v>-1204953.1800000006</c:v>
                </c:pt>
                <c:pt idx="10">
                  <c:v>-6939244.73392889</c:v>
                </c:pt>
              </c:numCache>
            </c:numRef>
          </c:yVal>
          <c:smooth val="0"/>
          <c:extLst>
            <c:ext xmlns:c16="http://schemas.microsoft.com/office/drawing/2014/chart" uri="{C3380CC4-5D6E-409C-BE32-E72D297353CC}">
              <c16:uniqueId val="{00000001-301E-440A-AAAD-C72962852216}"/>
            </c:ext>
          </c:extLst>
        </c:ser>
        <c:dLbls>
          <c:showLegendKey val="0"/>
          <c:showVal val="0"/>
          <c:showCatName val="0"/>
          <c:showSerName val="0"/>
          <c:showPercent val="0"/>
          <c:showBubbleSize val="0"/>
        </c:dLbls>
        <c:axId val="819407327"/>
        <c:axId val="1373049103"/>
      </c:scatterChart>
      <c:valAx>
        <c:axId val="819407327"/>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373049103"/>
        <c:crosses val="autoZero"/>
        <c:crossBetween val="midCat"/>
      </c:valAx>
      <c:valAx>
        <c:axId val="1373049103"/>
        <c:scaling>
          <c:orientation val="minMax"/>
          <c:min val="-500000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81940732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Demanda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trendlineLbl>
          </c:trendline>
          <c:xVal>
            <c:numRef>
              <c:f>[2]Hoja1!$F$6:$F$9</c:f>
              <c:numCache>
                <c:formatCode>_-* #,##0_-;\-* #,##0_-;_-* "-"??_-;_-@_-</c:formatCode>
                <c:ptCount val="4"/>
                <c:pt idx="0">
                  <c:v>84848.888888888891</c:v>
                </c:pt>
                <c:pt idx="1">
                  <c:v>32299.999999999996</c:v>
                </c:pt>
                <c:pt idx="2">
                  <c:v>40000</c:v>
                </c:pt>
                <c:pt idx="3">
                  <c:v>0</c:v>
                </c:pt>
              </c:numCache>
            </c:numRef>
          </c:xVal>
          <c:yVal>
            <c:numRef>
              <c:f>[2]Hoja1!$E$6:$E$9</c:f>
              <c:numCache>
                <c:formatCode>_-* #,##0_-;\-* #,##0_-;_-* "-"??_-;_-@_-</c:formatCode>
                <c:ptCount val="4"/>
                <c:pt idx="0">
                  <c:v>0</c:v>
                </c:pt>
                <c:pt idx="1">
                  <c:v>235</c:v>
                </c:pt>
                <c:pt idx="2">
                  <c:v>200</c:v>
                </c:pt>
                <c:pt idx="3">
                  <c:v>381.82</c:v>
                </c:pt>
              </c:numCache>
            </c:numRef>
          </c:yVal>
          <c:smooth val="0"/>
          <c:extLst>
            <c:ext xmlns:c16="http://schemas.microsoft.com/office/drawing/2014/chart" uri="{C3380CC4-5D6E-409C-BE32-E72D297353CC}">
              <c16:uniqueId val="{00000001-8DB2-47DC-ABA2-B40268A32BEA}"/>
            </c:ext>
          </c:extLst>
        </c:ser>
        <c:dLbls>
          <c:showLegendKey val="0"/>
          <c:showVal val="0"/>
          <c:showCatName val="0"/>
          <c:showSerName val="0"/>
          <c:showPercent val="0"/>
          <c:showBubbleSize val="0"/>
        </c:dLbls>
        <c:axId val="289865760"/>
        <c:axId val="289867840"/>
      </c:scatterChart>
      <c:valAx>
        <c:axId val="289865760"/>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89867840"/>
        <c:crosses val="autoZero"/>
        <c:crossBetween val="midCat"/>
      </c:valAx>
      <c:valAx>
        <c:axId val="289867840"/>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898657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IT</a:t>
            </a:r>
            <a:r>
              <a:rPr lang="es-CO" baseline="0"/>
              <a:t> vs BT</a:t>
            </a:r>
            <a:endParaRPr lang="es-CO"/>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tx>
            <c:strRef>
              <c:f>'Hoja2 (2)'!$D$51</c:f>
              <c:strCache>
                <c:ptCount val="1"/>
                <c:pt idx="0">
                  <c:v>IT=P*Q</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'Hoja2 (2)'!$B$52:$B$63</c:f>
              <c:numCache>
                <c:formatCode>_-* #,##0_-;\-* #,##0_-;_-* "-"??_-;_-@_-</c:formatCode>
                <c:ptCount val="12"/>
                <c:pt idx="0">
                  <c:v>0</c:v>
                </c:pt>
                <c:pt idx="1">
                  <c:v>10000</c:v>
                </c:pt>
                <c:pt idx="2">
                  <c:v>20000</c:v>
                </c:pt>
                <c:pt idx="3">
                  <c:v>30000</c:v>
                </c:pt>
                <c:pt idx="4">
                  <c:v>32300</c:v>
                </c:pt>
                <c:pt idx="5">
                  <c:v>34515.947333333279</c:v>
                </c:pt>
                <c:pt idx="6">
                  <c:v>40000</c:v>
                </c:pt>
                <c:pt idx="7">
                  <c:v>42424.444444444453</c:v>
                </c:pt>
                <c:pt idx="8">
                  <c:v>50000</c:v>
                </c:pt>
                <c:pt idx="9">
                  <c:v>60000</c:v>
                </c:pt>
                <c:pt idx="10">
                  <c:v>70000</c:v>
                </c:pt>
                <c:pt idx="11">
                  <c:v>84848.888888888905</c:v>
                </c:pt>
              </c:numCache>
            </c:numRef>
          </c:xVal>
          <c:yVal>
            <c:numRef>
              <c:f>'Hoja2 (2)'!$D$52:$D$63</c:f>
              <c:numCache>
                <c:formatCode>_-* #,##0_-;\-* #,##0_-;_-* "-"??_-;_-@_-</c:formatCode>
                <c:ptCount val="12"/>
                <c:pt idx="0">
                  <c:v>0</c:v>
                </c:pt>
                <c:pt idx="1">
                  <c:v>3368200</c:v>
                </c:pt>
                <c:pt idx="2">
                  <c:v>5836400</c:v>
                </c:pt>
                <c:pt idx="3">
                  <c:v>7404600</c:v>
                </c:pt>
                <c:pt idx="4">
                  <c:v>7637981</c:v>
                </c:pt>
                <c:pt idx="5">
                  <c:v>7817801.2193848472</c:v>
                </c:pt>
                <c:pt idx="6">
                  <c:v>8072800</c:v>
                </c:pt>
                <c:pt idx="7">
                  <c:v>8099250.6888888888</c:v>
                </c:pt>
                <c:pt idx="8">
                  <c:v>7841000.0000000009</c:v>
                </c:pt>
                <c:pt idx="9">
                  <c:v>6709200</c:v>
                </c:pt>
                <c:pt idx="10">
                  <c:v>4677399.9999999991</c:v>
                </c:pt>
                <c:pt idx="11">
                  <c:v>0</c:v>
                </c:pt>
              </c:numCache>
            </c:numRef>
          </c:yVal>
          <c:smooth val="0"/>
          <c:extLst>
            <c:ext xmlns:c16="http://schemas.microsoft.com/office/drawing/2014/chart" uri="{C3380CC4-5D6E-409C-BE32-E72D297353CC}">
              <c16:uniqueId val="{00000000-A556-4B60-A23B-48C6A876411A}"/>
            </c:ext>
          </c:extLst>
        </c:ser>
        <c:ser>
          <c:idx val="1"/>
          <c:order val="1"/>
          <c:tx>
            <c:strRef>
              <c:f>'Hoja2 (2)'!$F$51</c:f>
              <c:strCache>
                <c:ptCount val="1"/>
                <c:pt idx="0">
                  <c:v>B=IT-CT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'Hoja2 (2)'!$B$52:$B$63</c:f>
              <c:numCache>
                <c:formatCode>_-* #,##0_-;\-* #,##0_-;_-* "-"??_-;_-@_-</c:formatCode>
                <c:ptCount val="12"/>
                <c:pt idx="0">
                  <c:v>0</c:v>
                </c:pt>
                <c:pt idx="1">
                  <c:v>10000</c:v>
                </c:pt>
                <c:pt idx="2">
                  <c:v>20000</c:v>
                </c:pt>
                <c:pt idx="3">
                  <c:v>30000</c:v>
                </c:pt>
                <c:pt idx="4">
                  <c:v>32300</c:v>
                </c:pt>
                <c:pt idx="5">
                  <c:v>34515.947333333279</c:v>
                </c:pt>
                <c:pt idx="6">
                  <c:v>40000</c:v>
                </c:pt>
                <c:pt idx="7">
                  <c:v>42424.444444444453</c:v>
                </c:pt>
                <c:pt idx="8">
                  <c:v>50000</c:v>
                </c:pt>
                <c:pt idx="9">
                  <c:v>60000</c:v>
                </c:pt>
                <c:pt idx="10">
                  <c:v>70000</c:v>
                </c:pt>
                <c:pt idx="11">
                  <c:v>84848.888888888905</c:v>
                </c:pt>
              </c:numCache>
            </c:numRef>
          </c:xVal>
          <c:yVal>
            <c:numRef>
              <c:f>'Hoja2 (2)'!$F$52:$F$63</c:f>
              <c:numCache>
                <c:formatCode>_-* #,##0_-;\-* #,##0_-;_-* "-"??_-;_-@_-</c:formatCode>
                <c:ptCount val="12"/>
                <c:pt idx="0">
                  <c:v>-900000</c:v>
                </c:pt>
                <c:pt idx="1">
                  <c:v>1756435.26</c:v>
                </c:pt>
                <c:pt idx="2">
                  <c:v>3512870.52</c:v>
                </c:pt>
                <c:pt idx="3">
                  <c:v>4369305.78</c:v>
                </c:pt>
                <c:pt idx="4">
                  <c:v>4438980.8898</c:v>
                </c:pt>
                <c:pt idx="5">
                  <c:v>4461077.7914284822</c:v>
                </c:pt>
                <c:pt idx="6">
                  <c:v>4325741.04</c:v>
                </c:pt>
                <c:pt idx="7">
                  <c:v>4179628.3219244438</c:v>
                </c:pt>
                <c:pt idx="8">
                  <c:v>3382176.3000000017</c:v>
                </c:pt>
                <c:pt idx="9">
                  <c:v>1538611.5600000005</c:v>
                </c:pt>
                <c:pt idx="10">
                  <c:v>-1204953.1800000006</c:v>
                </c:pt>
                <c:pt idx="11">
                  <c:v>-6939244.73392889</c:v>
                </c:pt>
              </c:numCache>
            </c:numRef>
          </c:yVal>
          <c:smooth val="0"/>
          <c:extLst>
            <c:ext xmlns:c16="http://schemas.microsoft.com/office/drawing/2014/chart" uri="{C3380CC4-5D6E-409C-BE32-E72D297353CC}">
              <c16:uniqueId val="{00000001-A556-4B60-A23B-48C6A876411A}"/>
            </c:ext>
          </c:extLst>
        </c:ser>
        <c:dLbls>
          <c:showLegendKey val="0"/>
          <c:showVal val="0"/>
          <c:showCatName val="0"/>
          <c:showSerName val="0"/>
          <c:showPercent val="0"/>
          <c:showBubbleSize val="0"/>
        </c:dLbls>
        <c:axId val="819407327"/>
        <c:axId val="1373049103"/>
      </c:scatterChart>
      <c:valAx>
        <c:axId val="819407327"/>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373049103"/>
        <c:crosses val="autoZero"/>
        <c:crossBetween val="midCat"/>
      </c:valAx>
      <c:valAx>
        <c:axId val="1373049103"/>
        <c:scaling>
          <c:orientation val="minMax"/>
          <c:min val="-500000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81940732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Molto!$D$9</c:f>
              <c:strCache>
                <c:ptCount val="1"/>
                <c:pt idx="0">
                  <c:v>IT=P*Q</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Molto!$B$10:$B$20</c:f>
              <c:numCache>
                <c:formatCode>General</c:formatCode>
                <c:ptCount val="11"/>
                <c:pt idx="0">
                  <c:v>0</c:v>
                </c:pt>
                <c:pt idx="1">
                  <c:v>30</c:v>
                </c:pt>
                <c:pt idx="2">
                  <c:v>60</c:v>
                </c:pt>
                <c:pt idx="3">
                  <c:v>90</c:v>
                </c:pt>
                <c:pt idx="4">
                  <c:v>120</c:v>
                </c:pt>
                <c:pt idx="5" formatCode="0.0">
                  <c:v>134.59745762711864</c:v>
                </c:pt>
                <c:pt idx="6">
                  <c:v>150</c:v>
                </c:pt>
                <c:pt idx="7">
                  <c:v>180</c:v>
                </c:pt>
                <c:pt idx="8">
                  <c:v>210</c:v>
                </c:pt>
                <c:pt idx="9">
                  <c:v>240</c:v>
                </c:pt>
                <c:pt idx="10">
                  <c:v>269.19491525423729</c:v>
                </c:pt>
              </c:numCache>
            </c:numRef>
          </c:xVal>
          <c:yVal>
            <c:numRef>
              <c:f>Molto!$D$10:$D$20</c:f>
              <c:numCache>
                <c:formatCode>_(* #,##0.00_);_(* \(#,##0.00\);_(* "-"??_);_(@_)</c:formatCode>
                <c:ptCount val="11"/>
                <c:pt idx="0">
                  <c:v>0</c:v>
                </c:pt>
                <c:pt idx="1">
                  <c:v>84.674999999999997</c:v>
                </c:pt>
                <c:pt idx="2">
                  <c:v>148.10999999999999</c:v>
                </c:pt>
                <c:pt idx="3">
                  <c:v>190.30499999999995</c:v>
                </c:pt>
                <c:pt idx="4">
                  <c:v>211.26</c:v>
                </c:pt>
                <c:pt idx="5">
                  <c:v>213.77441207627118</c:v>
                </c:pt>
                <c:pt idx="6">
                  <c:v>210.97499999999997</c:v>
                </c:pt>
                <c:pt idx="7">
                  <c:v>189.44999999999996</c:v>
                </c:pt>
                <c:pt idx="8">
                  <c:v>146.68500000000003</c:v>
                </c:pt>
                <c:pt idx="9">
                  <c:v>82.68</c:v>
                </c:pt>
                <c:pt idx="10">
                  <c:v>0</c:v>
                </c:pt>
              </c:numCache>
            </c:numRef>
          </c:yVal>
          <c:smooth val="0"/>
          <c:extLst>
            <c:ext xmlns:c16="http://schemas.microsoft.com/office/drawing/2014/chart" uri="{C3380CC4-5D6E-409C-BE32-E72D297353CC}">
              <c16:uniqueId val="{00000000-A08D-4A7C-AEDF-79391D145E1B}"/>
            </c:ext>
          </c:extLst>
        </c:ser>
        <c:ser>
          <c:idx val="1"/>
          <c:order val="1"/>
          <c:tx>
            <c:strRef>
              <c:f>Molto!$F$9</c:f>
              <c:strCache>
                <c:ptCount val="1"/>
                <c:pt idx="0">
                  <c:v>B=IT-CT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Molto!$B$10:$B$20</c:f>
              <c:numCache>
                <c:formatCode>General</c:formatCode>
                <c:ptCount val="11"/>
                <c:pt idx="0">
                  <c:v>0</c:v>
                </c:pt>
                <c:pt idx="1">
                  <c:v>30</c:v>
                </c:pt>
                <c:pt idx="2">
                  <c:v>60</c:v>
                </c:pt>
                <c:pt idx="3">
                  <c:v>90</c:v>
                </c:pt>
                <c:pt idx="4">
                  <c:v>120</c:v>
                </c:pt>
                <c:pt idx="5" formatCode="0.0">
                  <c:v>134.59745762711864</c:v>
                </c:pt>
                <c:pt idx="6">
                  <c:v>150</c:v>
                </c:pt>
                <c:pt idx="7">
                  <c:v>180</c:v>
                </c:pt>
                <c:pt idx="8">
                  <c:v>210</c:v>
                </c:pt>
                <c:pt idx="9">
                  <c:v>240</c:v>
                </c:pt>
                <c:pt idx="10">
                  <c:v>269.19491525423729</c:v>
                </c:pt>
              </c:numCache>
            </c:numRef>
          </c:xVal>
          <c:yVal>
            <c:numRef>
              <c:f>Molto!$F$10:$F$20</c:f>
              <c:numCache>
                <c:formatCode>_(* #,##0.00_);_(* \(#,##0.00\);_(* "-"??_);_(@_)</c:formatCode>
                <c:ptCount val="11"/>
                <c:pt idx="0">
                  <c:v>-60</c:v>
                </c:pt>
                <c:pt idx="1">
                  <c:v>-11.325000000000003</c:v>
                </c:pt>
                <c:pt idx="2">
                  <c:v>16.109999999999985</c:v>
                </c:pt>
                <c:pt idx="3">
                  <c:v>22.30499999999995</c:v>
                </c:pt>
                <c:pt idx="4">
                  <c:v>7.2599999999999909</c:v>
                </c:pt>
                <c:pt idx="5">
                  <c:v>-7.7425370762711907</c:v>
                </c:pt>
                <c:pt idx="6">
                  <c:v>-29.025000000000034</c:v>
                </c:pt>
                <c:pt idx="7">
                  <c:v>-86.55000000000004</c:v>
                </c:pt>
                <c:pt idx="8">
                  <c:v>-165.31499999999997</c:v>
                </c:pt>
                <c:pt idx="9">
                  <c:v>-265.32</c:v>
                </c:pt>
                <c:pt idx="10">
                  <c:v>-383.03389830508473</c:v>
                </c:pt>
              </c:numCache>
            </c:numRef>
          </c:yVal>
          <c:smooth val="0"/>
          <c:extLst>
            <c:ext xmlns:c16="http://schemas.microsoft.com/office/drawing/2014/chart" uri="{C3380CC4-5D6E-409C-BE32-E72D297353CC}">
              <c16:uniqueId val="{00000001-A08D-4A7C-AEDF-79391D145E1B}"/>
            </c:ext>
          </c:extLst>
        </c:ser>
        <c:dLbls>
          <c:showLegendKey val="0"/>
          <c:showVal val="0"/>
          <c:showCatName val="0"/>
          <c:showSerName val="0"/>
          <c:showPercent val="0"/>
          <c:showBubbleSize val="0"/>
        </c:dLbls>
        <c:axId val="393958335"/>
        <c:axId val="393959167"/>
      </c:scatterChart>
      <c:valAx>
        <c:axId val="3939583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93959167"/>
        <c:crosses val="autoZero"/>
        <c:crossBetween val="midCat"/>
      </c:valAx>
      <c:valAx>
        <c:axId val="393959167"/>
        <c:scaling>
          <c:orientation val="minMax"/>
          <c:min val="-50"/>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9395833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396240</xdr:colOff>
      <xdr:row>40</xdr:row>
      <xdr:rowOff>7620</xdr:rowOff>
    </xdr:from>
    <xdr:to>
      <xdr:col>12</xdr:col>
      <xdr:colOff>68580</xdr:colOff>
      <xdr:row>50</xdr:row>
      <xdr:rowOff>30480</xdr:rowOff>
    </xdr:to>
    <xdr:graphicFrame macro="">
      <xdr:nvGraphicFramePr>
        <xdr:cNvPr id="2" name="Gráfico 1">
          <a:extLst>
            <a:ext uri="{FF2B5EF4-FFF2-40B4-BE49-F238E27FC236}">
              <a16:creationId xmlns:a16="http://schemas.microsoft.com/office/drawing/2014/main" id="{67387B69-B4FF-41FE-B42C-083696A530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38100</xdr:colOff>
      <xdr:row>54</xdr:row>
      <xdr:rowOff>144780</xdr:rowOff>
    </xdr:from>
    <xdr:to>
      <xdr:col>15</xdr:col>
      <xdr:colOff>335280</xdr:colOff>
      <xdr:row>67</xdr:row>
      <xdr:rowOff>15240</xdr:rowOff>
    </xdr:to>
    <xdr:graphicFrame macro="">
      <xdr:nvGraphicFramePr>
        <xdr:cNvPr id="3" name="Gráfico 2">
          <a:extLst>
            <a:ext uri="{FF2B5EF4-FFF2-40B4-BE49-F238E27FC236}">
              <a16:creationId xmlns:a16="http://schemas.microsoft.com/office/drawing/2014/main" id="{246E647E-8BA8-AF41-C838-A368B8BEF3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396240</xdr:colOff>
      <xdr:row>35</xdr:row>
      <xdr:rowOff>7620</xdr:rowOff>
    </xdr:from>
    <xdr:to>
      <xdr:col>12</xdr:col>
      <xdr:colOff>68580</xdr:colOff>
      <xdr:row>45</xdr:row>
      <xdr:rowOff>30480</xdr:rowOff>
    </xdr:to>
    <xdr:graphicFrame macro="">
      <xdr:nvGraphicFramePr>
        <xdr:cNvPr id="2" name="Gráfico 1">
          <a:extLst>
            <a:ext uri="{FF2B5EF4-FFF2-40B4-BE49-F238E27FC236}">
              <a16:creationId xmlns:a16="http://schemas.microsoft.com/office/drawing/2014/main" id="{F971E9B9-74A3-42D2-B70B-633A05865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38100</xdr:colOff>
      <xdr:row>49</xdr:row>
      <xdr:rowOff>144780</xdr:rowOff>
    </xdr:from>
    <xdr:to>
      <xdr:col>15</xdr:col>
      <xdr:colOff>335280</xdr:colOff>
      <xdr:row>63</xdr:row>
      <xdr:rowOff>15240</xdr:rowOff>
    </xdr:to>
    <xdr:graphicFrame macro="">
      <xdr:nvGraphicFramePr>
        <xdr:cNvPr id="3" name="Gráfico 2">
          <a:extLst>
            <a:ext uri="{FF2B5EF4-FFF2-40B4-BE49-F238E27FC236}">
              <a16:creationId xmlns:a16="http://schemas.microsoft.com/office/drawing/2014/main" id="{62938E6A-64CA-4DE9-9247-D935321838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419100</xdr:colOff>
      <xdr:row>7</xdr:row>
      <xdr:rowOff>121920</xdr:rowOff>
    </xdr:from>
    <xdr:to>
      <xdr:col>12</xdr:col>
      <xdr:colOff>7620</xdr:colOff>
      <xdr:row>18</xdr:row>
      <xdr:rowOff>76200</xdr:rowOff>
    </xdr:to>
    <xdr:graphicFrame macro="">
      <xdr:nvGraphicFramePr>
        <xdr:cNvPr id="2" name="Gráfico 1">
          <a:extLst>
            <a:ext uri="{FF2B5EF4-FFF2-40B4-BE49-F238E27FC236}">
              <a16:creationId xmlns:a16="http://schemas.microsoft.com/office/drawing/2014/main" id="{407D26C4-6EB0-4C2A-ABBA-340C47145E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H:\Mi%20unidad\EAFIT\MICROECONOM&#205;A\Pepita.xlsx" TargetMode="External"/><Relationship Id="rId1" Type="http://schemas.openxmlformats.org/officeDocument/2006/relationships/externalLinkPath" Target="Pepita.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supul\Downloads\Demanda%20Estimada.xlsx" TargetMode="External"/><Relationship Id="rId1" Type="http://schemas.openxmlformats.org/officeDocument/2006/relationships/externalLinkPath" Target="file:///C:\Users\supul\Downloads\Demanda%20Estimad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ja1"/>
      <sheetName val="Pepita"/>
    </sheetNames>
    <sheetDataSet>
      <sheetData sheetId="0"/>
      <sheetData sheetId="1">
        <row r="9">
          <cell r="D9" t="str">
            <v>IT=P*Q</v>
          </cell>
          <cell r="F9" t="str">
            <v>B=IT-CT</v>
          </cell>
        </row>
        <row r="10">
          <cell r="B10">
            <v>0</v>
          </cell>
          <cell r="D10">
            <v>0</v>
          </cell>
          <cell r="F10">
            <v>-60</v>
          </cell>
        </row>
        <row r="11">
          <cell r="B11">
            <v>30</v>
          </cell>
          <cell r="D11">
            <v>84.674999999999997</v>
          </cell>
          <cell r="F11">
            <v>-11.325000000000003</v>
          </cell>
        </row>
        <row r="12">
          <cell r="B12">
            <v>60</v>
          </cell>
          <cell r="D12">
            <v>148.10999999999999</v>
          </cell>
          <cell r="F12">
            <v>16.109999999999985</v>
          </cell>
        </row>
        <row r="13">
          <cell r="B13">
            <v>90</v>
          </cell>
          <cell r="D13">
            <v>190.30499999999995</v>
          </cell>
          <cell r="F13">
            <v>22.30499999999995</v>
          </cell>
        </row>
        <row r="14">
          <cell r="B14">
            <v>120</v>
          </cell>
          <cell r="D14">
            <v>211.26</v>
          </cell>
          <cell r="F14">
            <v>7.2599999999999909</v>
          </cell>
        </row>
        <row r="15">
          <cell r="B15">
            <v>134.59745762711864</v>
          </cell>
          <cell r="D15">
            <v>213.77441207627118</v>
          </cell>
          <cell r="F15">
            <v>-7.7425370762711907</v>
          </cell>
        </row>
        <row r="16">
          <cell r="B16">
            <v>150</v>
          </cell>
          <cell r="D16">
            <v>210.97499999999997</v>
          </cell>
          <cell r="F16">
            <v>-29.025000000000034</v>
          </cell>
        </row>
        <row r="17">
          <cell r="B17">
            <v>180</v>
          </cell>
          <cell r="D17">
            <v>189.44999999999996</v>
          </cell>
          <cell r="F17">
            <v>-86.55000000000004</v>
          </cell>
        </row>
        <row r="18">
          <cell r="B18">
            <v>210</v>
          </cell>
          <cell r="D18">
            <v>146.68500000000003</v>
          </cell>
          <cell r="F18">
            <v>-165.31499999999997</v>
          </cell>
        </row>
        <row r="19">
          <cell r="B19">
            <v>240</v>
          </cell>
          <cell r="D19">
            <v>82.68</v>
          </cell>
          <cell r="F19">
            <v>-265.32</v>
          </cell>
        </row>
        <row r="20">
          <cell r="B20">
            <v>269.19491525423729</v>
          </cell>
          <cell r="D20">
            <v>0</v>
          </cell>
          <cell r="F20">
            <v>-383.03389830508473</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ja1"/>
    </sheetNames>
    <sheetDataSet>
      <sheetData sheetId="0">
        <row r="6">
          <cell r="E6">
            <v>0</v>
          </cell>
          <cell r="F6">
            <v>84848.888888888891</v>
          </cell>
        </row>
        <row r="7">
          <cell r="E7">
            <v>235</v>
          </cell>
          <cell r="F7">
            <v>32299.999999999996</v>
          </cell>
        </row>
        <row r="8">
          <cell r="E8">
            <v>200</v>
          </cell>
          <cell r="F8">
            <v>40000</v>
          </cell>
        </row>
        <row r="9">
          <cell r="E9">
            <v>381.82</v>
          </cell>
          <cell r="F9">
            <v>0</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5F3AB-D068-43FA-972C-E14513CFFC16}">
  <dimension ref="B1:M77"/>
  <sheetViews>
    <sheetView tabSelected="1" workbookViewId="0">
      <selection activeCell="E10" sqref="E10"/>
    </sheetView>
  </sheetViews>
  <sheetFormatPr baseColWidth="10" defaultRowHeight="14.4" x14ac:dyDescent="0.3"/>
  <cols>
    <col min="1" max="1" width="11.5546875" style="2"/>
    <col min="2" max="2" width="23.77734375" style="2" bestFit="1" customWidth="1"/>
    <col min="3" max="3" width="20.109375" style="2" customWidth="1"/>
    <col min="4" max="4" width="11.5546875" style="2"/>
    <col min="5" max="5" width="21.77734375" style="2" bestFit="1" customWidth="1"/>
    <col min="6" max="6" width="13.77734375" style="2" bestFit="1" customWidth="1"/>
    <col min="7" max="7" width="20.109375" style="2" customWidth="1"/>
    <col min="8" max="8" width="11.5546875" style="2"/>
    <col min="9" max="9" width="7.44140625" style="2" customWidth="1"/>
    <col min="10" max="11" width="11.5546875" style="2"/>
    <col min="12" max="12" width="10.44140625" style="2" bestFit="1" customWidth="1"/>
    <col min="13" max="13" width="12.77734375" style="2" bestFit="1" customWidth="1"/>
    <col min="14" max="16384" width="11.5546875" style="2"/>
  </cols>
  <sheetData>
    <row r="1" spans="2:13" x14ac:dyDescent="0.3">
      <c r="B1" s="33" t="s">
        <v>62</v>
      </c>
    </row>
    <row r="2" spans="2:13" x14ac:dyDescent="0.3">
      <c r="B2" s="2" t="s">
        <v>63</v>
      </c>
      <c r="C2" s="2" t="s">
        <v>66</v>
      </c>
    </row>
    <row r="3" spans="2:13" x14ac:dyDescent="0.3">
      <c r="B3" s="2" t="s">
        <v>64</v>
      </c>
      <c r="C3" s="2" t="s">
        <v>67</v>
      </c>
    </row>
    <row r="4" spans="2:13" x14ac:dyDescent="0.3">
      <c r="B4" s="2" t="s">
        <v>65</v>
      </c>
    </row>
    <row r="6" spans="2:13" x14ac:dyDescent="0.3">
      <c r="B6" s="10" t="s">
        <v>29</v>
      </c>
      <c r="C6" s="10"/>
      <c r="D6" s="10"/>
      <c r="F6" s="11" t="s">
        <v>30</v>
      </c>
      <c r="G6" s="12"/>
      <c r="H6" s="11" t="s">
        <v>31</v>
      </c>
    </row>
    <row r="7" spans="2:13" x14ac:dyDescent="0.3">
      <c r="B7" s="2" t="s">
        <v>11</v>
      </c>
      <c r="C7" s="2">
        <v>200</v>
      </c>
    </row>
    <row r="9" spans="2:13" x14ac:dyDescent="0.3">
      <c r="B9" s="2" t="s">
        <v>12</v>
      </c>
      <c r="C9" s="2">
        <v>235</v>
      </c>
    </row>
    <row r="10" spans="2:13" x14ac:dyDescent="0.3">
      <c r="B10" s="2" t="s">
        <v>13</v>
      </c>
      <c r="C10" s="2">
        <v>0.8</v>
      </c>
    </row>
    <row r="11" spans="2:13" x14ac:dyDescent="0.3">
      <c r="B11" s="2" t="s">
        <v>14</v>
      </c>
      <c r="C11" s="2">
        <v>1.1000000000000001</v>
      </c>
    </row>
    <row r="13" spans="2:13" x14ac:dyDescent="0.3">
      <c r="B13" s="2" t="s">
        <v>15</v>
      </c>
    </row>
    <row r="14" spans="2:13" x14ac:dyDescent="0.3">
      <c r="B14" s="2" t="s">
        <v>16</v>
      </c>
      <c r="C14" s="8">
        <v>200</v>
      </c>
      <c r="D14" s="2" t="s">
        <v>19</v>
      </c>
      <c r="H14" s="2">
        <v>235</v>
      </c>
    </row>
    <row r="15" spans="2:13" x14ac:dyDescent="0.3">
      <c r="B15" s="2" t="s">
        <v>0</v>
      </c>
      <c r="C15" s="8">
        <v>40000</v>
      </c>
      <c r="H15" s="8">
        <f>+C15*(89%)</f>
        <v>35600</v>
      </c>
    </row>
    <row r="16" spans="2:13" x14ac:dyDescent="0.3">
      <c r="B16" s="2" t="s">
        <v>17</v>
      </c>
      <c r="C16" s="8">
        <f>+C14*C15</f>
        <v>8000000</v>
      </c>
      <c r="D16" s="2" t="s">
        <v>19</v>
      </c>
      <c r="F16" s="9">
        <f>+C16</f>
        <v>8000000</v>
      </c>
      <c r="H16" s="9">
        <f>+H14*H15</f>
        <v>8366000</v>
      </c>
      <c r="K16" s="2" t="s">
        <v>46</v>
      </c>
      <c r="L16" s="9">
        <f>+C19+C26</f>
        <v>2847059</v>
      </c>
      <c r="M16" s="27">
        <f>L16/40000</f>
        <v>71.176474999999996</v>
      </c>
    </row>
    <row r="17" spans="2:13" x14ac:dyDescent="0.3">
      <c r="B17" s="2" t="s">
        <v>28</v>
      </c>
      <c r="C17" s="8">
        <f>C16*1.36</f>
        <v>10880000</v>
      </c>
      <c r="D17" s="2" t="s">
        <v>22</v>
      </c>
      <c r="K17" s="2" t="s">
        <v>47</v>
      </c>
      <c r="L17" s="9">
        <f>C28+C29</f>
        <v>900000</v>
      </c>
      <c r="M17" s="20"/>
    </row>
    <row r="18" spans="2:13" x14ac:dyDescent="0.3">
      <c r="C18" s="8"/>
    </row>
    <row r="19" spans="2:13" x14ac:dyDescent="0.3">
      <c r="B19" s="2" t="s">
        <v>18</v>
      </c>
      <c r="C19" s="8">
        <v>200000</v>
      </c>
      <c r="D19" s="2" t="s">
        <v>19</v>
      </c>
      <c r="F19" s="9">
        <f>+C19</f>
        <v>200000</v>
      </c>
      <c r="H19" s="9">
        <f>+F19</f>
        <v>200000</v>
      </c>
    </row>
    <row r="20" spans="2:13" x14ac:dyDescent="0.3">
      <c r="B20" s="2" t="s">
        <v>18</v>
      </c>
      <c r="C20" s="8">
        <f>+C19*1.36</f>
        <v>272000</v>
      </c>
      <c r="D20" s="2" t="s">
        <v>22</v>
      </c>
      <c r="F20" s="8"/>
    </row>
    <row r="22" spans="2:13" x14ac:dyDescent="0.3">
      <c r="B22" s="2" t="s">
        <v>20</v>
      </c>
    </row>
    <row r="23" spans="2:13" x14ac:dyDescent="0.3">
      <c r="B23" s="2" t="s">
        <v>21</v>
      </c>
      <c r="C23" s="2">
        <v>90</v>
      </c>
      <c r="D23" s="2" t="s">
        <v>22</v>
      </c>
    </row>
    <row r="24" spans="2:13" x14ac:dyDescent="0.3">
      <c r="B24" s="2" t="s">
        <v>23</v>
      </c>
      <c r="C24" s="8">
        <v>40000</v>
      </c>
    </row>
    <row r="25" spans="2:13" x14ac:dyDescent="0.3">
      <c r="B25" s="2" t="s">
        <v>24</v>
      </c>
      <c r="C25" s="8">
        <f>+C24*C23</f>
        <v>3600000</v>
      </c>
      <c r="D25" s="2" t="s">
        <v>22</v>
      </c>
    </row>
    <row r="26" spans="2:13" x14ac:dyDescent="0.3">
      <c r="B26" s="2" t="s">
        <v>24</v>
      </c>
      <c r="C26" s="8">
        <v>2647059</v>
      </c>
      <c r="D26" s="2" t="s">
        <v>19</v>
      </c>
      <c r="F26" s="9">
        <f>C25*1.1574</f>
        <v>4166640</v>
      </c>
      <c r="H26" s="9">
        <f>+F26</f>
        <v>4166640</v>
      </c>
    </row>
    <row r="27" spans="2:13" x14ac:dyDescent="0.3">
      <c r="C27" s="8"/>
    </row>
    <row r="28" spans="2:13" x14ac:dyDescent="0.3">
      <c r="B28" s="2" t="s">
        <v>25</v>
      </c>
      <c r="C28" s="8">
        <v>400000</v>
      </c>
      <c r="D28" s="2" t="s">
        <v>19</v>
      </c>
      <c r="F28" s="9">
        <f>+C28</f>
        <v>400000</v>
      </c>
      <c r="H28" s="9">
        <f>+F28</f>
        <v>400000</v>
      </c>
    </row>
    <row r="29" spans="2:13" x14ac:dyDescent="0.3">
      <c r="B29" s="2" t="s">
        <v>26</v>
      </c>
      <c r="C29" s="8">
        <v>500000</v>
      </c>
      <c r="D29" s="2" t="s">
        <v>19</v>
      </c>
      <c r="F29" s="9">
        <f>+C29</f>
        <v>500000</v>
      </c>
      <c r="H29" s="9">
        <f>+F29</f>
        <v>500000</v>
      </c>
    </row>
    <row r="30" spans="2:13" x14ac:dyDescent="0.3">
      <c r="B30" s="2" t="s">
        <v>25</v>
      </c>
      <c r="C30" s="8">
        <f>+C28*1.36</f>
        <v>544000</v>
      </c>
      <c r="D30" s="2" t="s">
        <v>22</v>
      </c>
    </row>
    <row r="31" spans="2:13" x14ac:dyDescent="0.3">
      <c r="B31" s="2" t="s">
        <v>26</v>
      </c>
      <c r="C31" s="8">
        <f>+C29*1.36</f>
        <v>680000</v>
      </c>
      <c r="D31" s="2" t="s">
        <v>22</v>
      </c>
    </row>
    <row r="33" spans="2:9" x14ac:dyDescent="0.3">
      <c r="B33" s="2" t="s">
        <v>27</v>
      </c>
      <c r="C33" s="9">
        <f>C16-C19-C26-C28-C29</f>
        <v>4252941</v>
      </c>
      <c r="D33" s="2" t="s">
        <v>19</v>
      </c>
      <c r="F33" s="9">
        <f>F16-F19-F26-F28-F29</f>
        <v>2733360</v>
      </c>
      <c r="G33" s="9"/>
      <c r="H33" s="9">
        <f>H16-H19-H26-H28-H29</f>
        <v>3099360</v>
      </c>
    </row>
    <row r="34" spans="2:9" x14ac:dyDescent="0.3">
      <c r="B34" s="2" t="s">
        <v>27</v>
      </c>
      <c r="C34" s="9">
        <f>+C17-C20-C25-C30-C31</f>
        <v>5784000</v>
      </c>
      <c r="D34" s="2" t="s">
        <v>22</v>
      </c>
      <c r="G34" s="9"/>
    </row>
    <row r="37" spans="2:9" x14ac:dyDescent="0.3">
      <c r="B37" s="28" t="s">
        <v>42</v>
      </c>
    </row>
    <row r="38" spans="2:9" x14ac:dyDescent="0.3">
      <c r="B38" s="13" t="s">
        <v>32</v>
      </c>
      <c r="C38" s="13"/>
      <c r="D38" s="13"/>
      <c r="E38" s="13"/>
      <c r="F38" s="13"/>
      <c r="G38" s="13"/>
      <c r="H38" s="13"/>
      <c r="I38" s="13"/>
    </row>
    <row r="39" spans="2:9" x14ac:dyDescent="0.3">
      <c r="B39" s="13"/>
      <c r="C39" s="13"/>
      <c r="D39" s="13"/>
      <c r="E39" s="13"/>
      <c r="F39" s="13"/>
      <c r="G39" s="13"/>
      <c r="H39" s="13"/>
      <c r="I39" s="13"/>
    </row>
    <row r="40" spans="2:9" x14ac:dyDescent="0.3">
      <c r="B40" s="13"/>
      <c r="C40" s="13"/>
      <c r="D40" s="13"/>
      <c r="E40" s="13"/>
      <c r="F40" s="13"/>
      <c r="G40" s="13"/>
      <c r="H40" s="13"/>
      <c r="I40" s="13"/>
    </row>
    <row r="42" spans="2:9" x14ac:dyDescent="0.3">
      <c r="B42" s="28" t="s">
        <v>43</v>
      </c>
    </row>
    <row r="44" spans="2:9" x14ac:dyDescent="0.3">
      <c r="B44" s="18"/>
      <c r="C44" s="19" t="s">
        <v>33</v>
      </c>
      <c r="D44" s="19" t="s">
        <v>5</v>
      </c>
      <c r="F44" s="2" t="s">
        <v>35</v>
      </c>
      <c r="G44" s="2">
        <v>1.1000000000000001</v>
      </c>
    </row>
    <row r="45" spans="2:9" x14ac:dyDescent="0.3">
      <c r="B45" s="5"/>
      <c r="C45" s="15">
        <v>0</v>
      </c>
      <c r="D45" s="15">
        <f>+G49</f>
        <v>84848.888888888891</v>
      </c>
      <c r="F45" s="2" t="s">
        <v>37</v>
      </c>
      <c r="G45" s="14">
        <f>+C46/C47-1</f>
        <v>0.17500000000000004</v>
      </c>
    </row>
    <row r="46" spans="2:9" x14ac:dyDescent="0.3">
      <c r="B46" s="16" t="s">
        <v>34</v>
      </c>
      <c r="C46" s="17">
        <v>235</v>
      </c>
      <c r="D46" s="17">
        <f>+D47*(1-G46)</f>
        <v>32299.999999999996</v>
      </c>
      <c r="F46" s="2" t="s">
        <v>38</v>
      </c>
      <c r="G46" s="14">
        <f>+G44*G45</f>
        <v>0.19250000000000006</v>
      </c>
    </row>
    <row r="47" spans="2:9" x14ac:dyDescent="0.3">
      <c r="B47" s="16" t="s">
        <v>36</v>
      </c>
      <c r="C47" s="17">
        <v>200</v>
      </c>
      <c r="D47" s="17">
        <v>40000</v>
      </c>
    </row>
    <row r="48" spans="2:9" x14ac:dyDescent="0.3">
      <c r="C48" s="8">
        <f>+G50</f>
        <v>381.82</v>
      </c>
      <c r="D48" s="8">
        <v>0</v>
      </c>
      <c r="F48" s="2" t="s">
        <v>39</v>
      </c>
    </row>
    <row r="49" spans="2:11" x14ac:dyDescent="0.3">
      <c r="F49" s="2" t="s">
        <v>40</v>
      </c>
      <c r="G49" s="8">
        <f>381.82/0.0045</f>
        <v>84848.888888888891</v>
      </c>
    </row>
    <row r="50" spans="2:11" x14ac:dyDescent="0.3">
      <c r="F50" s="2" t="s">
        <v>41</v>
      </c>
      <c r="G50" s="2">
        <v>381.82</v>
      </c>
    </row>
    <row r="52" spans="2:11" x14ac:dyDescent="0.3">
      <c r="B52" s="28" t="s">
        <v>44</v>
      </c>
    </row>
    <row r="54" spans="2:11" x14ac:dyDescent="0.3">
      <c r="B54" s="2" t="s">
        <v>45</v>
      </c>
      <c r="K54" s="28" t="s">
        <v>57</v>
      </c>
    </row>
    <row r="55" spans="2:11" x14ac:dyDescent="0.3">
      <c r="E55" s="28" t="s">
        <v>54</v>
      </c>
    </row>
    <row r="56" spans="2:11" x14ac:dyDescent="0.3">
      <c r="B56" s="3" t="s">
        <v>5</v>
      </c>
      <c r="C56" s="3" t="s">
        <v>39</v>
      </c>
      <c r="D56" s="3" t="s">
        <v>7</v>
      </c>
      <c r="E56" s="24" t="s">
        <v>51</v>
      </c>
      <c r="F56" s="3" t="s">
        <v>9</v>
      </c>
      <c r="G56" s="3" t="s">
        <v>48</v>
      </c>
    </row>
    <row r="57" spans="2:11" x14ac:dyDescent="0.3">
      <c r="B57" s="17">
        <v>0</v>
      </c>
      <c r="C57" s="17">
        <f>(-0.0045*B57)+381.82</f>
        <v>381.82</v>
      </c>
      <c r="D57" s="17">
        <f>B57*C57</f>
        <v>0</v>
      </c>
      <c r="E57" s="17">
        <f>900000+(71.176474*B57)</f>
        <v>900000</v>
      </c>
      <c r="F57" s="17">
        <f>D57-E57</f>
        <v>-900000</v>
      </c>
      <c r="G57" s="22" t="e">
        <f>(-1/-0.0045)*(C57/B57)</f>
        <v>#DIV/0!</v>
      </c>
    </row>
    <row r="58" spans="2:11" x14ac:dyDescent="0.3">
      <c r="B58" s="21">
        <f>+B57+10000</f>
        <v>10000</v>
      </c>
      <c r="C58" s="17">
        <f t="shared" ref="C58:C67" si="0">(-0.0045*B58)+381.82</f>
        <v>336.82</v>
      </c>
      <c r="D58" s="17">
        <f t="shared" ref="D58:D66" si="1">B58*C58</f>
        <v>3368200</v>
      </c>
      <c r="E58" s="17">
        <f t="shared" ref="E58:E67" si="2">900000+(71.176474*B58)</f>
        <v>1611764.74</v>
      </c>
      <c r="F58" s="17">
        <f t="shared" ref="F58:F66" si="3">D58-E58</f>
        <v>1756435.26</v>
      </c>
      <c r="G58" s="22">
        <f t="shared" ref="G58:G66" si="4">(-1/-0.0045)*(C58/B58)</f>
        <v>7.4848888888888885</v>
      </c>
    </row>
    <row r="59" spans="2:11" x14ac:dyDescent="0.3">
      <c r="B59" s="21">
        <f t="shared" ref="B59:B66" si="5">+B58+10000</f>
        <v>20000</v>
      </c>
      <c r="C59" s="17">
        <f t="shared" si="0"/>
        <v>291.82</v>
      </c>
      <c r="D59" s="17">
        <f t="shared" ref="D59:D61" si="6">B59*C59</f>
        <v>5836400</v>
      </c>
      <c r="E59" s="17">
        <f t="shared" si="2"/>
        <v>2323529.48</v>
      </c>
      <c r="F59" s="17">
        <f t="shared" ref="F59:F61" si="7">D59-E59</f>
        <v>3512870.52</v>
      </c>
      <c r="G59" s="22">
        <f t="shared" ref="G59:G61" si="8">(-1/-0.0045)*(C59/B59)</f>
        <v>3.2424444444444447</v>
      </c>
    </row>
    <row r="60" spans="2:11" x14ac:dyDescent="0.3">
      <c r="B60" s="21">
        <f t="shared" si="5"/>
        <v>30000</v>
      </c>
      <c r="C60" s="17">
        <f t="shared" si="0"/>
        <v>246.82</v>
      </c>
      <c r="D60" s="17">
        <f t="shared" si="6"/>
        <v>7404600</v>
      </c>
      <c r="E60" s="17">
        <f t="shared" si="2"/>
        <v>3035294.2199999997</v>
      </c>
      <c r="F60" s="17">
        <f t="shared" si="7"/>
        <v>4369305.78</v>
      </c>
      <c r="G60" s="22">
        <f t="shared" si="8"/>
        <v>1.8282962962962963</v>
      </c>
    </row>
    <row r="61" spans="2:11" x14ac:dyDescent="0.3">
      <c r="B61" s="23">
        <v>34515.947333333279</v>
      </c>
      <c r="C61" s="17">
        <f t="shared" si="0"/>
        <v>226.49823700000024</v>
      </c>
      <c r="D61" s="17">
        <f t="shared" si="6"/>
        <v>7817801.2193848472</v>
      </c>
      <c r="E61" s="17">
        <f t="shared" si="2"/>
        <v>3356723.4279563655</v>
      </c>
      <c r="F61" s="17">
        <f t="shared" si="7"/>
        <v>4461077.7914284822</v>
      </c>
      <c r="G61" s="22">
        <f t="shared" si="8"/>
        <v>1.4582517776340242</v>
      </c>
      <c r="H61" s="28" t="s">
        <v>56</v>
      </c>
    </row>
    <row r="62" spans="2:11" x14ac:dyDescent="0.3">
      <c r="B62" s="21">
        <f>+B60+10000</f>
        <v>40000</v>
      </c>
      <c r="C62" s="17">
        <f t="shared" si="0"/>
        <v>201.82</v>
      </c>
      <c r="D62" s="17">
        <f t="shared" ref="D62:D67" si="9">B62*C62</f>
        <v>8072800</v>
      </c>
      <c r="E62" s="17">
        <f t="shared" si="2"/>
        <v>3747058.96</v>
      </c>
      <c r="F62" s="17">
        <f t="shared" ref="F62:F67" si="10">D62-E62</f>
        <v>4325741.04</v>
      </c>
      <c r="G62" s="22">
        <f t="shared" ref="G62:G67" si="11">(-1/-0.0045)*(C62/B62)</f>
        <v>1.1212222222222221</v>
      </c>
    </row>
    <row r="63" spans="2:11" x14ac:dyDescent="0.3">
      <c r="B63" s="23">
        <v>42424.444444444453</v>
      </c>
      <c r="C63" s="17">
        <f t="shared" si="0"/>
        <v>190.90999999999997</v>
      </c>
      <c r="D63" s="17">
        <f t="shared" si="9"/>
        <v>8099250.6888888888</v>
      </c>
      <c r="E63" s="17">
        <f t="shared" si="2"/>
        <v>3919622.366964445</v>
      </c>
      <c r="F63" s="17">
        <f t="shared" si="10"/>
        <v>4179628.3219244438</v>
      </c>
      <c r="G63" s="22">
        <f t="shared" si="11"/>
        <v>0.99999999999999978</v>
      </c>
      <c r="H63" s="28" t="s">
        <v>53</v>
      </c>
    </row>
    <row r="64" spans="2:11" x14ac:dyDescent="0.3">
      <c r="B64" s="21">
        <f>+B62+10000</f>
        <v>50000</v>
      </c>
      <c r="C64" s="17">
        <f t="shared" si="0"/>
        <v>156.82000000000002</v>
      </c>
      <c r="D64" s="17">
        <f t="shared" si="9"/>
        <v>7841000.0000000009</v>
      </c>
      <c r="E64" s="17">
        <f t="shared" si="2"/>
        <v>4458823.6999999993</v>
      </c>
      <c r="F64" s="17">
        <f t="shared" si="10"/>
        <v>3382176.3000000017</v>
      </c>
      <c r="G64" s="22">
        <f t="shared" si="11"/>
        <v>0.69697777777777792</v>
      </c>
    </row>
    <row r="65" spans="2:13" x14ac:dyDescent="0.3">
      <c r="B65" s="21">
        <f t="shared" si="5"/>
        <v>60000</v>
      </c>
      <c r="C65" s="17">
        <f t="shared" si="0"/>
        <v>111.82</v>
      </c>
      <c r="D65" s="17">
        <f t="shared" si="9"/>
        <v>6709200</v>
      </c>
      <c r="E65" s="17">
        <f t="shared" si="2"/>
        <v>5170588.4399999995</v>
      </c>
      <c r="F65" s="17">
        <f t="shared" si="10"/>
        <v>1538611.5600000005</v>
      </c>
      <c r="G65" s="22">
        <f t="shared" si="11"/>
        <v>0.4141481481481481</v>
      </c>
    </row>
    <row r="66" spans="2:13" x14ac:dyDescent="0.3">
      <c r="B66" s="21">
        <f t="shared" si="5"/>
        <v>70000</v>
      </c>
      <c r="C66" s="17">
        <f t="shared" si="0"/>
        <v>66.819999999999993</v>
      </c>
      <c r="D66" s="17">
        <f t="shared" si="9"/>
        <v>4677399.9999999991</v>
      </c>
      <c r="E66" s="17">
        <f t="shared" si="2"/>
        <v>5882353.1799999997</v>
      </c>
      <c r="F66" s="17">
        <f t="shared" si="10"/>
        <v>-1204953.1800000006</v>
      </c>
      <c r="G66" s="22">
        <f t="shared" si="11"/>
        <v>0.21212698412698411</v>
      </c>
    </row>
    <row r="67" spans="2:13" x14ac:dyDescent="0.3">
      <c r="B67" s="17">
        <v>84848.888888888905</v>
      </c>
      <c r="C67" s="17">
        <f t="shared" si="0"/>
        <v>0</v>
      </c>
      <c r="D67" s="17">
        <f t="shared" si="9"/>
        <v>0</v>
      </c>
      <c r="E67" s="17">
        <f t="shared" si="2"/>
        <v>6939244.73392889</v>
      </c>
      <c r="F67" s="17">
        <f t="shared" si="10"/>
        <v>-6939244.73392889</v>
      </c>
      <c r="G67" s="22">
        <f t="shared" si="11"/>
        <v>0</v>
      </c>
    </row>
    <row r="68" spans="2:13" x14ac:dyDescent="0.3">
      <c r="E68" s="2" t="s">
        <v>49</v>
      </c>
    </row>
    <row r="69" spans="2:13" x14ac:dyDescent="0.3">
      <c r="B69" s="28" t="s">
        <v>55</v>
      </c>
    </row>
    <row r="70" spans="2:13" x14ac:dyDescent="0.3">
      <c r="B70" s="25" t="s">
        <v>52</v>
      </c>
      <c r="C70" s="26" t="s">
        <v>50</v>
      </c>
    </row>
    <row r="72" spans="2:13" x14ac:dyDescent="0.3">
      <c r="B72" s="28" t="s">
        <v>58</v>
      </c>
    </row>
    <row r="73" spans="2:13" x14ac:dyDescent="0.3">
      <c r="B73" s="2" t="s">
        <v>59</v>
      </c>
    </row>
    <row r="74" spans="2:13" x14ac:dyDescent="0.3">
      <c r="B74" s="2" t="s">
        <v>60</v>
      </c>
    </row>
    <row r="75" spans="2:13" x14ac:dyDescent="0.3">
      <c r="B75" s="32" t="s">
        <v>61</v>
      </c>
      <c r="C75" s="32"/>
      <c r="D75" s="32"/>
      <c r="E75" s="32"/>
      <c r="F75" s="32"/>
      <c r="G75" s="32"/>
      <c r="H75" s="32"/>
      <c r="I75" s="32"/>
      <c r="J75" s="32"/>
      <c r="K75" s="32"/>
      <c r="L75" s="32"/>
      <c r="M75" s="32"/>
    </row>
    <row r="76" spans="2:13" x14ac:dyDescent="0.3">
      <c r="B76" s="32"/>
      <c r="C76" s="32"/>
      <c r="D76" s="32"/>
      <c r="E76" s="32"/>
      <c r="F76" s="32"/>
      <c r="G76" s="32"/>
      <c r="H76" s="32"/>
      <c r="I76" s="32"/>
      <c r="J76" s="32"/>
      <c r="K76" s="32"/>
      <c r="L76" s="32"/>
      <c r="M76" s="32"/>
    </row>
    <row r="77" spans="2:13" x14ac:dyDescent="0.3">
      <c r="B77" s="32"/>
      <c r="C77" s="32"/>
      <c r="D77" s="32"/>
      <c r="E77" s="32"/>
      <c r="F77" s="32"/>
      <c r="G77" s="32"/>
      <c r="H77" s="32"/>
      <c r="I77" s="32"/>
      <c r="J77" s="32"/>
      <c r="K77" s="32"/>
      <c r="L77" s="32"/>
      <c r="M77" s="32"/>
    </row>
  </sheetData>
  <mergeCells count="3">
    <mergeCell ref="B6:D6"/>
    <mergeCell ref="B38:I40"/>
    <mergeCell ref="B75:M7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EBB8E-806C-44C1-B898-641007D2B0D8}">
  <dimension ref="B1:M68"/>
  <sheetViews>
    <sheetView topLeftCell="A41" workbookViewId="0">
      <selection activeCell="F65" sqref="F65:F66"/>
    </sheetView>
  </sheetViews>
  <sheetFormatPr baseColWidth="10" defaultRowHeight="14.4" x14ac:dyDescent="0.3"/>
  <cols>
    <col min="1" max="1" width="11.5546875" style="2"/>
    <col min="2" max="2" width="23.77734375" style="2" bestFit="1" customWidth="1"/>
    <col min="3" max="3" width="20.109375" style="2" customWidth="1"/>
    <col min="4" max="4" width="11.5546875" style="2"/>
    <col min="5" max="5" width="21.77734375" style="2" bestFit="1" customWidth="1"/>
    <col min="6" max="6" width="13.77734375" style="2" bestFit="1" customWidth="1"/>
    <col min="7" max="7" width="20.109375" style="2" customWidth="1"/>
    <col min="8" max="8" width="11.5546875" style="2"/>
    <col min="9" max="9" width="7.44140625" style="2" customWidth="1"/>
    <col min="10" max="11" width="11.5546875" style="2"/>
    <col min="12" max="12" width="10.44140625" style="2" bestFit="1" customWidth="1"/>
    <col min="13" max="13" width="12.77734375" style="2" bestFit="1" customWidth="1"/>
    <col min="14" max="16384" width="11.5546875" style="2"/>
  </cols>
  <sheetData>
    <row r="1" spans="2:13" x14ac:dyDescent="0.3">
      <c r="B1" s="10" t="s">
        <v>29</v>
      </c>
      <c r="C1" s="10"/>
      <c r="D1" s="10"/>
      <c r="F1" s="11" t="s">
        <v>30</v>
      </c>
      <c r="G1" s="12"/>
      <c r="H1" s="11" t="s">
        <v>31</v>
      </c>
    </row>
    <row r="2" spans="2:13" x14ac:dyDescent="0.3">
      <c r="B2" s="2" t="s">
        <v>11</v>
      </c>
      <c r="C2" s="2">
        <v>200</v>
      </c>
    </row>
    <row r="4" spans="2:13" x14ac:dyDescent="0.3">
      <c r="B4" s="2" t="s">
        <v>12</v>
      </c>
      <c r="C4" s="2">
        <v>235</v>
      </c>
    </row>
    <row r="5" spans="2:13" x14ac:dyDescent="0.3">
      <c r="B5" s="2" t="s">
        <v>13</v>
      </c>
      <c r="C5" s="2">
        <v>0.8</v>
      </c>
    </row>
    <row r="6" spans="2:13" x14ac:dyDescent="0.3">
      <c r="B6" s="2" t="s">
        <v>14</v>
      </c>
      <c r="C6" s="2">
        <v>1.1000000000000001</v>
      </c>
    </row>
    <row r="8" spans="2:13" x14ac:dyDescent="0.3">
      <c r="B8" s="2" t="s">
        <v>15</v>
      </c>
    </row>
    <row r="9" spans="2:13" x14ac:dyDescent="0.3">
      <c r="B9" s="2" t="s">
        <v>16</v>
      </c>
      <c r="C9" s="8">
        <v>200</v>
      </c>
      <c r="D9" s="2" t="s">
        <v>19</v>
      </c>
      <c r="H9" s="2">
        <v>235</v>
      </c>
    </row>
    <row r="10" spans="2:13" x14ac:dyDescent="0.3">
      <c r="B10" s="2" t="s">
        <v>0</v>
      </c>
      <c r="C10" s="8">
        <v>40000</v>
      </c>
      <c r="H10" s="8">
        <f>+C10*(89%)</f>
        <v>35600</v>
      </c>
    </row>
    <row r="11" spans="2:13" x14ac:dyDescent="0.3">
      <c r="B11" s="2" t="s">
        <v>17</v>
      </c>
      <c r="C11" s="8">
        <f>+C9*C10</f>
        <v>8000000</v>
      </c>
      <c r="D11" s="2" t="s">
        <v>19</v>
      </c>
      <c r="F11" s="9">
        <f>+C11</f>
        <v>8000000</v>
      </c>
      <c r="H11" s="9">
        <f>+H9*H10</f>
        <v>8366000</v>
      </c>
      <c r="K11" s="2" t="s">
        <v>46</v>
      </c>
      <c r="L11" s="9">
        <f>+F14+F21</f>
        <v>4366640</v>
      </c>
      <c r="M11" s="27">
        <f>L11/40000</f>
        <v>109.166</v>
      </c>
    </row>
    <row r="12" spans="2:13" x14ac:dyDescent="0.3">
      <c r="B12" s="2" t="s">
        <v>28</v>
      </c>
      <c r="C12" s="8">
        <f>C11*1.36</f>
        <v>10880000</v>
      </c>
      <c r="D12" s="2" t="s">
        <v>22</v>
      </c>
      <c r="K12" s="2" t="s">
        <v>47</v>
      </c>
      <c r="L12" s="9">
        <f>C23+C24</f>
        <v>900000</v>
      </c>
      <c r="M12" s="20"/>
    </row>
    <row r="13" spans="2:13" x14ac:dyDescent="0.3">
      <c r="C13" s="8"/>
    </row>
    <row r="14" spans="2:13" x14ac:dyDescent="0.3">
      <c r="B14" s="2" t="s">
        <v>18</v>
      </c>
      <c r="C14" s="8">
        <v>200000</v>
      </c>
      <c r="D14" s="2" t="s">
        <v>19</v>
      </c>
      <c r="F14" s="9">
        <f>+C14</f>
        <v>200000</v>
      </c>
      <c r="H14" s="9">
        <f>+F14</f>
        <v>200000</v>
      </c>
    </row>
    <row r="15" spans="2:13" x14ac:dyDescent="0.3">
      <c r="B15" s="2" t="s">
        <v>18</v>
      </c>
      <c r="C15" s="8">
        <f>+C14*1.36</f>
        <v>272000</v>
      </c>
      <c r="D15" s="2" t="s">
        <v>22</v>
      </c>
      <c r="F15" s="8"/>
    </row>
    <row r="17" spans="2:8" x14ac:dyDescent="0.3">
      <c r="B17" s="2" t="s">
        <v>20</v>
      </c>
    </row>
    <row r="18" spans="2:8" x14ac:dyDescent="0.3">
      <c r="B18" s="2" t="s">
        <v>21</v>
      </c>
      <c r="C18" s="2">
        <v>90</v>
      </c>
      <c r="D18" s="2" t="s">
        <v>22</v>
      </c>
    </row>
    <row r="19" spans="2:8" x14ac:dyDescent="0.3">
      <c r="B19" s="2" t="s">
        <v>23</v>
      </c>
      <c r="C19" s="8">
        <v>40000</v>
      </c>
    </row>
    <row r="20" spans="2:8" x14ac:dyDescent="0.3">
      <c r="B20" s="2" t="s">
        <v>24</v>
      </c>
      <c r="C20" s="8">
        <f>+C19*C18</f>
        <v>3600000</v>
      </c>
      <c r="D20" s="2" t="s">
        <v>22</v>
      </c>
    </row>
    <row r="21" spans="2:8" x14ac:dyDescent="0.3">
      <c r="B21" s="2" t="s">
        <v>24</v>
      </c>
      <c r="C21" s="8">
        <v>2647059</v>
      </c>
      <c r="D21" s="2" t="s">
        <v>19</v>
      </c>
      <c r="F21" s="9">
        <f>C20*1.1574</f>
        <v>4166640</v>
      </c>
      <c r="H21" s="9">
        <f>+F21</f>
        <v>4166640</v>
      </c>
    </row>
    <row r="22" spans="2:8" x14ac:dyDescent="0.3">
      <c r="C22" s="8"/>
    </row>
    <row r="23" spans="2:8" x14ac:dyDescent="0.3">
      <c r="B23" s="2" t="s">
        <v>25</v>
      </c>
      <c r="C23" s="8">
        <v>400000</v>
      </c>
      <c r="D23" s="2" t="s">
        <v>19</v>
      </c>
      <c r="F23" s="9">
        <f>+C23</f>
        <v>400000</v>
      </c>
      <c r="H23" s="9">
        <f>+F23</f>
        <v>400000</v>
      </c>
    </row>
    <row r="24" spans="2:8" x14ac:dyDescent="0.3">
      <c r="B24" s="2" t="s">
        <v>26</v>
      </c>
      <c r="C24" s="8">
        <v>500000</v>
      </c>
      <c r="D24" s="2" t="s">
        <v>19</v>
      </c>
      <c r="F24" s="9">
        <f>+C24</f>
        <v>500000</v>
      </c>
      <c r="H24" s="9">
        <f>+F24</f>
        <v>500000</v>
      </c>
    </row>
    <row r="25" spans="2:8" x14ac:dyDescent="0.3">
      <c r="B25" s="2" t="s">
        <v>25</v>
      </c>
      <c r="C25" s="8">
        <f>+C23*1.36</f>
        <v>544000</v>
      </c>
      <c r="D25" s="2" t="s">
        <v>22</v>
      </c>
    </row>
    <row r="26" spans="2:8" x14ac:dyDescent="0.3">
      <c r="B26" s="2" t="s">
        <v>26</v>
      </c>
      <c r="C26" s="8">
        <f>+C24*1.36</f>
        <v>680000</v>
      </c>
      <c r="D26" s="2" t="s">
        <v>22</v>
      </c>
    </row>
    <row r="28" spans="2:8" x14ac:dyDescent="0.3">
      <c r="B28" s="2" t="s">
        <v>27</v>
      </c>
      <c r="C28" s="9">
        <f>C11-C14-C21-C23-C24</f>
        <v>4252941</v>
      </c>
      <c r="D28" s="2" t="s">
        <v>19</v>
      </c>
      <c r="F28" s="9">
        <f>F11-F14-F21-F23-F24</f>
        <v>2733360</v>
      </c>
      <c r="H28" s="9">
        <f>H11-H14-H21-H23-H24</f>
        <v>3099360</v>
      </c>
    </row>
    <row r="29" spans="2:8" x14ac:dyDescent="0.3">
      <c r="B29" s="2" t="s">
        <v>27</v>
      </c>
      <c r="C29" s="9">
        <f>+C12-C15-C20-C25-C26</f>
        <v>5784000</v>
      </c>
      <c r="D29" s="2" t="s">
        <v>22</v>
      </c>
    </row>
    <row r="32" spans="2:8" x14ac:dyDescent="0.3">
      <c r="B32" s="28" t="s">
        <v>42</v>
      </c>
    </row>
    <row r="33" spans="2:9" x14ac:dyDescent="0.3">
      <c r="B33" s="13" t="s">
        <v>32</v>
      </c>
      <c r="C33" s="13"/>
      <c r="D33" s="13"/>
      <c r="E33" s="13"/>
      <c r="F33" s="13"/>
      <c r="G33" s="13"/>
      <c r="H33" s="13"/>
      <c r="I33" s="13"/>
    </row>
    <row r="34" spans="2:9" x14ac:dyDescent="0.3">
      <c r="B34" s="13"/>
      <c r="C34" s="13"/>
      <c r="D34" s="13"/>
      <c r="E34" s="13"/>
      <c r="F34" s="13"/>
      <c r="G34" s="13"/>
      <c r="H34" s="13"/>
      <c r="I34" s="13"/>
    </row>
    <row r="35" spans="2:9" x14ac:dyDescent="0.3">
      <c r="B35" s="13"/>
      <c r="C35" s="13"/>
      <c r="D35" s="13"/>
      <c r="E35" s="13"/>
      <c r="F35" s="13"/>
      <c r="G35" s="13"/>
      <c r="H35" s="13"/>
      <c r="I35" s="13"/>
    </row>
    <row r="37" spans="2:9" x14ac:dyDescent="0.3">
      <c r="B37" s="28" t="s">
        <v>43</v>
      </c>
    </row>
    <row r="39" spans="2:9" x14ac:dyDescent="0.3">
      <c r="B39" s="18"/>
      <c r="C39" s="19" t="s">
        <v>33</v>
      </c>
      <c r="D39" s="19" t="s">
        <v>5</v>
      </c>
      <c r="F39" s="2" t="s">
        <v>35</v>
      </c>
      <c r="G39" s="2">
        <v>1.1000000000000001</v>
      </c>
    </row>
    <row r="40" spans="2:9" x14ac:dyDescent="0.3">
      <c r="B40" s="5"/>
      <c r="C40" s="15">
        <v>0</v>
      </c>
      <c r="D40" s="15">
        <f>+G44</f>
        <v>84848.888888888891</v>
      </c>
      <c r="F40" s="2" t="s">
        <v>37</v>
      </c>
      <c r="G40" s="14">
        <f>+C41/C42-1</f>
        <v>0.17500000000000004</v>
      </c>
    </row>
    <row r="41" spans="2:9" x14ac:dyDescent="0.3">
      <c r="B41" s="16" t="s">
        <v>34</v>
      </c>
      <c r="C41" s="17">
        <v>235</v>
      </c>
      <c r="D41" s="17">
        <f>+D42*(1-G41)</f>
        <v>32299.999999999996</v>
      </c>
      <c r="F41" s="2" t="s">
        <v>38</v>
      </c>
      <c r="G41" s="14">
        <f>+G39*G40</f>
        <v>0.19250000000000006</v>
      </c>
    </row>
    <row r="42" spans="2:9" x14ac:dyDescent="0.3">
      <c r="B42" s="16" t="s">
        <v>36</v>
      </c>
      <c r="C42" s="17">
        <v>200</v>
      </c>
      <c r="D42" s="17">
        <v>40000</v>
      </c>
    </row>
    <row r="43" spans="2:9" x14ac:dyDescent="0.3">
      <c r="C43" s="8">
        <f>+G45</f>
        <v>381.82</v>
      </c>
      <c r="D43" s="8">
        <v>0</v>
      </c>
      <c r="F43" s="2" t="s">
        <v>39</v>
      </c>
    </row>
    <row r="44" spans="2:9" x14ac:dyDescent="0.3">
      <c r="F44" s="2" t="s">
        <v>40</v>
      </c>
      <c r="G44" s="8">
        <f>381.82/0.0045</f>
        <v>84848.888888888891</v>
      </c>
    </row>
    <row r="45" spans="2:9" x14ac:dyDescent="0.3">
      <c r="F45" s="2" t="s">
        <v>41</v>
      </c>
      <c r="G45" s="2">
        <v>381.82</v>
      </c>
    </row>
    <row r="47" spans="2:9" x14ac:dyDescent="0.3">
      <c r="B47" s="28" t="s">
        <v>44</v>
      </c>
    </row>
    <row r="49" spans="2:11" x14ac:dyDescent="0.3">
      <c r="B49" s="2" t="s">
        <v>45</v>
      </c>
      <c r="K49" s="28" t="s">
        <v>57</v>
      </c>
    </row>
    <row r="50" spans="2:11" x14ac:dyDescent="0.3">
      <c r="E50" s="28" t="s">
        <v>54</v>
      </c>
    </row>
    <row r="51" spans="2:11" x14ac:dyDescent="0.3">
      <c r="B51" s="3" t="s">
        <v>5</v>
      </c>
      <c r="C51" s="3" t="s">
        <v>39</v>
      </c>
      <c r="D51" s="3" t="s">
        <v>7</v>
      </c>
      <c r="E51" s="24" t="s">
        <v>51</v>
      </c>
      <c r="F51" s="3" t="s">
        <v>9</v>
      </c>
      <c r="G51" s="3" t="s">
        <v>48</v>
      </c>
    </row>
    <row r="52" spans="2:11" x14ac:dyDescent="0.3">
      <c r="B52" s="17">
        <v>0</v>
      </c>
      <c r="C52" s="17">
        <f>(-0.0045*B52)+381.82</f>
        <v>381.82</v>
      </c>
      <c r="D52" s="17">
        <f>B52*C52</f>
        <v>0</v>
      </c>
      <c r="E52" s="17">
        <f>900000+(71.176474*B52)</f>
        <v>900000</v>
      </c>
      <c r="F52" s="17">
        <f>D52-E52</f>
        <v>-900000</v>
      </c>
      <c r="G52" s="22" t="e">
        <f>(-1/-0.0045)*(C52/B52)</f>
        <v>#DIV/0!</v>
      </c>
    </row>
    <row r="53" spans="2:11" x14ac:dyDescent="0.3">
      <c r="B53" s="21">
        <f>+B52+10000</f>
        <v>10000</v>
      </c>
      <c r="C53" s="17">
        <f t="shared" ref="C53:C63" si="0">(-0.0045*B53)+381.82</f>
        <v>336.82</v>
      </c>
      <c r="D53" s="17">
        <f t="shared" ref="D53:D63" si="1">B53*C53</f>
        <v>3368200</v>
      </c>
      <c r="E53" s="17">
        <f t="shared" ref="E53:E63" si="2">900000+(71.176474*B53)</f>
        <v>1611764.74</v>
      </c>
      <c r="F53" s="17">
        <f t="shared" ref="F53:F63" si="3">D53-E53</f>
        <v>1756435.26</v>
      </c>
      <c r="G53" s="22">
        <f t="shared" ref="G53:G63" si="4">(-1/-0.0045)*(C53/B53)</f>
        <v>7.4848888888888885</v>
      </c>
    </row>
    <row r="54" spans="2:11" x14ac:dyDescent="0.3">
      <c r="B54" s="21">
        <f t="shared" ref="B54:B62" si="5">+B53+10000</f>
        <v>20000</v>
      </c>
      <c r="C54" s="17">
        <f t="shared" si="0"/>
        <v>291.82</v>
      </c>
      <c r="D54" s="17">
        <f t="shared" si="1"/>
        <v>5836400</v>
      </c>
      <c r="E54" s="17">
        <f t="shared" si="2"/>
        <v>2323529.48</v>
      </c>
      <c r="F54" s="17">
        <f t="shared" si="3"/>
        <v>3512870.52</v>
      </c>
      <c r="G54" s="22">
        <f t="shared" si="4"/>
        <v>3.2424444444444447</v>
      </c>
    </row>
    <row r="55" spans="2:11" x14ac:dyDescent="0.3">
      <c r="B55" s="21">
        <f t="shared" si="5"/>
        <v>30000</v>
      </c>
      <c r="C55" s="17">
        <f t="shared" si="0"/>
        <v>246.82</v>
      </c>
      <c r="D55" s="17">
        <f t="shared" si="1"/>
        <v>7404600</v>
      </c>
      <c r="E55" s="17">
        <f t="shared" si="2"/>
        <v>3035294.2199999997</v>
      </c>
      <c r="F55" s="17">
        <f t="shared" si="3"/>
        <v>4369305.78</v>
      </c>
      <c r="G55" s="22">
        <f t="shared" si="4"/>
        <v>1.8282962962962963</v>
      </c>
    </row>
    <row r="56" spans="2:11" x14ac:dyDescent="0.3">
      <c r="B56" s="29">
        <v>32300</v>
      </c>
      <c r="C56" s="30">
        <f t="shared" si="0"/>
        <v>236.47</v>
      </c>
      <c r="D56" s="30">
        <f t="shared" ref="D56" si="6">B56*C56</f>
        <v>7637981</v>
      </c>
      <c r="E56" s="30">
        <f t="shared" ref="E56" si="7">900000+(71.176474*B56)</f>
        <v>3199000.1102</v>
      </c>
      <c r="F56" s="30">
        <f t="shared" ref="F56" si="8">D56-E56</f>
        <v>4438980.8898</v>
      </c>
      <c r="G56" s="31">
        <f t="shared" ref="G56" si="9">(-1/-0.0045)*(C56/B56)</f>
        <v>1.6269005847953217</v>
      </c>
    </row>
    <row r="57" spans="2:11" x14ac:dyDescent="0.3">
      <c r="B57" s="23">
        <v>34515.947333333279</v>
      </c>
      <c r="C57" s="17">
        <f t="shared" si="0"/>
        <v>226.49823700000024</v>
      </c>
      <c r="D57" s="17">
        <f t="shared" si="1"/>
        <v>7817801.2193848472</v>
      </c>
      <c r="E57" s="17">
        <f t="shared" si="2"/>
        <v>3356723.4279563655</v>
      </c>
      <c r="F57" s="17">
        <f t="shared" si="3"/>
        <v>4461077.7914284822</v>
      </c>
      <c r="G57" s="22">
        <f t="shared" si="4"/>
        <v>1.4582517776340242</v>
      </c>
      <c r="H57" s="28" t="s">
        <v>56</v>
      </c>
    </row>
    <row r="58" spans="2:11" x14ac:dyDescent="0.3">
      <c r="B58" s="21">
        <f>+B55+10000</f>
        <v>40000</v>
      </c>
      <c r="C58" s="17">
        <f t="shared" si="0"/>
        <v>201.82</v>
      </c>
      <c r="D58" s="17">
        <f t="shared" si="1"/>
        <v>8072800</v>
      </c>
      <c r="E58" s="17">
        <f t="shared" si="2"/>
        <v>3747058.96</v>
      </c>
      <c r="F58" s="17">
        <f t="shared" si="3"/>
        <v>4325741.04</v>
      </c>
      <c r="G58" s="22">
        <f t="shared" si="4"/>
        <v>1.1212222222222221</v>
      </c>
    </row>
    <row r="59" spans="2:11" x14ac:dyDescent="0.3">
      <c r="B59" s="23">
        <v>42424.444444444453</v>
      </c>
      <c r="C59" s="17">
        <f t="shared" si="0"/>
        <v>190.90999999999997</v>
      </c>
      <c r="D59" s="17">
        <f t="shared" si="1"/>
        <v>8099250.6888888888</v>
      </c>
      <c r="E59" s="17">
        <f t="shared" si="2"/>
        <v>3919622.366964445</v>
      </c>
      <c r="F59" s="17">
        <f t="shared" si="3"/>
        <v>4179628.3219244438</v>
      </c>
      <c r="G59" s="22">
        <f t="shared" si="4"/>
        <v>0.99999999999999978</v>
      </c>
      <c r="H59" s="28" t="s">
        <v>53</v>
      </c>
    </row>
    <row r="60" spans="2:11" x14ac:dyDescent="0.3">
      <c r="B60" s="21">
        <f>+B58+10000</f>
        <v>50000</v>
      </c>
      <c r="C60" s="17">
        <f t="shared" si="0"/>
        <v>156.82000000000002</v>
      </c>
      <c r="D60" s="17">
        <f t="shared" si="1"/>
        <v>7841000.0000000009</v>
      </c>
      <c r="E60" s="17">
        <f t="shared" si="2"/>
        <v>4458823.6999999993</v>
      </c>
      <c r="F60" s="17">
        <f t="shared" si="3"/>
        <v>3382176.3000000017</v>
      </c>
      <c r="G60" s="22">
        <f t="shared" si="4"/>
        <v>0.69697777777777792</v>
      </c>
    </row>
    <row r="61" spans="2:11" x14ac:dyDescent="0.3">
      <c r="B61" s="21">
        <f t="shared" si="5"/>
        <v>60000</v>
      </c>
      <c r="C61" s="17">
        <f t="shared" si="0"/>
        <v>111.82</v>
      </c>
      <c r="D61" s="17">
        <f t="shared" si="1"/>
        <v>6709200</v>
      </c>
      <c r="E61" s="17">
        <f t="shared" si="2"/>
        <v>5170588.4399999995</v>
      </c>
      <c r="F61" s="17">
        <f t="shared" si="3"/>
        <v>1538611.5600000005</v>
      </c>
      <c r="G61" s="22">
        <f t="shared" si="4"/>
        <v>0.4141481481481481</v>
      </c>
    </row>
    <row r="62" spans="2:11" x14ac:dyDescent="0.3">
      <c r="B62" s="21">
        <f t="shared" si="5"/>
        <v>70000</v>
      </c>
      <c r="C62" s="17">
        <f t="shared" si="0"/>
        <v>66.819999999999993</v>
      </c>
      <c r="D62" s="17">
        <f t="shared" si="1"/>
        <v>4677399.9999999991</v>
      </c>
      <c r="E62" s="17">
        <f t="shared" si="2"/>
        <v>5882353.1799999997</v>
      </c>
      <c r="F62" s="17">
        <f t="shared" si="3"/>
        <v>-1204953.1800000006</v>
      </c>
      <c r="G62" s="22">
        <f t="shared" si="4"/>
        <v>0.21212698412698411</v>
      </c>
    </row>
    <row r="63" spans="2:11" x14ac:dyDescent="0.3">
      <c r="B63" s="17">
        <v>84848.888888888905</v>
      </c>
      <c r="C63" s="17">
        <f t="shared" si="0"/>
        <v>0</v>
      </c>
      <c r="D63" s="17">
        <f t="shared" si="1"/>
        <v>0</v>
      </c>
      <c r="E63" s="17">
        <f t="shared" si="2"/>
        <v>6939244.73392889</v>
      </c>
      <c r="F63" s="17">
        <f t="shared" si="3"/>
        <v>-6939244.73392889</v>
      </c>
      <c r="G63" s="22">
        <f t="shared" si="4"/>
        <v>0</v>
      </c>
    </row>
    <row r="64" spans="2:11" x14ac:dyDescent="0.3">
      <c r="E64" s="2" t="s">
        <v>49</v>
      </c>
    </row>
    <row r="65" spans="2:6" x14ac:dyDescent="0.3">
      <c r="B65" s="28" t="s">
        <v>55</v>
      </c>
    </row>
    <row r="66" spans="2:6" x14ac:dyDescent="0.3">
      <c r="B66" s="25" t="s">
        <v>52</v>
      </c>
      <c r="C66" s="26" t="s">
        <v>50</v>
      </c>
      <c r="F66" s="9"/>
    </row>
    <row r="68" spans="2:6" x14ac:dyDescent="0.3">
      <c r="B68" s="28" t="s">
        <v>58</v>
      </c>
    </row>
  </sheetData>
  <mergeCells count="2">
    <mergeCell ref="B1:D1"/>
    <mergeCell ref="B33:I3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6D03F-D78D-4FBB-A749-077971DCDCC6}">
  <dimension ref="B2:H23"/>
  <sheetViews>
    <sheetView zoomScaleNormal="100" workbookViewId="0">
      <selection activeCell="C9" sqref="C9"/>
    </sheetView>
  </sheetViews>
  <sheetFormatPr baseColWidth="10" defaultRowHeight="14.4" x14ac:dyDescent="0.3"/>
  <cols>
    <col min="1" max="2" width="11.5546875" style="2"/>
    <col min="3" max="3" width="17.77734375" style="2" customWidth="1"/>
    <col min="4" max="6" width="11.5546875" style="2"/>
    <col min="7" max="7" width="19.33203125" style="2" bestFit="1" customWidth="1"/>
    <col min="8" max="16384" width="11.5546875" style="2"/>
  </cols>
  <sheetData>
    <row r="2" spans="2:8" x14ac:dyDescent="0.3">
      <c r="B2" s="1" t="s">
        <v>0</v>
      </c>
      <c r="C2" s="1" t="s">
        <v>1</v>
      </c>
    </row>
    <row r="3" spans="2:8" x14ac:dyDescent="0.3">
      <c r="B3" s="2">
        <v>83</v>
      </c>
      <c r="C3" s="2">
        <v>2.2000000000000002</v>
      </c>
    </row>
    <row r="4" spans="2:8" x14ac:dyDescent="0.3">
      <c r="B4" s="2">
        <v>100</v>
      </c>
      <c r="C4" s="2">
        <v>2</v>
      </c>
      <c r="E4" s="2">
        <f>3.1765/0.0236</f>
        <v>134.59745762711864</v>
      </c>
      <c r="F4" s="2" t="s">
        <v>2</v>
      </c>
    </row>
    <row r="5" spans="2:8" x14ac:dyDescent="0.3">
      <c r="B5" s="2">
        <v>117</v>
      </c>
      <c r="C5" s="2">
        <v>1.8</v>
      </c>
      <c r="E5" s="2">
        <f>3.1765/0.0118</f>
        <v>269.19491525423729</v>
      </c>
      <c r="F5" s="2" t="s">
        <v>3</v>
      </c>
    </row>
    <row r="8" spans="2:8" x14ac:dyDescent="0.3">
      <c r="H8" s="2" t="s">
        <v>4</v>
      </c>
    </row>
    <row r="9" spans="2:8" x14ac:dyDescent="0.3">
      <c r="B9" s="3" t="s">
        <v>5</v>
      </c>
      <c r="C9" s="3" t="s">
        <v>6</v>
      </c>
      <c r="D9" s="3" t="s">
        <v>7</v>
      </c>
      <c r="E9" s="3" t="s">
        <v>8</v>
      </c>
      <c r="F9" s="3" t="s">
        <v>9</v>
      </c>
      <c r="G9" s="3" t="s">
        <v>10</v>
      </c>
      <c r="H9" s="4"/>
    </row>
    <row r="10" spans="2:8" x14ac:dyDescent="0.3">
      <c r="B10" s="5">
        <v>0</v>
      </c>
      <c r="C10" s="6">
        <f>3.1765-0.0118*B10</f>
        <v>3.1764999999999999</v>
      </c>
      <c r="D10" s="6">
        <f>B10*C10</f>
        <v>0</v>
      </c>
      <c r="E10" s="6">
        <f>60+(1.2*B10)</f>
        <v>60</v>
      </c>
      <c r="F10" s="6">
        <f>D10-E10</f>
        <v>-60</v>
      </c>
      <c r="G10" s="6" t="e">
        <f>(-1/0.0118)*(C10/B10)</f>
        <v>#DIV/0!</v>
      </c>
    </row>
    <row r="11" spans="2:8" x14ac:dyDescent="0.3">
      <c r="B11" s="5">
        <f>+B10+30</f>
        <v>30</v>
      </c>
      <c r="C11" s="6">
        <f t="shared" ref="C11:C20" si="0">3.1765-0.0118*B11</f>
        <v>2.8224999999999998</v>
      </c>
      <c r="D11" s="6">
        <f t="shared" ref="D11:D20" si="1">B11*C11</f>
        <v>84.674999999999997</v>
      </c>
      <c r="E11" s="6">
        <f t="shared" ref="E11:E20" si="2">60+(1.2*B11)</f>
        <v>96</v>
      </c>
      <c r="F11" s="6">
        <f t="shared" ref="F11:F20" si="3">D11-E11</f>
        <v>-11.325000000000003</v>
      </c>
      <c r="G11" s="6">
        <f t="shared" ref="G11:G20" si="4">(-1/0.0118)*(C11/B11)</f>
        <v>-7.97316384180791</v>
      </c>
    </row>
    <row r="12" spans="2:8" x14ac:dyDescent="0.3">
      <c r="B12" s="5">
        <f t="shared" ref="B12:B19" si="5">+B11+30</f>
        <v>60</v>
      </c>
      <c r="C12" s="6">
        <f t="shared" si="0"/>
        <v>2.4684999999999997</v>
      </c>
      <c r="D12" s="6">
        <f t="shared" si="1"/>
        <v>148.10999999999999</v>
      </c>
      <c r="E12" s="6">
        <f t="shared" si="2"/>
        <v>132</v>
      </c>
      <c r="F12" s="6">
        <f t="shared" si="3"/>
        <v>16.109999999999985</v>
      </c>
      <c r="G12" s="6">
        <f t="shared" si="4"/>
        <v>-3.4865819209039546</v>
      </c>
    </row>
    <row r="13" spans="2:8" x14ac:dyDescent="0.3">
      <c r="B13" s="5">
        <f t="shared" si="5"/>
        <v>90</v>
      </c>
      <c r="C13" s="6">
        <f t="shared" si="0"/>
        <v>2.1144999999999996</v>
      </c>
      <c r="D13" s="6">
        <f t="shared" si="1"/>
        <v>190.30499999999995</v>
      </c>
      <c r="E13" s="6">
        <f t="shared" si="2"/>
        <v>168</v>
      </c>
      <c r="F13" s="6">
        <f t="shared" si="3"/>
        <v>22.30499999999995</v>
      </c>
      <c r="G13" s="6">
        <f t="shared" si="4"/>
        <v>-1.9910546139359697</v>
      </c>
    </row>
    <row r="14" spans="2:8" x14ac:dyDescent="0.3">
      <c r="B14" s="5">
        <f t="shared" si="5"/>
        <v>120</v>
      </c>
      <c r="C14" s="6">
        <f t="shared" si="0"/>
        <v>1.7605</v>
      </c>
      <c r="D14" s="6">
        <f t="shared" si="1"/>
        <v>211.26</v>
      </c>
      <c r="E14" s="6">
        <f t="shared" si="2"/>
        <v>204</v>
      </c>
      <c r="F14" s="6">
        <f t="shared" si="3"/>
        <v>7.2599999999999909</v>
      </c>
      <c r="G14" s="6">
        <f t="shared" si="4"/>
        <v>-1.2432909604519775</v>
      </c>
    </row>
    <row r="15" spans="2:8" x14ac:dyDescent="0.3">
      <c r="B15" s="7">
        <v>134.59745762711864</v>
      </c>
      <c r="C15" s="6">
        <f t="shared" si="0"/>
        <v>1.5882499999999999</v>
      </c>
      <c r="D15" s="6">
        <f t="shared" si="1"/>
        <v>213.77441207627118</v>
      </c>
      <c r="E15" s="6">
        <f t="shared" si="2"/>
        <v>221.51694915254237</v>
      </c>
      <c r="F15" s="6">
        <f t="shared" si="3"/>
        <v>-7.7425370762711907</v>
      </c>
      <c r="G15" s="6">
        <f t="shared" si="4"/>
        <v>-1</v>
      </c>
    </row>
    <row r="16" spans="2:8" x14ac:dyDescent="0.3">
      <c r="B16" s="5">
        <f>+B14+30</f>
        <v>150</v>
      </c>
      <c r="C16" s="6">
        <f t="shared" si="0"/>
        <v>1.4064999999999999</v>
      </c>
      <c r="D16" s="6">
        <f t="shared" si="1"/>
        <v>210.97499999999997</v>
      </c>
      <c r="E16" s="6">
        <f t="shared" si="2"/>
        <v>240</v>
      </c>
      <c r="F16" s="6">
        <f t="shared" si="3"/>
        <v>-29.025000000000034</v>
      </c>
      <c r="G16" s="6">
        <f t="shared" si="4"/>
        <v>-0.79463276836158192</v>
      </c>
    </row>
    <row r="17" spans="2:7" x14ac:dyDescent="0.3">
      <c r="B17" s="5">
        <f t="shared" si="5"/>
        <v>180</v>
      </c>
      <c r="C17" s="6">
        <f t="shared" si="0"/>
        <v>1.0524999999999998</v>
      </c>
      <c r="D17" s="6">
        <f t="shared" si="1"/>
        <v>189.44999999999996</v>
      </c>
      <c r="E17" s="6">
        <f t="shared" si="2"/>
        <v>276</v>
      </c>
      <c r="F17" s="6">
        <f t="shared" si="3"/>
        <v>-86.55000000000004</v>
      </c>
      <c r="G17" s="6">
        <f t="shared" si="4"/>
        <v>-0.49552730696798486</v>
      </c>
    </row>
    <row r="18" spans="2:7" x14ac:dyDescent="0.3">
      <c r="B18" s="5">
        <f t="shared" si="5"/>
        <v>210</v>
      </c>
      <c r="C18" s="6">
        <f t="shared" si="0"/>
        <v>0.69850000000000012</v>
      </c>
      <c r="D18" s="6">
        <f t="shared" si="1"/>
        <v>146.68500000000003</v>
      </c>
      <c r="E18" s="6">
        <f t="shared" si="2"/>
        <v>312</v>
      </c>
      <c r="F18" s="6">
        <f t="shared" si="3"/>
        <v>-165.31499999999997</v>
      </c>
      <c r="G18" s="6">
        <f t="shared" si="4"/>
        <v>-0.28188054882970148</v>
      </c>
    </row>
    <row r="19" spans="2:7" x14ac:dyDescent="0.3">
      <c r="B19" s="5">
        <f t="shared" si="5"/>
        <v>240</v>
      </c>
      <c r="C19" s="6">
        <f t="shared" si="0"/>
        <v>0.34450000000000003</v>
      </c>
      <c r="D19" s="6">
        <f t="shared" si="1"/>
        <v>82.68</v>
      </c>
      <c r="E19" s="6">
        <f t="shared" si="2"/>
        <v>348</v>
      </c>
      <c r="F19" s="6">
        <f t="shared" si="3"/>
        <v>-265.32</v>
      </c>
      <c r="G19" s="6">
        <f t="shared" si="4"/>
        <v>-0.12164548022598873</v>
      </c>
    </row>
    <row r="20" spans="2:7" x14ac:dyDescent="0.3">
      <c r="B20" s="5">
        <v>269.19491525423729</v>
      </c>
      <c r="C20" s="6">
        <f t="shared" si="0"/>
        <v>0</v>
      </c>
      <c r="D20" s="6">
        <f t="shared" si="1"/>
        <v>0</v>
      </c>
      <c r="E20" s="6">
        <f t="shared" si="2"/>
        <v>383.03389830508473</v>
      </c>
      <c r="F20" s="6">
        <f t="shared" si="3"/>
        <v>-383.03389830508473</v>
      </c>
      <c r="G20" s="6">
        <f t="shared" si="4"/>
        <v>0</v>
      </c>
    </row>
    <row r="22" spans="2:7" x14ac:dyDescent="0.3">
      <c r="B22" s="3" t="s">
        <v>5</v>
      </c>
      <c r="C22" s="3" t="s">
        <v>6</v>
      </c>
      <c r="D22" s="3" t="s">
        <v>7</v>
      </c>
      <c r="E22" s="3" t="s">
        <v>8</v>
      </c>
      <c r="F22" s="3" t="s">
        <v>9</v>
      </c>
      <c r="G22" s="3" t="s">
        <v>10</v>
      </c>
    </row>
    <row r="23" spans="2:7" x14ac:dyDescent="0.3">
      <c r="B23" s="5">
        <v>83.749999974315088</v>
      </c>
      <c r="C23" s="6">
        <f>3.1765-0.0118*B23</f>
        <v>2.188250000303082</v>
      </c>
      <c r="D23" s="6">
        <f>B23*C23</f>
        <v>183.26593746917811</v>
      </c>
      <c r="E23" s="6">
        <f>60+(1.2*B23)</f>
        <v>160.49999996917811</v>
      </c>
      <c r="F23" s="6">
        <f>D23-E23</f>
        <v>22.765937500000007</v>
      </c>
      <c r="G23" s="6">
        <f>(-1/0.0118)*(C23/B23)</f>
        <v>-2.2142676458124835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Hoja2</vt:lpstr>
      <vt:lpstr>Hoja2 (2)</vt:lpstr>
      <vt:lpstr>Molto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ulloa</dc:creator>
  <cp:lastModifiedBy>Santiago Ulloa Puyana</cp:lastModifiedBy>
  <dcterms:created xsi:type="dcterms:W3CDTF">2023-03-04T14:11:17Z</dcterms:created>
  <dcterms:modified xsi:type="dcterms:W3CDTF">2023-03-04T16:30:50Z</dcterms:modified>
</cp:coreProperties>
</file>