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MSM McCombs\Fall Term\Dynamic Pricing\HW 1\"/>
    </mc:Choice>
  </mc:AlternateContent>
  <xr:revisionPtr revIDLastSave="0" documentId="13_ncr:1_{1B9C2CC3-F9CE-4659-B37C-9500FB8C11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art A" sheetId="1" r:id="rId1"/>
    <sheet name="Part B" sheetId="2" r:id="rId2"/>
    <sheet name="Part C" sheetId="3" r:id="rId3"/>
    <sheet name="Part D" sheetId="4" r:id="rId4"/>
    <sheet name="Part 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O17" i="1" s="1"/>
  <c r="V21" i="1"/>
  <c r="V16" i="1"/>
  <c r="V23" i="1" s="1"/>
  <c r="O16" i="1"/>
  <c r="V12" i="1"/>
  <c r="V15" i="1" s="1"/>
  <c r="O12" i="1"/>
  <c r="O21" i="1" s="1"/>
  <c r="O23" i="1" s="1"/>
  <c r="O24" i="1" s="1"/>
  <c r="V6" i="1"/>
  <c r="V17" i="1" s="1"/>
  <c r="C14" i="4"/>
  <c r="C15" i="4"/>
  <c r="C16" i="4"/>
  <c r="H21" i="3"/>
  <c r="H20" i="3"/>
  <c r="L8" i="3"/>
  <c r="L7" i="3"/>
  <c r="L6" i="3"/>
  <c r="C11" i="2"/>
  <c r="C8" i="2"/>
  <c r="I24" i="1"/>
  <c r="I23" i="1"/>
  <c r="I21" i="1"/>
  <c r="I19" i="1"/>
  <c r="I17" i="1"/>
  <c r="I16" i="1"/>
  <c r="I15" i="1"/>
  <c r="O15" i="1" l="1"/>
  <c r="O19" i="1" s="1"/>
  <c r="V24" i="1" s="1"/>
  <c r="V25" i="1" s="1"/>
  <c r="V19" i="1"/>
  <c r="H35" i="5"/>
  <c r="H32" i="5"/>
  <c r="H20" i="5"/>
  <c r="H33" i="5"/>
  <c r="H27" i="5"/>
  <c r="H25" i="5"/>
  <c r="H22" i="5"/>
  <c r="H18" i="5"/>
  <c r="H17" i="5"/>
  <c r="H11" i="5"/>
  <c r="H9" i="5"/>
  <c r="H8" i="5"/>
  <c r="C24" i="5"/>
  <c r="C16" i="5"/>
  <c r="C10" i="5"/>
  <c r="C19" i="5" s="1"/>
  <c r="C25" i="5" s="1"/>
  <c r="C26" i="5" s="1"/>
  <c r="C17" i="4" l="1"/>
  <c r="C12" i="4"/>
  <c r="C10" i="4"/>
  <c r="C50" i="2"/>
  <c r="C52" i="2" s="1"/>
  <c r="C53" i="2" s="1"/>
  <c r="C55" i="2" s="1"/>
  <c r="C39" i="2"/>
  <c r="C41" i="2"/>
  <c r="C42" i="2" s="1"/>
  <c r="C44" i="2" s="1"/>
  <c r="C28" i="2"/>
  <c r="C30" i="2" s="1"/>
  <c r="C31" i="2" s="1"/>
  <c r="C33" i="2" s="1"/>
  <c r="C17" i="2"/>
  <c r="C19" i="2"/>
  <c r="C20" i="2" s="1"/>
  <c r="C22" i="2" s="1"/>
  <c r="C9" i="2"/>
  <c r="C6" i="2"/>
  <c r="F12" i="3"/>
  <c r="E12" i="3"/>
  <c r="H12" i="3" s="1"/>
  <c r="E13" i="3"/>
  <c r="H13" i="3" s="1"/>
  <c r="E14" i="3"/>
  <c r="H14" i="3" s="1"/>
  <c r="E11" i="3"/>
  <c r="E4" i="3"/>
  <c r="H4" i="3" s="1"/>
  <c r="E5" i="3"/>
  <c r="E6" i="3"/>
  <c r="E3" i="3"/>
  <c r="I25" i="1"/>
  <c r="I6" i="1"/>
  <c r="I12" i="1"/>
  <c r="B24" i="1"/>
  <c r="B23" i="1"/>
  <c r="B21" i="1"/>
  <c r="B19" i="1"/>
  <c r="B15" i="1"/>
  <c r="B16" i="1"/>
  <c r="B17" i="1"/>
  <c r="B12" i="1"/>
  <c r="B6" i="1"/>
  <c r="H15" i="3" l="1"/>
</calcChain>
</file>

<file path=xl/sharedStrings.xml><?xml version="1.0" encoding="utf-8"?>
<sst xmlns="http://schemas.openxmlformats.org/spreadsheetml/2006/main" count="212" uniqueCount="113">
  <si>
    <t xml:space="preserve">Retail Price </t>
  </si>
  <si>
    <t>total market sales</t>
  </si>
  <si>
    <t>Product X's market share</t>
  </si>
  <si>
    <t>Product X's sales</t>
  </si>
  <si>
    <t xml:space="preserve">Variable Manufacturing Cost </t>
  </si>
  <si>
    <t>Fixed manufacturing Cost</t>
  </si>
  <si>
    <t>Advertising budget</t>
  </si>
  <si>
    <t>PM's salary &amp; expenses</t>
  </si>
  <si>
    <t>Sales people salary</t>
  </si>
  <si>
    <t>Shipping, breakage, insurance</t>
  </si>
  <si>
    <t>Overall Fixed Cost</t>
  </si>
  <si>
    <t xml:space="preserve">Revenue </t>
  </si>
  <si>
    <t>Overall Variable Cost</t>
  </si>
  <si>
    <t>Profit</t>
  </si>
  <si>
    <t>Unit Contribution Margin</t>
  </si>
  <si>
    <t>Breakeven = Fixed Cost/Contribution</t>
  </si>
  <si>
    <t>Market share required to breakeven</t>
  </si>
  <si>
    <t>Question 1 to 4</t>
  </si>
  <si>
    <t>Question 5</t>
  </si>
  <si>
    <t>Increased Industry Demand</t>
  </si>
  <si>
    <t>Variable Manufacturing Cost</t>
  </si>
  <si>
    <t>Units to Breakeven</t>
  </si>
  <si>
    <t>Ans 5a)</t>
  </si>
  <si>
    <t>Units to make the same profit as last year</t>
  </si>
  <si>
    <t>Market Share to achieve same profit as last year</t>
  </si>
  <si>
    <t>Ans 5b)</t>
  </si>
  <si>
    <t>Ans 5c)</t>
  </si>
  <si>
    <t>Ans 1)</t>
  </si>
  <si>
    <t>Ans 2)</t>
  </si>
  <si>
    <t>Ans 3)</t>
  </si>
  <si>
    <t>Ans 4)</t>
  </si>
  <si>
    <t>Question 1</t>
  </si>
  <si>
    <t>cost of lawnmower</t>
  </si>
  <si>
    <t>cost to mow the lawn</t>
  </si>
  <si>
    <t>number of lawns</t>
  </si>
  <si>
    <t># of times to lawn mow per lawn</t>
  </si>
  <si>
    <t>cost for 20 weeks</t>
  </si>
  <si>
    <t>how much Bob should charge</t>
  </si>
  <si>
    <t>RevenueNeeded = TotalCost*(1+0.2)</t>
  </si>
  <si>
    <t>Question 2</t>
  </si>
  <si>
    <t>Question 3</t>
  </si>
  <si>
    <t>Question 4</t>
  </si>
  <si>
    <t>Lemon Cake</t>
  </si>
  <si>
    <t>Cool Orange Mousse</t>
  </si>
  <si>
    <t>Texas Strawberry Mango Shortcake</t>
  </si>
  <si>
    <t>Raspberry Peach Crisp</t>
  </si>
  <si>
    <t>Retail Price</t>
  </si>
  <si>
    <t>Cost Price</t>
  </si>
  <si>
    <t>Margin</t>
  </si>
  <si>
    <t>Customers</t>
  </si>
  <si>
    <t>Profits</t>
  </si>
  <si>
    <t>additional units</t>
  </si>
  <si>
    <t>old case - new case</t>
  </si>
  <si>
    <t>quantity required to make breakeven</t>
  </si>
  <si>
    <t>SUM</t>
  </si>
  <si>
    <t>months</t>
  </si>
  <si>
    <t>Revenue Needed</t>
  </si>
  <si>
    <t>Existing Pipe Price/100 Ft.</t>
  </si>
  <si>
    <t>Pipe Break Crop Damage Cost (March-May)</t>
  </si>
  <si>
    <t>Pipe Break Crop Damage Cost (Other)</t>
  </si>
  <si>
    <t>Labor Cost to Replace Pipe</t>
  </si>
  <si>
    <t>Annual Rate of Failure (Existing Pipes)</t>
  </si>
  <si>
    <t>Annual Rate of Failure (Alathon24)</t>
  </si>
  <si>
    <t xml:space="preserve">positive EV - higher reliability </t>
  </si>
  <si>
    <t>negative EV</t>
  </si>
  <si>
    <t>Net Differentiation Value</t>
  </si>
  <si>
    <t>Pipe Break Damage Cost (March-May)</t>
  </si>
  <si>
    <t>labor cost</t>
  </si>
  <si>
    <t>reference value</t>
  </si>
  <si>
    <t xml:space="preserve">differential value </t>
  </si>
  <si>
    <t>Math Controlled Version Price</t>
  </si>
  <si>
    <t>More effective than mechanical</t>
  </si>
  <si>
    <t>Man. Cost of Comp. Control Equip</t>
  </si>
  <si>
    <t>Minor Surge Labor Cost</t>
  </si>
  <si>
    <t>Minor Surge Material/Fuel Cost</t>
  </si>
  <si>
    <t xml:space="preserve">Lost income </t>
  </si>
  <si>
    <t>Frequency of minor surge/comp</t>
  </si>
  <si>
    <t>Major Surge Labor Cost</t>
  </si>
  <si>
    <t>Major Surge Material/Fuel Cost</t>
  </si>
  <si>
    <t>Equipment (new compressor)</t>
  </si>
  <si>
    <t>Lost Income</t>
  </si>
  <si>
    <t>Frequency of major surge/comp</t>
  </si>
  <si>
    <t>positive EV (higher reliability)</t>
  </si>
  <si>
    <t>Reference Value</t>
  </si>
  <si>
    <t>Differentiation Value</t>
  </si>
  <si>
    <t>TEV of Comp.Control's ESC</t>
  </si>
  <si>
    <t>Customers Change</t>
  </si>
  <si>
    <t>Pipeline per hour generates</t>
  </si>
  <si>
    <t>Minor Surge</t>
  </si>
  <si>
    <t>Labor</t>
  </si>
  <si>
    <t>Incremental materials, fuel</t>
  </si>
  <si>
    <t>Lost Production</t>
  </si>
  <si>
    <t>Total</t>
  </si>
  <si>
    <t>Frequency</t>
  </si>
  <si>
    <t>Total per year</t>
  </si>
  <si>
    <t>Major Surge</t>
  </si>
  <si>
    <t>Equipment</t>
  </si>
  <si>
    <t>Cost of Surges</t>
  </si>
  <si>
    <t>Surge Elimination</t>
  </si>
  <si>
    <t>Expected Saving</t>
  </si>
  <si>
    <t>Eliminate naturally occuring surge</t>
  </si>
  <si>
    <t>Lost Production (24 hours)</t>
  </si>
  <si>
    <t>True Economic Value</t>
  </si>
  <si>
    <t>N</t>
  </si>
  <si>
    <t>I/YR</t>
  </si>
  <si>
    <t>FV</t>
  </si>
  <si>
    <t>PMT</t>
  </si>
  <si>
    <t>Present value of Net Differentiation Value</t>
  </si>
  <si>
    <t>number of lawns (no of customers)</t>
  </si>
  <si>
    <t>other method</t>
  </si>
  <si>
    <t>mousse sales need to bring in at least ? To breakeven</t>
  </si>
  <si>
    <t>reference value + differential value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</si>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</sst>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3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0" xfId="2" applyNumberFormat="1" applyFont="1"/>
    <xf numFmtId="164" fontId="0" fillId="0" borderId="0" xfId="2" applyNumberFormat="1" applyFont="1"/>
    <xf numFmtId="0" fontId="4" fillId="0" borderId="0" xfId="0" applyFont="1"/>
    <xf numFmtId="0" fontId="0" fillId="3" borderId="0" xfId="0" applyFill="1"/>
    <xf numFmtId="44" fontId="3" fillId="0" borderId="0" xfId="1" applyFont="1"/>
    <xf numFmtId="0" fontId="0" fillId="0" borderId="0" xfId="1" applyNumberFormat="1" applyFont="1"/>
    <xf numFmtId="0" fontId="0" fillId="0" borderId="1" xfId="0" applyBorder="1"/>
    <xf numFmtId="44" fontId="0" fillId="0" borderId="1" xfId="1" applyFont="1" applyBorder="1"/>
    <xf numFmtId="9" fontId="0" fillId="0" borderId="0" xfId="2" applyFont="1"/>
    <xf numFmtId="0" fontId="0" fillId="0" borderId="2" xfId="0" applyBorder="1"/>
    <xf numFmtId="9" fontId="0" fillId="0" borderId="2" xfId="2" applyFont="1" applyBorder="1"/>
    <xf numFmtId="0" fontId="0" fillId="0" borderId="1" xfId="2" applyNumberFormat="1" applyFont="1" applyBorder="1"/>
    <xf numFmtId="44" fontId="3" fillId="0" borderId="0" xfId="0" applyNumberFormat="1" applyFont="1"/>
    <xf numFmtId="44" fontId="0" fillId="0" borderId="2" xfId="0" applyNumberFormat="1" applyBorder="1"/>
    <xf numFmtId="0" fontId="5" fillId="0" borderId="0" xfId="0" applyFont="1"/>
    <xf numFmtId="44" fontId="5" fillId="0" borderId="0" xfId="0" applyNumberFormat="1" applyFont="1"/>
    <xf numFmtId="0" fontId="0" fillId="0" borderId="0" xfId="0" applyNumberFormat="1"/>
    <xf numFmtId="8" fontId="0" fillId="0" borderId="0" xfId="0" applyNumberFormat="1"/>
    <xf numFmtId="8" fontId="3" fillId="0" borderId="0" xfId="0" applyNumberFormat="1" applyFont="1"/>
    <xf numFmtId="0" fontId="0" fillId="4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topLeftCell="J1" zoomScale="89" workbookViewId="0">
      <selection activeCell="O9" sqref="O9"/>
    </sheetView>
  </sheetViews>
  <sheetFormatPr defaultRowHeight="14.5" x14ac:dyDescent="0.35"/>
  <cols>
    <col min="1" max="1" width="32.7265625" customWidth="1"/>
    <col min="2" max="2" width="13.6328125" bestFit="1" customWidth="1"/>
    <col min="8" max="8" width="43.7265625" customWidth="1"/>
    <col min="9" max="9" width="15.90625" customWidth="1"/>
    <col min="14" max="14" width="22.81640625" customWidth="1"/>
    <col min="15" max="15" width="22.1796875" customWidth="1"/>
    <col min="21" max="21" width="22.6328125" customWidth="1"/>
    <col min="22" max="22" width="27.54296875" customWidth="1"/>
  </cols>
  <sheetData>
    <row r="1" spans="1:22" x14ac:dyDescent="0.35">
      <c r="A1" s="6" t="s">
        <v>17</v>
      </c>
      <c r="H1" s="6" t="s">
        <v>18</v>
      </c>
    </row>
    <row r="3" spans="1:22" x14ac:dyDescent="0.35">
      <c r="A3" t="s">
        <v>0</v>
      </c>
      <c r="B3" s="3">
        <v>1</v>
      </c>
      <c r="H3" t="s">
        <v>0</v>
      </c>
      <c r="I3" s="3">
        <v>1</v>
      </c>
      <c r="N3" t="s">
        <v>0</v>
      </c>
      <c r="O3" s="3">
        <v>0.89</v>
      </c>
      <c r="U3" t="s">
        <v>0</v>
      </c>
      <c r="V3" s="3">
        <v>1</v>
      </c>
    </row>
    <row r="4" spans="1:22" x14ac:dyDescent="0.35">
      <c r="A4" t="s">
        <v>1</v>
      </c>
      <c r="B4" s="1">
        <v>20000000</v>
      </c>
      <c r="H4" t="s">
        <v>19</v>
      </c>
      <c r="I4" s="1">
        <v>23000000</v>
      </c>
      <c r="N4" t="s">
        <v>1</v>
      </c>
      <c r="O4" s="1">
        <v>100</v>
      </c>
      <c r="U4" t="s">
        <v>19</v>
      </c>
      <c r="V4" s="1">
        <v>23000000</v>
      </c>
    </row>
    <row r="5" spans="1:22" x14ac:dyDescent="0.35">
      <c r="A5" t="s">
        <v>2</v>
      </c>
      <c r="B5" s="2">
        <v>0.24</v>
      </c>
      <c r="H5" t="s">
        <v>2</v>
      </c>
      <c r="I5" s="2">
        <v>0.24</v>
      </c>
      <c r="N5" t="s">
        <v>2</v>
      </c>
      <c r="O5" s="2" t="s">
        <v>112</v>
      </c>
      <c r="U5" t="s">
        <v>2</v>
      </c>
      <c r="V5" s="2">
        <v>0.24</v>
      </c>
    </row>
    <row r="6" spans="1:22" x14ac:dyDescent="0.35">
      <c r="A6" t="s">
        <v>3</v>
      </c>
      <c r="B6">
        <f>B5*B4</f>
        <v>4800000</v>
      </c>
      <c r="H6" t="s">
        <v>3</v>
      </c>
      <c r="I6">
        <f>I4*I5</f>
        <v>5520000</v>
      </c>
      <c r="N6" t="s">
        <v>3</v>
      </c>
      <c r="O6">
        <f>100</f>
        <v>100</v>
      </c>
      <c r="U6" t="s">
        <v>3</v>
      </c>
      <c r="V6">
        <f>V4*V5</f>
        <v>5520000</v>
      </c>
    </row>
    <row r="8" spans="1:22" x14ac:dyDescent="0.35">
      <c r="A8" t="s">
        <v>4</v>
      </c>
      <c r="B8" s="3">
        <v>0.09</v>
      </c>
      <c r="H8" t="s">
        <v>20</v>
      </c>
      <c r="I8" s="3">
        <v>0.06</v>
      </c>
      <c r="N8" t="s">
        <v>4</v>
      </c>
      <c r="O8" s="3">
        <v>0.09</v>
      </c>
      <c r="U8" t="s">
        <v>20</v>
      </c>
      <c r="V8" s="3">
        <v>0.06</v>
      </c>
    </row>
    <row r="9" spans="1:22" x14ac:dyDescent="0.35">
      <c r="A9" t="s">
        <v>5</v>
      </c>
      <c r="B9" s="3">
        <v>900000</v>
      </c>
      <c r="H9" t="s">
        <v>5</v>
      </c>
      <c r="I9" s="3">
        <v>900000</v>
      </c>
      <c r="N9" t="s">
        <v>5</v>
      </c>
      <c r="O9" s="3">
        <v>900000</v>
      </c>
      <c r="U9" t="s">
        <v>5</v>
      </c>
      <c r="V9" s="3">
        <v>900000</v>
      </c>
    </row>
    <row r="10" spans="1:22" x14ac:dyDescent="0.35">
      <c r="A10" t="s">
        <v>6</v>
      </c>
      <c r="B10" s="3">
        <v>500000</v>
      </c>
      <c r="H10" t="s">
        <v>6</v>
      </c>
      <c r="I10" s="3">
        <v>1000000</v>
      </c>
      <c r="N10" t="s">
        <v>6</v>
      </c>
      <c r="O10" s="3">
        <v>500000</v>
      </c>
      <c r="U10" t="s">
        <v>6</v>
      </c>
      <c r="V10" s="3">
        <v>1000000</v>
      </c>
    </row>
    <row r="11" spans="1:22" x14ac:dyDescent="0.35">
      <c r="A11" t="s">
        <v>7</v>
      </c>
      <c r="B11" s="3">
        <v>35000</v>
      </c>
      <c r="H11" t="s">
        <v>7</v>
      </c>
      <c r="I11" s="3">
        <v>35000</v>
      </c>
      <c r="N11" t="s">
        <v>7</v>
      </c>
      <c r="O11" s="3">
        <v>35000</v>
      </c>
      <c r="U11" t="s">
        <v>7</v>
      </c>
      <c r="V11" s="3">
        <v>35000</v>
      </c>
    </row>
    <row r="12" spans="1:22" x14ac:dyDescent="0.35">
      <c r="A12" t="s">
        <v>8</v>
      </c>
      <c r="B12" s="4">
        <f>10%*B3</f>
        <v>0.1</v>
      </c>
      <c r="H12" t="s">
        <v>8</v>
      </c>
      <c r="I12" s="4">
        <f>10%*I3</f>
        <v>0.1</v>
      </c>
      <c r="N12" t="s">
        <v>8</v>
      </c>
      <c r="O12" s="4">
        <f>10%*O3</f>
        <v>8.900000000000001E-2</v>
      </c>
      <c r="U12" t="s">
        <v>8</v>
      </c>
      <c r="V12" s="4">
        <f>10%*V3</f>
        <v>0.1</v>
      </c>
    </row>
    <row r="13" spans="1:22" x14ac:dyDescent="0.35">
      <c r="A13" t="s">
        <v>9</v>
      </c>
      <c r="B13" s="3">
        <v>0.02</v>
      </c>
      <c r="H13" t="s">
        <v>9</v>
      </c>
      <c r="I13" s="3">
        <v>0.02</v>
      </c>
      <c r="N13" t="s">
        <v>9</v>
      </c>
      <c r="O13" s="3">
        <v>0.02</v>
      </c>
      <c r="U13" t="s">
        <v>9</v>
      </c>
      <c r="V13" s="3">
        <v>0.02</v>
      </c>
    </row>
    <row r="15" spans="1:22" x14ac:dyDescent="0.35">
      <c r="A15" t="s">
        <v>12</v>
      </c>
      <c r="B15" s="4">
        <f>(B8+B12+B13)*B6</f>
        <v>1008000</v>
      </c>
      <c r="H15" t="s">
        <v>12</v>
      </c>
      <c r="I15" s="4">
        <f>(I8+I12+I13)*I6</f>
        <v>993600</v>
      </c>
      <c r="N15" t="s">
        <v>12</v>
      </c>
      <c r="O15" s="4">
        <f>(O8+O12+O13)*O6</f>
        <v>19.899999999999999</v>
      </c>
      <c r="U15" t="s">
        <v>12</v>
      </c>
      <c r="V15" s="4">
        <f>(V8+V12+V13)*V6</f>
        <v>993600</v>
      </c>
    </row>
    <row r="16" spans="1:22" x14ac:dyDescent="0.35">
      <c r="A16" t="s">
        <v>10</v>
      </c>
      <c r="B16" s="4">
        <f>B9+B10+B11</f>
        <v>1435000</v>
      </c>
      <c r="H16" t="s">
        <v>10</v>
      </c>
      <c r="I16" s="4">
        <f>I9+I10+I11</f>
        <v>1935000</v>
      </c>
      <c r="N16" t="s">
        <v>10</v>
      </c>
      <c r="O16" s="4">
        <f>O9+O10+O11</f>
        <v>1435000</v>
      </c>
      <c r="U16" t="s">
        <v>10</v>
      </c>
      <c r="V16" s="4">
        <f>V9+V10+V11</f>
        <v>1935000</v>
      </c>
    </row>
    <row r="17" spans="1:22" x14ac:dyDescent="0.35">
      <c r="A17" t="s">
        <v>11</v>
      </c>
      <c r="B17" s="4">
        <f>B3*B6</f>
        <v>4800000</v>
      </c>
      <c r="H17" t="s">
        <v>11</v>
      </c>
      <c r="I17" s="4">
        <f>I3*I6</f>
        <v>5520000</v>
      </c>
      <c r="N17" t="s">
        <v>11</v>
      </c>
      <c r="O17" s="4">
        <f>O3*O6</f>
        <v>89</v>
      </c>
      <c r="U17" t="s">
        <v>11</v>
      </c>
      <c r="V17" s="4">
        <f>V3*V6</f>
        <v>5520000</v>
      </c>
    </row>
    <row r="19" spans="1:22" x14ac:dyDescent="0.35">
      <c r="A19" s="5" t="s">
        <v>13</v>
      </c>
      <c r="B19" s="4">
        <f>B17-B16-B15</f>
        <v>2357000</v>
      </c>
      <c r="C19" s="7" t="s">
        <v>30</v>
      </c>
      <c r="H19" s="8" t="s">
        <v>13</v>
      </c>
      <c r="I19" s="4">
        <f>I17-I16-I15</f>
        <v>2591400</v>
      </c>
      <c r="N19" s="5" t="s">
        <v>13</v>
      </c>
      <c r="O19" s="4">
        <f>O17-O16-O15</f>
        <v>-1434930.9</v>
      </c>
      <c r="P19" s="7" t="s">
        <v>30</v>
      </c>
      <c r="U19" s="8" t="s">
        <v>13</v>
      </c>
      <c r="V19" s="4">
        <f>V17-V16-V15</f>
        <v>2591400</v>
      </c>
    </row>
    <row r="20" spans="1:22" x14ac:dyDescent="0.35">
      <c r="C20" s="7"/>
      <c r="H20" s="8"/>
      <c r="P20" s="7"/>
      <c r="U20" s="8"/>
    </row>
    <row r="21" spans="1:22" x14ac:dyDescent="0.35">
      <c r="A21" s="5" t="s">
        <v>14</v>
      </c>
      <c r="B21" s="4">
        <f>B3-B8-B12-B13</f>
        <v>0.79</v>
      </c>
      <c r="C21" s="7" t="s">
        <v>27</v>
      </c>
      <c r="H21" s="8" t="s">
        <v>14</v>
      </c>
      <c r="I21" s="4">
        <f>I3-I8-I12-I13</f>
        <v>0.82</v>
      </c>
      <c r="N21" s="5" t="s">
        <v>14</v>
      </c>
      <c r="O21" s="4">
        <f>O3-O8-O12-O13</f>
        <v>0.69100000000000006</v>
      </c>
      <c r="P21" s="7" t="s">
        <v>27</v>
      </c>
      <c r="U21" s="8" t="s">
        <v>14</v>
      </c>
      <c r="V21" s="4">
        <f>V3-V8-V12-V13</f>
        <v>0.82</v>
      </c>
    </row>
    <row r="22" spans="1:22" x14ac:dyDescent="0.35">
      <c r="C22" s="7"/>
      <c r="P22" s="7"/>
    </row>
    <row r="23" spans="1:22" x14ac:dyDescent="0.35">
      <c r="A23" s="5" t="s">
        <v>21</v>
      </c>
      <c r="B23">
        <f>B16/B21</f>
        <v>1816455.6962025315</v>
      </c>
      <c r="C23" s="7" t="s">
        <v>28</v>
      </c>
      <c r="H23" s="5" t="s">
        <v>21</v>
      </c>
      <c r="I23">
        <f>I16/I21</f>
        <v>2359756.0975609757</v>
      </c>
      <c r="J23" s="7" t="s">
        <v>22</v>
      </c>
      <c r="N23" s="5" t="s">
        <v>21</v>
      </c>
      <c r="O23">
        <f>O16/O21</f>
        <v>2076700.4341534006</v>
      </c>
      <c r="P23" s="7" t="s">
        <v>28</v>
      </c>
      <c r="U23" s="5" t="s">
        <v>21</v>
      </c>
      <c r="V23">
        <f>V16/V21</f>
        <v>2359756.0975609757</v>
      </c>
    </row>
    <row r="24" spans="1:22" x14ac:dyDescent="0.35">
      <c r="A24" s="5" t="s">
        <v>16</v>
      </c>
      <c r="B24" s="10">
        <f>(B23/B4)</f>
        <v>9.0822784810126567E-2</v>
      </c>
      <c r="C24" s="7" t="s">
        <v>29</v>
      </c>
      <c r="H24" s="5" t="s">
        <v>23</v>
      </c>
      <c r="I24" s="9">
        <f>(B19+I16)/I21</f>
        <v>5234146.341463415</v>
      </c>
      <c r="J24" s="7" t="s">
        <v>25</v>
      </c>
      <c r="N24" s="5" t="s">
        <v>16</v>
      </c>
      <c r="O24" s="10">
        <f>(O23/O4)</f>
        <v>20767.004341534004</v>
      </c>
      <c r="P24" s="7" t="s">
        <v>29</v>
      </c>
      <c r="U24" s="5" t="s">
        <v>23</v>
      </c>
      <c r="V24" s="9">
        <f>(O19+V16)/V21</f>
        <v>609840.36585365864</v>
      </c>
    </row>
    <row r="25" spans="1:22" x14ac:dyDescent="0.35">
      <c r="H25" s="5" t="s">
        <v>24</v>
      </c>
      <c r="I25" s="10">
        <f>I24/I4</f>
        <v>0.22757158006362674</v>
      </c>
      <c r="J25" s="7" t="s">
        <v>26</v>
      </c>
      <c r="U25" s="5" t="s">
        <v>24</v>
      </c>
      <c r="V25" s="10">
        <f>V24/V4</f>
        <v>2.6514798515376463E-2</v>
      </c>
    </row>
    <row r="26" spans="1:22" x14ac:dyDescent="0.35">
      <c r="A26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4982-596D-463F-B133-323F04A14EC9}">
  <dimension ref="B2:E55"/>
  <sheetViews>
    <sheetView topLeftCell="A42" workbookViewId="0">
      <selection activeCell="C45" sqref="C45"/>
    </sheetView>
  </sheetViews>
  <sheetFormatPr defaultRowHeight="14.5" x14ac:dyDescent="0.35"/>
  <cols>
    <col min="2" max="2" width="39.7265625" customWidth="1"/>
    <col min="3" max="3" width="13.26953125" customWidth="1"/>
    <col min="5" max="5" width="33.81640625" customWidth="1"/>
  </cols>
  <sheetData>
    <row r="2" spans="2:5" x14ac:dyDescent="0.35">
      <c r="B2" s="6" t="s">
        <v>31</v>
      </c>
    </row>
    <row r="3" spans="2:5" ht="15.5" x14ac:dyDescent="0.35">
      <c r="B3" t="s">
        <v>32</v>
      </c>
      <c r="C3" s="3">
        <v>500</v>
      </c>
      <c r="E3" s="11" t="s">
        <v>38</v>
      </c>
    </row>
    <row r="4" spans="2:5" x14ac:dyDescent="0.35">
      <c r="B4" t="s">
        <v>33</v>
      </c>
      <c r="C4" s="3">
        <v>5</v>
      </c>
    </row>
    <row r="5" spans="2:5" x14ac:dyDescent="0.35">
      <c r="B5" t="s">
        <v>34</v>
      </c>
      <c r="C5">
        <v>10</v>
      </c>
    </row>
    <row r="6" spans="2:5" x14ac:dyDescent="0.35">
      <c r="B6" t="s">
        <v>35</v>
      </c>
      <c r="C6">
        <f>4*C7</f>
        <v>20</v>
      </c>
    </row>
    <row r="7" spans="2:5" x14ac:dyDescent="0.35">
      <c r="B7" t="s">
        <v>55</v>
      </c>
      <c r="C7" s="14">
        <v>5</v>
      </c>
    </row>
    <row r="8" spans="2:5" x14ac:dyDescent="0.35">
      <c r="B8" t="s">
        <v>36</v>
      </c>
      <c r="C8" s="3">
        <f>C5*C6*C4 + C3</f>
        <v>1500</v>
      </c>
    </row>
    <row r="9" spans="2:5" x14ac:dyDescent="0.35">
      <c r="B9" t="s">
        <v>56</v>
      </c>
      <c r="C9" s="4">
        <f>C8*(1+0.2)</f>
        <v>1800</v>
      </c>
    </row>
    <row r="10" spans="2:5" x14ac:dyDescent="0.35">
      <c r="C10" s="3"/>
    </row>
    <row r="11" spans="2:5" x14ac:dyDescent="0.35">
      <c r="B11" s="12" t="s">
        <v>37</v>
      </c>
      <c r="C11" s="13">
        <f>C9/(C5*C6)</f>
        <v>9</v>
      </c>
    </row>
    <row r="13" spans="2:5" x14ac:dyDescent="0.35">
      <c r="B13" s="6" t="s">
        <v>39</v>
      </c>
    </row>
    <row r="14" spans="2:5" x14ac:dyDescent="0.35">
      <c r="B14" t="s">
        <v>32</v>
      </c>
      <c r="C14" s="3">
        <v>500</v>
      </c>
    </row>
    <row r="15" spans="2:5" x14ac:dyDescent="0.35">
      <c r="B15" t="s">
        <v>33</v>
      </c>
      <c r="C15" s="3">
        <v>5</v>
      </c>
    </row>
    <row r="16" spans="2:5" x14ac:dyDescent="0.35">
      <c r="B16" t="s">
        <v>34</v>
      </c>
      <c r="C16">
        <v>10</v>
      </c>
    </row>
    <row r="17" spans="2:3" x14ac:dyDescent="0.35">
      <c r="B17" t="s">
        <v>35</v>
      </c>
      <c r="C17">
        <f>2*C18</f>
        <v>10</v>
      </c>
    </row>
    <row r="18" spans="2:3" x14ac:dyDescent="0.35">
      <c r="B18" t="s">
        <v>55</v>
      </c>
      <c r="C18" s="14">
        <v>5</v>
      </c>
    </row>
    <row r="19" spans="2:3" x14ac:dyDescent="0.35">
      <c r="B19" t="s">
        <v>36</v>
      </c>
      <c r="C19" s="3">
        <f>C16*C17*C15 + C14</f>
        <v>1000</v>
      </c>
    </row>
    <row r="20" spans="2:3" x14ac:dyDescent="0.35">
      <c r="B20" t="s">
        <v>56</v>
      </c>
      <c r="C20" s="4">
        <f>C19*(1+0.2)</f>
        <v>1200</v>
      </c>
    </row>
    <row r="21" spans="2:3" x14ac:dyDescent="0.35">
      <c r="C21" s="3"/>
    </row>
    <row r="22" spans="2:3" x14ac:dyDescent="0.35">
      <c r="B22" s="12" t="s">
        <v>37</v>
      </c>
      <c r="C22" s="13">
        <f>C20/(C16*C17)</f>
        <v>12</v>
      </c>
    </row>
    <row r="24" spans="2:3" x14ac:dyDescent="0.35">
      <c r="B24" s="6" t="s">
        <v>40</v>
      </c>
    </row>
    <row r="25" spans="2:3" x14ac:dyDescent="0.35">
      <c r="B25" t="s">
        <v>32</v>
      </c>
      <c r="C25" s="3">
        <v>500</v>
      </c>
    </row>
    <row r="26" spans="2:3" x14ac:dyDescent="0.35">
      <c r="B26" t="s">
        <v>33</v>
      </c>
      <c r="C26" s="3">
        <v>5</v>
      </c>
    </row>
    <row r="27" spans="2:3" x14ac:dyDescent="0.35">
      <c r="B27" t="s">
        <v>108</v>
      </c>
      <c r="C27">
        <v>5</v>
      </c>
    </row>
    <row r="28" spans="2:3" x14ac:dyDescent="0.35">
      <c r="B28" t="s">
        <v>35</v>
      </c>
      <c r="C28">
        <f>2*C29</f>
        <v>10</v>
      </c>
    </row>
    <row r="29" spans="2:3" x14ac:dyDescent="0.35">
      <c r="B29" t="s">
        <v>55</v>
      </c>
      <c r="C29" s="14">
        <v>5</v>
      </c>
    </row>
    <row r="30" spans="2:3" x14ac:dyDescent="0.35">
      <c r="B30" t="s">
        <v>36</v>
      </c>
      <c r="C30" s="3">
        <f>C27*C28*C26 + C25</f>
        <v>750</v>
      </c>
    </row>
    <row r="31" spans="2:3" x14ac:dyDescent="0.35">
      <c r="B31" t="s">
        <v>56</v>
      </c>
      <c r="C31" s="4">
        <f>C30*(1+0.2)</f>
        <v>900</v>
      </c>
    </row>
    <row r="32" spans="2:3" x14ac:dyDescent="0.35">
      <c r="C32" s="3"/>
    </row>
    <row r="33" spans="2:3" x14ac:dyDescent="0.35">
      <c r="B33" s="12" t="s">
        <v>37</v>
      </c>
      <c r="C33" s="13">
        <f>C31/(C27*C28)</f>
        <v>18</v>
      </c>
    </row>
    <row r="35" spans="2:3" x14ac:dyDescent="0.35">
      <c r="B35" s="6" t="s">
        <v>41</v>
      </c>
    </row>
    <row r="36" spans="2:3" x14ac:dyDescent="0.35">
      <c r="B36" t="s">
        <v>32</v>
      </c>
      <c r="C36" s="3">
        <v>500</v>
      </c>
    </row>
    <row r="37" spans="2:3" x14ac:dyDescent="0.35">
      <c r="B37" t="s">
        <v>33</v>
      </c>
      <c r="C37" s="3">
        <v>5</v>
      </c>
    </row>
    <row r="38" spans="2:3" x14ac:dyDescent="0.35">
      <c r="B38" t="s">
        <v>34</v>
      </c>
      <c r="C38">
        <v>10</v>
      </c>
    </row>
    <row r="39" spans="2:3" x14ac:dyDescent="0.35">
      <c r="B39" t="s">
        <v>35</v>
      </c>
      <c r="C39">
        <f>2*4*C40</f>
        <v>40</v>
      </c>
    </row>
    <row r="40" spans="2:3" x14ac:dyDescent="0.35">
      <c r="B40" t="s">
        <v>55</v>
      </c>
      <c r="C40" s="14">
        <v>5</v>
      </c>
    </row>
    <row r="41" spans="2:3" x14ac:dyDescent="0.35">
      <c r="B41" t="s">
        <v>36</v>
      </c>
      <c r="C41" s="3">
        <f>C38*C39*C37 + C36</f>
        <v>2500</v>
      </c>
    </row>
    <row r="42" spans="2:3" x14ac:dyDescent="0.35">
      <c r="B42" t="s">
        <v>56</v>
      </c>
      <c r="C42" s="4">
        <f>C41*(1+0.2)</f>
        <v>3000</v>
      </c>
    </row>
    <row r="43" spans="2:3" x14ac:dyDescent="0.35">
      <c r="C43" s="3"/>
    </row>
    <row r="44" spans="2:3" x14ac:dyDescent="0.35">
      <c r="B44" s="12" t="s">
        <v>37</v>
      </c>
      <c r="C44" s="13">
        <f>C42/(C38*C39)</f>
        <v>7.5</v>
      </c>
    </row>
    <row r="46" spans="2:3" x14ac:dyDescent="0.35">
      <c r="B46" s="6" t="s">
        <v>18</v>
      </c>
    </row>
    <row r="47" spans="2:3" x14ac:dyDescent="0.35">
      <c r="B47" t="s">
        <v>32</v>
      </c>
      <c r="C47" s="3">
        <v>500</v>
      </c>
    </row>
    <row r="48" spans="2:3" x14ac:dyDescent="0.35">
      <c r="B48" t="s">
        <v>33</v>
      </c>
      <c r="C48" s="3">
        <v>5</v>
      </c>
    </row>
    <row r="49" spans="2:3" x14ac:dyDescent="0.35">
      <c r="B49" t="s">
        <v>34</v>
      </c>
      <c r="C49">
        <v>20</v>
      </c>
    </row>
    <row r="50" spans="2:3" x14ac:dyDescent="0.35">
      <c r="B50" t="s">
        <v>35</v>
      </c>
      <c r="C50">
        <f>2*4*C51</f>
        <v>40</v>
      </c>
    </row>
    <row r="51" spans="2:3" x14ac:dyDescent="0.35">
      <c r="B51" t="s">
        <v>55</v>
      </c>
      <c r="C51" s="14">
        <v>5</v>
      </c>
    </row>
    <row r="52" spans="2:3" x14ac:dyDescent="0.35">
      <c r="B52" t="s">
        <v>36</v>
      </c>
      <c r="C52" s="3">
        <f>C49*C50*C48 + C47</f>
        <v>4500</v>
      </c>
    </row>
    <row r="53" spans="2:3" x14ac:dyDescent="0.35">
      <c r="B53" t="s">
        <v>56</v>
      </c>
      <c r="C53" s="4">
        <f>C52*(1+0.2)</f>
        <v>5400</v>
      </c>
    </row>
    <row r="54" spans="2:3" x14ac:dyDescent="0.35">
      <c r="C54" s="3"/>
    </row>
    <row r="55" spans="2:3" x14ac:dyDescent="0.35">
      <c r="B55" s="12" t="s">
        <v>37</v>
      </c>
      <c r="C55" s="13">
        <f>C53/(C49*C50)</f>
        <v>6.75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F43C0-0F1A-4069-A2F7-0E3AD6BD6B23}">
  <dimension ref="B2:L21"/>
  <sheetViews>
    <sheetView topLeftCell="B1" workbookViewId="0">
      <selection activeCell="K21" sqref="K21"/>
    </sheetView>
  </sheetViews>
  <sheetFormatPr defaultRowHeight="14.5" x14ac:dyDescent="0.35"/>
  <cols>
    <col min="2" max="2" width="32.1796875" customWidth="1"/>
    <col min="3" max="3" width="10.7265625" customWidth="1"/>
    <col min="4" max="4" width="11.08984375" customWidth="1"/>
    <col min="5" max="5" width="10.7265625" customWidth="1"/>
    <col min="6" max="6" width="17.26953125" customWidth="1"/>
    <col min="7" max="7" width="10.1796875" customWidth="1"/>
    <col min="8" max="8" width="10.08984375" bestFit="1" customWidth="1"/>
    <col min="11" max="11" width="32.453125" customWidth="1"/>
  </cols>
  <sheetData>
    <row r="2" spans="2:12" x14ac:dyDescent="0.35">
      <c r="C2" s="6" t="s">
        <v>46</v>
      </c>
      <c r="D2" s="6" t="s">
        <v>47</v>
      </c>
      <c r="E2" s="6" t="s">
        <v>48</v>
      </c>
      <c r="F2" s="6" t="s">
        <v>86</v>
      </c>
      <c r="G2" s="6"/>
      <c r="H2" s="6" t="s">
        <v>50</v>
      </c>
    </row>
    <row r="3" spans="2:12" x14ac:dyDescent="0.35">
      <c r="B3" t="s">
        <v>42</v>
      </c>
      <c r="C3" s="3">
        <v>8</v>
      </c>
      <c r="D3" s="3">
        <v>3.3</v>
      </c>
      <c r="E3" s="4">
        <f>C3-D3</f>
        <v>4.7</v>
      </c>
    </row>
    <row r="4" spans="2:12" x14ac:dyDescent="0.35">
      <c r="B4" t="s">
        <v>43</v>
      </c>
      <c r="C4" s="3">
        <v>8</v>
      </c>
      <c r="D4" s="3">
        <v>2.75</v>
      </c>
      <c r="E4" s="4">
        <f t="shared" ref="E4:E6" si="0">C4-D4</f>
        <v>5.25</v>
      </c>
      <c r="F4">
        <v>500</v>
      </c>
      <c r="H4" s="4">
        <f>F4*E4</f>
        <v>2625</v>
      </c>
    </row>
    <row r="5" spans="2:12" x14ac:dyDescent="0.35">
      <c r="B5" t="s">
        <v>44</v>
      </c>
      <c r="C5" s="3">
        <v>8</v>
      </c>
      <c r="D5" s="3">
        <v>4</v>
      </c>
      <c r="E5" s="4">
        <f t="shared" si="0"/>
        <v>4</v>
      </c>
    </row>
    <row r="6" spans="2:12" x14ac:dyDescent="0.35">
      <c r="B6" t="s">
        <v>45</v>
      </c>
      <c r="C6" s="3">
        <v>8</v>
      </c>
      <c r="D6" s="3">
        <v>6.5</v>
      </c>
      <c r="E6" s="4">
        <f t="shared" si="0"/>
        <v>1.5</v>
      </c>
      <c r="K6" t="s">
        <v>52</v>
      </c>
      <c r="L6" s="4">
        <f>H4-H15</f>
        <v>87.5</v>
      </c>
    </row>
    <row r="7" spans="2:12" x14ac:dyDescent="0.35">
      <c r="K7" t="s">
        <v>51</v>
      </c>
      <c r="L7">
        <f>L6/E12</f>
        <v>14</v>
      </c>
    </row>
    <row r="8" spans="2:12" x14ac:dyDescent="0.35">
      <c r="K8" s="12" t="s">
        <v>53</v>
      </c>
      <c r="L8">
        <f>L7+F12</f>
        <v>364</v>
      </c>
    </row>
    <row r="10" spans="2:12" x14ac:dyDescent="0.35">
      <c r="C10" s="6" t="s">
        <v>46</v>
      </c>
      <c r="D10" s="6" t="s">
        <v>47</v>
      </c>
      <c r="E10" s="6" t="s">
        <v>48</v>
      </c>
      <c r="F10" s="6" t="s">
        <v>49</v>
      </c>
      <c r="G10" s="6"/>
    </row>
    <row r="11" spans="2:12" x14ac:dyDescent="0.35">
      <c r="B11" t="s">
        <v>42</v>
      </c>
      <c r="C11" s="3">
        <v>8</v>
      </c>
      <c r="D11" s="3">
        <v>3.3</v>
      </c>
      <c r="E11" s="4">
        <f>C11-D11</f>
        <v>4.7</v>
      </c>
    </row>
    <row r="12" spans="2:12" x14ac:dyDescent="0.35">
      <c r="B12" t="s">
        <v>43</v>
      </c>
      <c r="C12" s="3">
        <v>9</v>
      </c>
      <c r="D12" s="3">
        <v>2.75</v>
      </c>
      <c r="E12" s="4">
        <f t="shared" ref="E12:E14" si="1">C12-D12</f>
        <v>6.25</v>
      </c>
      <c r="F12">
        <f>F4*0.7</f>
        <v>350</v>
      </c>
      <c r="H12" s="4">
        <f>F12*E12</f>
        <v>2187.5</v>
      </c>
    </row>
    <row r="13" spans="2:12" x14ac:dyDescent="0.35">
      <c r="B13" t="s">
        <v>44</v>
      </c>
      <c r="C13" s="3">
        <v>8</v>
      </c>
      <c r="D13" s="3">
        <v>4</v>
      </c>
      <c r="E13" s="4">
        <f t="shared" si="1"/>
        <v>4</v>
      </c>
      <c r="F13">
        <v>50</v>
      </c>
      <c r="H13" s="4">
        <f t="shared" ref="H13:H14" si="2">F13*E13</f>
        <v>200</v>
      </c>
    </row>
    <row r="14" spans="2:12" x14ac:dyDescent="0.35">
      <c r="B14" t="s">
        <v>45</v>
      </c>
      <c r="C14" s="3">
        <v>8</v>
      </c>
      <c r="D14" s="3">
        <v>6.5</v>
      </c>
      <c r="E14" s="4">
        <f t="shared" si="1"/>
        <v>1.5</v>
      </c>
      <c r="F14">
        <v>100</v>
      </c>
      <c r="H14" s="4">
        <f t="shared" si="2"/>
        <v>150</v>
      </c>
    </row>
    <row r="15" spans="2:12" x14ac:dyDescent="0.35">
      <c r="G15" t="s">
        <v>54</v>
      </c>
      <c r="H15" s="4">
        <f>SUM(H12:H14)</f>
        <v>2537.5</v>
      </c>
    </row>
    <row r="18" spans="4:8" x14ac:dyDescent="0.35">
      <c r="F18" t="s">
        <v>109</v>
      </c>
    </row>
    <row r="20" spans="4:8" x14ac:dyDescent="0.35">
      <c r="D20" t="s">
        <v>110</v>
      </c>
      <c r="H20" s="4">
        <f>H4-H13-H14</f>
        <v>2275</v>
      </c>
    </row>
    <row r="21" spans="4:8" x14ac:dyDescent="0.35">
      <c r="D21" s="28" t="s">
        <v>53</v>
      </c>
      <c r="E21" s="28"/>
      <c r="F21" s="28"/>
      <c r="G21" s="28"/>
      <c r="H21">
        <f>H20/E12</f>
        <v>364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10D85-EAF9-4B17-A1A3-38DDB482FF9C}">
  <dimension ref="B3:D17"/>
  <sheetViews>
    <sheetView workbookViewId="0">
      <selection activeCell="C15" sqref="C15"/>
    </sheetView>
  </sheetViews>
  <sheetFormatPr defaultRowHeight="14.5" x14ac:dyDescent="0.35"/>
  <cols>
    <col min="2" max="2" width="37.7265625" customWidth="1"/>
  </cols>
  <sheetData>
    <row r="3" spans="2:4" x14ac:dyDescent="0.35">
      <c r="B3" s="15" t="s">
        <v>57</v>
      </c>
      <c r="C3" s="16">
        <v>6.5</v>
      </c>
      <c r="D3" t="s">
        <v>68</v>
      </c>
    </row>
    <row r="4" spans="2:4" x14ac:dyDescent="0.35">
      <c r="B4" s="15" t="s">
        <v>58</v>
      </c>
      <c r="C4" s="16">
        <v>40</v>
      </c>
    </row>
    <row r="5" spans="2:4" x14ac:dyDescent="0.35">
      <c r="B5" s="15" t="s">
        <v>59</v>
      </c>
      <c r="C5" s="16">
        <v>0</v>
      </c>
    </row>
    <row r="6" spans="2:4" x14ac:dyDescent="0.35">
      <c r="B6" s="15" t="s">
        <v>60</v>
      </c>
      <c r="C6" s="16">
        <v>60</v>
      </c>
    </row>
    <row r="7" spans="2:4" x14ac:dyDescent="0.35">
      <c r="B7" s="15" t="s">
        <v>61</v>
      </c>
      <c r="C7" s="20">
        <v>0.08</v>
      </c>
    </row>
    <row r="8" spans="2:4" x14ac:dyDescent="0.35">
      <c r="B8" s="15" t="s">
        <v>62</v>
      </c>
      <c r="C8" s="20">
        <v>0.02</v>
      </c>
    </row>
    <row r="9" spans="2:4" x14ac:dyDescent="0.35">
      <c r="C9" s="17"/>
    </row>
    <row r="10" spans="2:4" x14ac:dyDescent="0.35">
      <c r="B10" t="s">
        <v>63</v>
      </c>
      <c r="C10" s="9">
        <f>C7-C8</f>
        <v>0.06</v>
      </c>
    </row>
    <row r="11" spans="2:4" ht="15" thickBot="1" x14ac:dyDescent="0.4">
      <c r="B11" s="18" t="s">
        <v>64</v>
      </c>
      <c r="C11" s="19"/>
    </row>
    <row r="12" spans="2:4" ht="15" thickTop="1" x14ac:dyDescent="0.35">
      <c r="B12" t="s">
        <v>65</v>
      </c>
      <c r="C12" s="9">
        <f>SUM(C10:C11)</f>
        <v>0.06</v>
      </c>
    </row>
    <row r="14" spans="2:4" x14ac:dyDescent="0.35">
      <c r="B14" t="s">
        <v>66</v>
      </c>
      <c r="C14" s="4">
        <f>(C12*C4)/4</f>
        <v>0.6</v>
      </c>
    </row>
    <row r="15" spans="2:4" x14ac:dyDescent="0.35">
      <c r="B15" t="s">
        <v>67</v>
      </c>
      <c r="C15" s="4">
        <f>C12*C6</f>
        <v>3.5999999999999996</v>
      </c>
    </row>
    <row r="16" spans="2:4" x14ac:dyDescent="0.35">
      <c r="B16" t="s">
        <v>69</v>
      </c>
      <c r="C16" s="4">
        <f>C15+C14</f>
        <v>4.1999999999999993</v>
      </c>
    </row>
    <row r="17" spans="2:3" x14ac:dyDescent="0.35">
      <c r="B17" t="s">
        <v>111</v>
      </c>
      <c r="C17" s="21">
        <f>C16+C3</f>
        <v>10.7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171E4-6270-4930-B049-5FA9D77E9E85}">
  <dimension ref="B3:H35"/>
  <sheetViews>
    <sheetView topLeftCell="D1" zoomScale="121" workbookViewId="0">
      <selection activeCell="O22" sqref="O22"/>
    </sheetView>
  </sheetViews>
  <sheetFormatPr defaultRowHeight="14.5" x14ac:dyDescent="0.35"/>
  <cols>
    <col min="2" max="2" width="36.36328125" customWidth="1"/>
    <col min="3" max="3" width="15.36328125" customWidth="1"/>
    <col min="7" max="7" width="30.54296875" customWidth="1"/>
    <col min="8" max="8" width="17.26953125" customWidth="1"/>
  </cols>
  <sheetData>
    <row r="3" spans="2:8" x14ac:dyDescent="0.35">
      <c r="B3" t="s">
        <v>70</v>
      </c>
      <c r="C3" s="3">
        <v>10000</v>
      </c>
      <c r="G3" t="s">
        <v>87</v>
      </c>
      <c r="H3" s="3">
        <v>10000</v>
      </c>
    </row>
    <row r="4" spans="2:8" x14ac:dyDescent="0.35">
      <c r="B4" t="s">
        <v>71</v>
      </c>
      <c r="C4" s="2">
        <v>0.9</v>
      </c>
    </row>
    <row r="5" spans="2:8" x14ac:dyDescent="0.35">
      <c r="B5" t="s">
        <v>72</v>
      </c>
      <c r="C5" s="3">
        <v>1000</v>
      </c>
      <c r="G5" s="6" t="s">
        <v>88</v>
      </c>
    </row>
    <row r="6" spans="2:8" x14ac:dyDescent="0.35">
      <c r="G6" t="s">
        <v>89</v>
      </c>
      <c r="H6" s="3">
        <v>9000</v>
      </c>
    </row>
    <row r="7" spans="2:8" x14ac:dyDescent="0.35">
      <c r="G7" t="s">
        <v>90</v>
      </c>
      <c r="H7" s="3">
        <v>6000</v>
      </c>
    </row>
    <row r="8" spans="2:8" x14ac:dyDescent="0.35">
      <c r="B8" t="s">
        <v>73</v>
      </c>
      <c r="C8" s="3">
        <v>9000</v>
      </c>
      <c r="G8" t="s">
        <v>91</v>
      </c>
      <c r="H8" s="3">
        <f>10000*8</f>
        <v>80000</v>
      </c>
    </row>
    <row r="9" spans="2:8" x14ac:dyDescent="0.35">
      <c r="B9" t="s">
        <v>74</v>
      </c>
      <c r="C9" s="3">
        <v>6000</v>
      </c>
      <c r="G9" t="s">
        <v>92</v>
      </c>
      <c r="H9" s="4">
        <f>H6+H7+H8</f>
        <v>95000</v>
      </c>
    </row>
    <row r="10" spans="2:8" x14ac:dyDescent="0.35">
      <c r="B10" t="s">
        <v>75</v>
      </c>
      <c r="C10" s="3">
        <f>10000*8</f>
        <v>80000</v>
      </c>
      <c r="G10" t="s">
        <v>93</v>
      </c>
      <c r="H10">
        <v>0.4</v>
      </c>
    </row>
    <row r="11" spans="2:8" x14ac:dyDescent="0.35">
      <c r="B11" t="s">
        <v>76</v>
      </c>
      <c r="C11">
        <v>0.4</v>
      </c>
      <c r="G11" t="s">
        <v>94</v>
      </c>
      <c r="H11" s="4">
        <f>H9*H10</f>
        <v>38000</v>
      </c>
    </row>
    <row r="12" spans="2:8" x14ac:dyDescent="0.35">
      <c r="C12" s="3"/>
    </row>
    <row r="13" spans="2:8" x14ac:dyDescent="0.35">
      <c r="B13" t="s">
        <v>77</v>
      </c>
      <c r="C13" s="3">
        <v>24000</v>
      </c>
      <c r="G13" s="6" t="s">
        <v>95</v>
      </c>
    </row>
    <row r="14" spans="2:8" x14ac:dyDescent="0.35">
      <c r="B14" t="s">
        <v>78</v>
      </c>
      <c r="C14" s="3">
        <v>11000</v>
      </c>
      <c r="G14" t="s">
        <v>89</v>
      </c>
      <c r="H14" s="3">
        <v>24000</v>
      </c>
    </row>
    <row r="15" spans="2:8" x14ac:dyDescent="0.35">
      <c r="B15" t="s">
        <v>79</v>
      </c>
      <c r="C15" s="3">
        <v>180000</v>
      </c>
      <c r="G15" t="s">
        <v>90</v>
      </c>
      <c r="H15" s="3">
        <v>11000</v>
      </c>
    </row>
    <row r="16" spans="2:8" x14ac:dyDescent="0.35">
      <c r="B16" t="s">
        <v>80</v>
      </c>
      <c r="C16" s="3">
        <f>10000*24</f>
        <v>240000</v>
      </c>
      <c r="G16" t="s">
        <v>96</v>
      </c>
      <c r="H16" s="3">
        <v>180000</v>
      </c>
    </row>
    <row r="17" spans="2:8" x14ac:dyDescent="0.35">
      <c r="B17" t="s">
        <v>81</v>
      </c>
      <c r="C17">
        <v>4.0000000000000001E-3</v>
      </c>
      <c r="G17" t="s">
        <v>101</v>
      </c>
      <c r="H17" s="4">
        <f>H3*24</f>
        <v>240000</v>
      </c>
    </row>
    <row r="18" spans="2:8" x14ac:dyDescent="0.35">
      <c r="G18" t="s">
        <v>92</v>
      </c>
      <c r="H18" s="4">
        <f>H14+H15+H16+H17</f>
        <v>455000</v>
      </c>
    </row>
    <row r="19" spans="2:8" x14ac:dyDescent="0.35">
      <c r="B19" t="s">
        <v>82</v>
      </c>
      <c r="C19" s="4">
        <f>C4*((C11*SUM(C8:C10)+(C17*SUM(C13:C16))))</f>
        <v>35838</v>
      </c>
      <c r="G19" t="s">
        <v>93</v>
      </c>
      <c r="H19">
        <v>4.0000000000000001E-3</v>
      </c>
    </row>
    <row r="20" spans="2:8" x14ac:dyDescent="0.35">
      <c r="G20" t="s">
        <v>94</v>
      </c>
      <c r="H20" s="4">
        <f>H18*H19</f>
        <v>1820</v>
      </c>
    </row>
    <row r="22" spans="2:8" x14ac:dyDescent="0.35">
      <c r="G22" s="6" t="s">
        <v>97</v>
      </c>
      <c r="H22" s="4">
        <f>H11+H20</f>
        <v>39820</v>
      </c>
    </row>
    <row r="24" spans="2:8" x14ac:dyDescent="0.35">
      <c r="B24" t="s">
        <v>83</v>
      </c>
      <c r="C24" s="4">
        <f>C3</f>
        <v>10000</v>
      </c>
      <c r="G24" t="s">
        <v>98</v>
      </c>
      <c r="H24" s="2">
        <v>0.5</v>
      </c>
    </row>
    <row r="25" spans="2:8" ht="15" thickBot="1" x14ac:dyDescent="0.4">
      <c r="B25" s="18" t="s">
        <v>84</v>
      </c>
      <c r="C25" s="22">
        <f>C19</f>
        <v>35838</v>
      </c>
      <c r="G25" t="s">
        <v>99</v>
      </c>
      <c r="H25" s="4">
        <f>H22*H24</f>
        <v>19910</v>
      </c>
    </row>
    <row r="26" spans="2:8" ht="16" thickTop="1" x14ac:dyDescent="0.35">
      <c r="B26" s="23" t="s">
        <v>85</v>
      </c>
      <c r="C26" s="24">
        <f>SUM(C24:C25)</f>
        <v>45838</v>
      </c>
      <c r="G26" t="s">
        <v>100</v>
      </c>
      <c r="H26" s="2">
        <v>0.95</v>
      </c>
    </row>
    <row r="27" spans="2:8" x14ac:dyDescent="0.35">
      <c r="G27" s="6" t="s">
        <v>65</v>
      </c>
      <c r="H27" s="4">
        <f>(0.95-0.5)*H22</f>
        <v>17919</v>
      </c>
    </row>
    <row r="29" spans="2:8" x14ac:dyDescent="0.35">
      <c r="G29" t="s">
        <v>103</v>
      </c>
      <c r="H29" s="25">
        <v>4</v>
      </c>
    </row>
    <row r="30" spans="2:8" x14ac:dyDescent="0.35">
      <c r="G30" t="s">
        <v>104</v>
      </c>
      <c r="H30" s="2">
        <v>0.1</v>
      </c>
    </row>
    <row r="31" spans="2:8" x14ac:dyDescent="0.35">
      <c r="G31" t="s">
        <v>105</v>
      </c>
      <c r="H31">
        <v>0</v>
      </c>
    </row>
    <row r="32" spans="2:8" x14ac:dyDescent="0.35">
      <c r="G32" t="s">
        <v>106</v>
      </c>
      <c r="H32" s="4">
        <f>-H27</f>
        <v>-17919</v>
      </c>
    </row>
    <row r="33" spans="7:8" x14ac:dyDescent="0.35">
      <c r="G33" s="6" t="s">
        <v>107</v>
      </c>
      <c r="H33" s="26">
        <f>PV(H30,H29,H32,H31,0)</f>
        <v>56800.818933133014</v>
      </c>
    </row>
    <row r="35" spans="7:8" x14ac:dyDescent="0.35">
      <c r="G35" s="6" t="s">
        <v>102</v>
      </c>
      <c r="H35" s="27">
        <f>H33+H3</f>
        <v>66800.818933133007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A</vt:lpstr>
      <vt:lpstr>Part B</vt:lpstr>
      <vt:lpstr>Part C</vt:lpstr>
      <vt:lpstr>Part D</vt:lpstr>
      <vt:lpstr>Part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Nihit Parikh</dc:creator>
  <cp:lastModifiedBy>Nihit Parikh</cp:lastModifiedBy>
  <dcterms:created xsi:type="dcterms:W3CDTF">2015-06-05T18:17:20Z</dcterms:created>
  <dcterms:modified xsi:type="dcterms:W3CDTF">2021-12-01T23:32:39Z</dcterms:modified>
</cp:coreProperties>
</file>