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096" tabRatio="892" activeTab="4"/>
  </bookViews>
  <sheets>
    <sheet name="dwh_eqaime" sheetId="4" r:id="rId1"/>
    <sheet name="dwh_bank" sheetId="11" r:id="rId2"/>
    <sheet name="dwh_deposit" sheetId="14" r:id="rId3"/>
    <sheet name="map" sheetId="15" r:id="rId4"/>
    <sheet name="Report_SalesAndReceivables" sheetId="13" r:id="rId5"/>
  </sheets>
  <definedNames>
    <definedName name="_xlnm._FilterDatabase" localSheetId="1" hidden="1">dwh_bank!$B$2:$N$6</definedName>
    <definedName name="_xlnm._FilterDatabase" localSheetId="2" hidden="1">dwh_deposit!$B$2:$G$9</definedName>
    <definedName name="_xlnm._FilterDatabase" localSheetId="0" hidden="1">dwh_eqaime!$B$2:$U$11</definedName>
    <definedName name="_xlnm._FilterDatabase" localSheetId="3" hidden="1">map!$A$1:$E$1</definedName>
    <definedName name="_xlnm._FilterDatabase" localSheetId="4" hidden="1">Report_SalesAndReceivables!$B$11:$Q$14</definedName>
    <definedName name="fx_Bank_Compare">dwh_bank!$M:$M</definedName>
    <definedName name="fx_Bank_Date">dwh_bank!$L:$L</definedName>
    <definedName name="fx_Bank_Esas">dwh_bank!$E:$E</definedName>
    <definedName name="fx_Bank_IsNew">dwh_bank!$K:$K</definedName>
    <definedName name="fx_Bank_Voen">dwh_bank!$N:$N</definedName>
    <definedName name="fx_Choosen_DateEnd">Report_SalesAndReceivables!$N$8</definedName>
    <definedName name="fx_Choosen_DateStart">Report_SalesAndReceivables!$F$8</definedName>
    <definedName name="fx_Choosen_Month">Report_SalesAndReceivables!$C$1</definedName>
    <definedName name="fx_Date_CurrEOMonth">#REF!</definedName>
    <definedName name="fx_Edv_Compare">dwh_deposit!$K:$K</definedName>
    <definedName name="fx_Edv_Date">dwh_deposit!$J:$J</definedName>
    <definedName name="fx_Edv_Edv">dwh_deposit!$E:$E</definedName>
    <definedName name="fx_Edv_IsNew">dwh_deposit!$H:$H</definedName>
    <definedName name="fx_Edv_VOEN">dwh_deposit!$I:$I</definedName>
    <definedName name="fx_Eqaime_Compare">dwh_eqaime!$S:$S</definedName>
    <definedName name="fx_Eqaime_Date">dwh_eqaime!$R:$R</definedName>
    <definedName name="fx_Eqaime_Edv">dwh_eqaime!$U:$U</definedName>
    <definedName name="fx_Eqaime_Esas">dwh_eqaime!$T:$T</definedName>
    <definedName name="fx_Eqaime_IsNew">dwh_eqaime!$Q:$Q</definedName>
    <definedName name="fx_Eqaime_VOEN">dwh_eqaime!$V:$V</definedName>
    <definedName name="fx_Rep_VOEN">Report_SalesAndReceivables!$A:$A</definedName>
    <definedName name="fx_VOENList">tab_VOEN[VOEN_edited]</definedName>
  </definedNames>
  <calcPr calcId="152511"/>
</workbook>
</file>

<file path=xl/calcChain.xml><?xml version="1.0" encoding="utf-8"?>
<calcChain xmlns="http://schemas.openxmlformats.org/spreadsheetml/2006/main">
  <c r="A11" i="15" l="1"/>
  <c r="I7" i="14" l="1"/>
  <c r="I8" i="14"/>
  <c r="I9" i="14"/>
  <c r="J7" i="14"/>
  <c r="J8" i="14"/>
  <c r="J9" i="14"/>
  <c r="R7" i="4"/>
  <c r="R8" i="4"/>
  <c r="R9" i="4"/>
  <c r="R10" i="4"/>
  <c r="R11" i="4"/>
  <c r="T7" i="4"/>
  <c r="T8" i="4"/>
  <c r="T9" i="4"/>
  <c r="T10" i="4"/>
  <c r="T11" i="4"/>
  <c r="U7" i="4"/>
  <c r="U8" i="4"/>
  <c r="U9" i="4"/>
  <c r="U10" i="4"/>
  <c r="U11" i="4"/>
  <c r="V7" i="4"/>
  <c r="V8" i="4"/>
  <c r="V9" i="4"/>
  <c r="V10" i="4"/>
  <c r="V11" i="4"/>
  <c r="W7" i="4"/>
  <c r="W8" i="4"/>
  <c r="W9" i="4"/>
  <c r="W10" i="4"/>
  <c r="W11" i="4"/>
  <c r="A10" i="15" l="1"/>
  <c r="C24" i="13"/>
  <c r="A24" i="13"/>
  <c r="C23" i="13"/>
  <c r="A23" i="13"/>
  <c r="E23" i="13" s="1"/>
  <c r="R3" i="4"/>
  <c r="R4" i="4"/>
  <c r="R5" i="4"/>
  <c r="R6" i="4"/>
  <c r="L4" i="11" l="1"/>
  <c r="L5" i="11"/>
  <c r="L6" i="11"/>
  <c r="L3" i="11"/>
  <c r="A9" i="15"/>
  <c r="A8" i="15"/>
  <c r="A3" i="15"/>
  <c r="A4" i="15"/>
  <c r="A5" i="15"/>
  <c r="A6" i="15"/>
  <c r="A7" i="15"/>
  <c r="A2" i="15"/>
  <c r="E24" i="13" s="1"/>
  <c r="T4" i="4"/>
  <c r="B12" i="13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C20" i="13"/>
  <c r="A13" i="13"/>
  <c r="A14" i="13"/>
  <c r="A15" i="13"/>
  <c r="A16" i="13"/>
  <c r="A17" i="13"/>
  <c r="A18" i="13"/>
  <c r="A19" i="13"/>
  <c r="A20" i="13"/>
  <c r="A21" i="13"/>
  <c r="A22" i="13"/>
  <c r="A12" i="13"/>
  <c r="H3" i="15"/>
  <c r="H4" i="15"/>
  <c r="H5" i="15"/>
  <c r="H6" i="15"/>
  <c r="H7" i="15"/>
  <c r="H8" i="15"/>
  <c r="H9" i="15"/>
  <c r="H10" i="15"/>
  <c r="H11" i="15"/>
  <c r="H12" i="15"/>
  <c r="H13" i="15"/>
  <c r="H2" i="15"/>
  <c r="H7" i="14" l="1"/>
  <c r="Q10" i="4"/>
  <c r="H9" i="14"/>
  <c r="Q11" i="4"/>
  <c r="Q8" i="4"/>
  <c r="Q9" i="4"/>
  <c r="Q7" i="4"/>
  <c r="H8" i="14"/>
  <c r="E19" i="13"/>
  <c r="E22" i="13"/>
  <c r="E18" i="13"/>
  <c r="E16" i="13"/>
  <c r="E21" i="13"/>
  <c r="E17" i="13"/>
  <c r="E13" i="13"/>
  <c r="E12" i="13"/>
  <c r="E15" i="13"/>
  <c r="E20" i="13"/>
  <c r="E14" i="13"/>
  <c r="I3" i="14"/>
  <c r="H3" i="14" s="1"/>
  <c r="I4" i="14"/>
  <c r="H4" i="14" s="1"/>
  <c r="I5" i="14"/>
  <c r="H5" i="14" s="1"/>
  <c r="I6" i="14"/>
  <c r="H6" i="14" s="1"/>
  <c r="J3" i="14"/>
  <c r="J4" i="14"/>
  <c r="J5" i="14"/>
  <c r="J6" i="14"/>
  <c r="C1" i="13"/>
  <c r="T3" i="4"/>
  <c r="N6" i="11"/>
  <c r="O6" i="11" s="1"/>
  <c r="N5" i="11"/>
  <c r="N4" i="11"/>
  <c r="O4" i="11" s="1"/>
  <c r="N3" i="11"/>
  <c r="O3" i="11" s="1"/>
  <c r="V3" i="4"/>
  <c r="Q3" i="4" s="1"/>
  <c r="V4" i="4"/>
  <c r="V5" i="4"/>
  <c r="V6" i="4"/>
  <c r="N8" i="13" l="1"/>
  <c r="C22" i="13"/>
  <c r="C4" i="13"/>
  <c r="C17" i="13"/>
  <c r="C18" i="13"/>
  <c r="C19" i="13"/>
  <c r="C21" i="13"/>
  <c r="C16" i="13"/>
  <c r="C13" i="13"/>
  <c r="C14" i="13"/>
  <c r="C15" i="13"/>
  <c r="C12" i="13"/>
  <c r="F8" i="13"/>
  <c r="Q6" i="4"/>
  <c r="K5" i="11"/>
  <c r="Q5" i="4"/>
  <c r="Q4" i="4"/>
  <c r="O5" i="11"/>
  <c r="U3" i="4"/>
  <c r="U4" i="4"/>
  <c r="U5" i="4"/>
  <c r="U6" i="4"/>
  <c r="S3" i="4" l="1"/>
  <c r="S7" i="4"/>
  <c r="S8" i="4"/>
  <c r="K7" i="14"/>
  <c r="S10" i="4"/>
  <c r="S11" i="4"/>
  <c r="S9" i="4"/>
  <c r="K9" i="14"/>
  <c r="K8" i="14"/>
  <c r="D2" i="13"/>
  <c r="C2" i="13"/>
  <c r="M3" i="11"/>
  <c r="K3" i="14"/>
  <c r="S5" i="4"/>
  <c r="K5" i="14" l="1"/>
  <c r="K6" i="14"/>
  <c r="K4" i="14"/>
  <c r="M6" i="11"/>
  <c r="S6" i="4"/>
  <c r="M4" i="11"/>
  <c r="M5" i="11"/>
  <c r="S4" i="4"/>
  <c r="K14" i="13" s="1"/>
  <c r="G14" i="13" l="1"/>
  <c r="F14" i="13"/>
  <c r="G16" i="13"/>
  <c r="G15" i="13"/>
  <c r="J16" i="13"/>
  <c r="K17" i="13"/>
  <c r="J18" i="13"/>
  <c r="J17" i="13"/>
  <c r="J19" i="13"/>
  <c r="G21" i="13"/>
  <c r="J15" i="13"/>
  <c r="J14" i="13"/>
  <c r="J13" i="13"/>
  <c r="J21" i="13"/>
  <c r="G17" i="13"/>
  <c r="F18" i="13"/>
  <c r="G20" i="13"/>
  <c r="G19" i="13"/>
  <c r="G18" i="13"/>
  <c r="J20" i="13"/>
  <c r="G13" i="13"/>
  <c r="K15" i="13"/>
  <c r="K18" i="13"/>
  <c r="H15" i="13"/>
  <c r="H18" i="13"/>
  <c r="F17" i="13"/>
  <c r="H14" i="13"/>
  <c r="H17" i="13"/>
  <c r="F13" i="13"/>
  <c r="F16" i="13"/>
  <c r="H13" i="13"/>
  <c r="H20" i="13"/>
  <c r="H19" i="13"/>
  <c r="K16" i="13"/>
  <c r="K19" i="13"/>
  <c r="F15" i="13"/>
  <c r="H16" i="13"/>
  <c r="K13" i="13"/>
  <c r="J22" i="13"/>
  <c r="F20" i="13"/>
  <c r="F19" i="13"/>
  <c r="F23" i="13"/>
  <c r="F24" i="13"/>
  <c r="F21" i="13"/>
  <c r="F22" i="13"/>
  <c r="M23" i="13"/>
  <c r="G23" i="13"/>
  <c r="H24" i="13"/>
  <c r="J23" i="13"/>
  <c r="I23" i="13"/>
  <c r="K23" i="13"/>
  <c r="H23" i="13"/>
  <c r="K24" i="13"/>
  <c r="J24" i="13"/>
  <c r="I24" i="13"/>
  <c r="G24" i="13"/>
  <c r="L24" i="13"/>
  <c r="M24" i="13"/>
  <c r="L23" i="13"/>
  <c r="I14" i="13"/>
  <c r="I15" i="13"/>
  <c r="I12" i="13"/>
  <c r="I20" i="13"/>
  <c r="I18" i="13"/>
  <c r="I19" i="13"/>
  <c r="I13" i="13"/>
  <c r="I16" i="13"/>
  <c r="I22" i="13"/>
  <c r="I17" i="13"/>
  <c r="H22" i="13"/>
  <c r="I21" i="13"/>
  <c r="H21" i="13"/>
  <c r="L22" i="13"/>
  <c r="L15" i="13"/>
  <c r="L16" i="13"/>
  <c r="L17" i="13"/>
  <c r="M16" i="13"/>
  <c r="M19" i="13"/>
  <c r="M17" i="13"/>
  <c r="L21" i="13"/>
  <c r="L19" i="13"/>
  <c r="M21" i="13"/>
  <c r="M22" i="13"/>
  <c r="M20" i="13"/>
  <c r="M18" i="13"/>
  <c r="M15" i="13"/>
  <c r="K21" i="13"/>
  <c r="K20" i="13"/>
  <c r="K22" i="13"/>
  <c r="G22" i="13"/>
  <c r="L20" i="13"/>
  <c r="L18" i="13"/>
  <c r="G12" i="13"/>
  <c r="L14" i="13"/>
  <c r="M13" i="13"/>
  <c r="L13" i="13"/>
  <c r="M14" i="13"/>
  <c r="M12" i="13"/>
  <c r="L12" i="13"/>
  <c r="K12" i="13"/>
  <c r="Q13" i="13" l="1"/>
  <c r="G1" i="13"/>
  <c r="Q23" i="13"/>
  <c r="O23" i="13"/>
  <c r="N24" i="13"/>
  <c r="P24" i="13"/>
  <c r="O24" i="13"/>
  <c r="Q24" i="13"/>
  <c r="N23" i="13"/>
  <c r="P23" i="13"/>
  <c r="Q21" i="13"/>
  <c r="P14" i="13"/>
  <c r="P16" i="13"/>
  <c r="P15" i="13"/>
  <c r="Q18" i="13"/>
  <c r="Q22" i="13"/>
  <c r="P21" i="13"/>
  <c r="Q14" i="13"/>
  <c r="P19" i="13"/>
  <c r="Q17" i="13"/>
  <c r="Q15" i="13"/>
  <c r="P22" i="13"/>
  <c r="Q19" i="13"/>
  <c r="P18" i="13"/>
  <c r="Q12" i="13"/>
  <c r="P17" i="13"/>
  <c r="Q20" i="13"/>
  <c r="Q16" i="13"/>
  <c r="L1" i="13"/>
  <c r="P20" i="13"/>
  <c r="M1" i="13"/>
  <c r="K1" i="13"/>
  <c r="O13" i="13"/>
  <c r="N21" i="13"/>
  <c r="O20" i="13"/>
  <c r="O15" i="13"/>
  <c r="N22" i="13"/>
  <c r="O17" i="13"/>
  <c r="O22" i="13"/>
  <c r="N15" i="13"/>
  <c r="N17" i="13"/>
  <c r="N20" i="13"/>
  <c r="O21" i="13"/>
  <c r="O16" i="13"/>
  <c r="N18" i="13"/>
  <c r="O18" i="13"/>
  <c r="N19" i="13"/>
  <c r="O19" i="13"/>
  <c r="N14" i="13"/>
  <c r="O14" i="13"/>
  <c r="O12" i="13"/>
  <c r="W3" i="4" l="1"/>
  <c r="W4" i="4"/>
  <c r="W5" i="4"/>
  <c r="W6" i="4"/>
  <c r="T5" i="4" l="1"/>
  <c r="H12" i="13" s="1"/>
  <c r="T6" i="4"/>
  <c r="P13" i="13" s="1"/>
  <c r="N13" i="13" l="1"/>
  <c r="J12" i="13"/>
  <c r="J1" i="13" s="1"/>
  <c r="F12" i="13"/>
  <c r="F1" i="13" s="1"/>
  <c r="P12" i="13" l="1"/>
  <c r="N12" i="13"/>
  <c r="K4" i="11" l="1"/>
  <c r="K6" i="11"/>
  <c r="K3" i="11"/>
  <c r="D4" i="13" l="1"/>
  <c r="D3" i="13"/>
  <c r="C3" i="13"/>
  <c r="B5" i="13" s="1"/>
</calcChain>
</file>

<file path=xl/sharedStrings.xml><?xml version="1.0" encoding="utf-8"?>
<sst xmlns="http://schemas.openxmlformats.org/spreadsheetml/2006/main" count="191" uniqueCount="139">
  <si>
    <t>Sıra</t>
  </si>
  <si>
    <t>VÖEN</t>
  </si>
  <si>
    <t>Adı</t>
  </si>
  <si>
    <t>Tipi</t>
  </si>
  <si>
    <t>Vəziyyəti</t>
  </si>
  <si>
    <t>Qaimə tarixi</t>
  </si>
  <si>
    <t>Qaimə Seriyası</t>
  </si>
  <si>
    <t>Qaimə nömrəsi</t>
  </si>
  <si>
    <t>Əsas qeyd</t>
  </si>
  <si>
    <t>Əlavə qeyd</t>
  </si>
  <si>
    <t>Malın ƏDV-siz ümumi dəyəri</t>
  </si>
  <si>
    <t>Malın ƏDV məbləği</t>
  </si>
  <si>
    <t>ƏDV-yə cəlb edilən</t>
  </si>
  <si>
    <t>ƏDV-yə cəlb edilməyən</t>
  </si>
  <si>
    <t>ƏDV-yə “0” dərəcə ilə cəlb edilən</t>
  </si>
  <si>
    <t>VOEN_edited</t>
  </si>
  <si>
    <t>Hesablaşma tarixi
Value Date</t>
  </si>
  <si>
    <t>Əməliyyat tarixi
Posting Date</t>
  </si>
  <si>
    <t>Əməliyyatın №-si
Transaction ID</t>
  </si>
  <si>
    <t>Məxaric
Out</t>
  </si>
  <si>
    <t>Balans
Balance</t>
  </si>
  <si>
    <t>Göndərənin/Alanın Adı
Sender / Beneficiary Name</t>
  </si>
  <si>
    <t>Göndərənin/Alanın Hesab nömrəsi
Sender/Beneficiary Account</t>
  </si>
  <si>
    <t>Təyinat
Description</t>
  </si>
  <si>
    <t>0, if YeniKont</t>
  </si>
  <si>
    <t>VOEN</t>
  </si>
  <si>
    <t xml:space="preserve">Ferq: </t>
  </si>
  <si>
    <t>№</t>
  </si>
  <si>
    <t>Tarix</t>
  </si>
  <si>
    <t>Müəssisənin adı</t>
  </si>
  <si>
    <t>Bankdan ödənilən pullar</t>
  </si>
  <si>
    <t>Yanvar</t>
  </si>
  <si>
    <t>DTesas</t>
  </si>
  <si>
    <t>DTedv</t>
  </si>
  <si>
    <t>Name_edited</t>
  </si>
  <si>
    <t>MədaxilIN</t>
  </si>
  <si>
    <t>DT Əsas</t>
  </si>
  <si>
    <t>DT ƏDV</t>
  </si>
  <si>
    <t>KT Əsas</t>
  </si>
  <si>
    <t>KT ƏDV</t>
  </si>
  <si>
    <t>Bank hesabima daxil olub</t>
  </si>
  <si>
    <t>EDV depozit hesabima daxil olub</t>
  </si>
  <si>
    <t>Eqaimedeki Əsas</t>
  </si>
  <si>
    <t>Eqaimedeki ƏDV</t>
  </si>
  <si>
    <t>Əməliyyatın tarixi</t>
  </si>
  <si>
    <t>Vergi ödəyicisinin adı</t>
  </si>
  <si>
    <t>Mədaxil</t>
  </si>
  <si>
    <t>Məxaric</t>
  </si>
  <si>
    <t>Ödənişin təyinatı</t>
  </si>
  <si>
    <t>Name</t>
  </si>
  <si>
    <t>BANK_Name</t>
  </si>
  <si>
    <t>VOEN_ok</t>
  </si>
  <si>
    <t>Satılan mal/
Gedən qaimələr</t>
  </si>
  <si>
    <t>MONTH</t>
  </si>
  <si>
    <t>YANVAR - 2020</t>
  </si>
  <si>
    <t>FEVRAL - 2020</t>
  </si>
  <si>
    <t>MART - 2020</t>
  </si>
  <si>
    <t>APREL - 2020</t>
  </si>
  <si>
    <t>IYUN - 2020</t>
  </si>
  <si>
    <t>IYUL - 2020</t>
  </si>
  <si>
    <t>AVQUST - 2020</t>
  </si>
  <si>
    <t>SENTYABR - 2020</t>
  </si>
  <si>
    <t>OKTYABR - 2020</t>
  </si>
  <si>
    <t>DEKABR - 2020</t>
  </si>
  <si>
    <t>NOYABR - 2020</t>
  </si>
  <si>
    <t>Difference:</t>
  </si>
  <si>
    <t>MAY - 2020</t>
  </si>
  <si>
    <t>AVANS ödənilən pullar</t>
  </si>
  <si>
    <t>Borc qağılı</t>
  </si>
  <si>
    <t>Date_ok</t>
  </si>
  <si>
    <t>Compare</t>
  </si>
  <si>
    <t>if &gt;0;  then Debitor BORC qalığı; else AVANS</t>
  </si>
  <si>
    <t>(Eqaimedeki Əsas) - (Bank hesabima daxil olub)</t>
  </si>
  <si>
    <t>(Eqaimedeki ƏDV) - (EDV depozit hesabima daxil olub)</t>
  </si>
  <si>
    <t>ƏSAS: İlkin qalıq + DT - KT</t>
  </si>
  <si>
    <t>ƏDV: İlkin qalıq + DT - KT</t>
  </si>
  <si>
    <t>Fevral</t>
  </si>
  <si>
    <t>Mart</t>
  </si>
  <si>
    <t>Aprel</t>
  </si>
  <si>
    <t>May</t>
  </si>
  <si>
    <t>Iyun</t>
  </si>
  <si>
    <t>Iyul</t>
  </si>
  <si>
    <t>Avqust</t>
  </si>
  <si>
    <t>Sentyabr</t>
  </si>
  <si>
    <t>Oktyabr</t>
  </si>
  <si>
    <t>Noyabr</t>
  </si>
  <si>
    <t>Dekabr</t>
  </si>
  <si>
    <t>OnlyMonth</t>
  </si>
  <si>
    <t>StartDate</t>
  </si>
  <si>
    <r>
      <rPr>
        <b/>
        <sz val="12"/>
        <color rgb="FFFF0000"/>
        <rFont val="Calibri"/>
        <family val="2"/>
        <scheme val="minor"/>
      </rPr>
      <t>Hesabat periodunu seç</t>
    </r>
    <r>
      <rPr>
        <b/>
        <sz val="16"/>
        <color rgb="FFFF0000"/>
        <rFont val="Calibri"/>
        <family val="2"/>
        <scheme val="minor"/>
      </rPr>
      <t xml:space="preserve"> 👇</t>
    </r>
  </si>
  <si>
    <t> "WEFINIX" MƏHDUD MƏSULİYYƏTLİ CƏMİYYƏTİ</t>
  </si>
  <si>
    <t> "XXX2" MƏHDUD MƏSULİYYƏTLİ CƏMİYYƏTİ</t>
  </si>
  <si>
    <t> "XXX3" MƏHDUD MƏSULİYYƏTLİ CƏMİYYƏTİ</t>
  </si>
  <si>
    <t> "XXX4" MƏHDUD MƏSULİYYƏTLİ CƏMİYYƏTİ</t>
  </si>
  <si>
    <t> "XXX5" MƏHDUD MƏSULİYYƏTLİ CƏMİYYƏTİ</t>
  </si>
  <si>
    <t> "XXX6" MƏHDUD MƏSULİYYƏTLİ CƏMİYYƏTİ</t>
  </si>
  <si>
    <t>WEFINIX LTD</t>
  </si>
  <si>
    <t>XXX2  LTD</t>
  </si>
  <si>
    <t>XXX3  LTD</t>
  </si>
  <si>
    <t>XXX4  LTD</t>
  </si>
  <si>
    <t>XXX5  LTD</t>
  </si>
  <si>
    <t>XXX6  LTD</t>
  </si>
  <si>
    <t>0901000041</t>
  </si>
  <si>
    <t> "FINANCE" MƏHDUD MƏSULİYYƏTLİ CƏMİYYƏTİ</t>
  </si>
  <si>
    <t>v_</t>
  </si>
  <si>
    <t>New kont</t>
  </si>
  <si>
    <t>EQAIME_Name2</t>
  </si>
  <si>
    <t>WeFinix Ltd</t>
  </si>
  <si>
    <t>XXX2 Ltd</t>
  </si>
  <si>
    <t>XXX3 Ltd</t>
  </si>
  <si>
    <t>XXX4 Ltd</t>
  </si>
  <si>
    <t>XXX5 Ltd</t>
  </si>
  <si>
    <t>XXX6 Ltd</t>
  </si>
  <si>
    <t>Finance Ltd</t>
  </si>
  <si>
    <t>Report_Name</t>
  </si>
  <si>
    <t> 1001000041</t>
  </si>
  <si>
    <t> Normal</t>
  </si>
  <si>
    <t> 14.10.2019 16:21:42</t>
  </si>
  <si>
    <t> EBAE</t>
  </si>
  <si>
    <t> 970001</t>
  </si>
  <si>
    <t> 0</t>
  </si>
  <si>
    <t> 55.98</t>
  </si>
  <si>
    <t> 14.12.2019 16:21:44</t>
  </si>
  <si>
    <t> 970002</t>
  </si>
  <si>
    <t> 83.11</t>
  </si>
  <si>
    <t> 14.01.2020 16:23:06</t>
  </si>
  <si>
    <t>1000</t>
  </si>
  <si>
    <t>111</t>
  </si>
  <si>
    <t> 0901000041</t>
  </si>
  <si>
    <t> 14.02.2020 16:23:07</t>
  </si>
  <si>
    <t> 14.03.2020 16:23:08</t>
  </si>
  <si>
    <t> 14.04.2020 16:23:08</t>
  </si>
  <si>
    <t> 14.05.2020 16:23:09</t>
  </si>
  <si>
    <t> 14.06.2020 16:23:10</t>
  </si>
  <si>
    <t>DD-MM-YYYY</t>
  </si>
  <si>
    <t>FT2000XXXXXX\XXX</t>
  </si>
  <si>
    <t/>
  </si>
  <si>
    <t xml:space="preserve">WEFINIX LLC
1001000041/
50000X/1700000001/PAHAXX00XXX
AZ82XXXX0000000000000000000#
NABZXX0XXXXX
</t>
  </si>
  <si>
    <t>Neü kont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</si>
</sst>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İlkin Qalıq: &quot;dd\/mm\/yyyy"/>
    <numFmt numFmtId="166" formatCode="&quot;Son Qalıq: &quot;dd\/mm\/yyyy"/>
  </numFmts>
  <fonts count="29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1"/>
      <color rgb="FF0070C0"/>
      <name val="Calibri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F6F0"/>
        <bgColor indexed="64"/>
      </patternFill>
    </fill>
    <fill>
      <patternFill patternType="solid">
        <fgColor rgb="FF002060"/>
        <bgColor indexed="64"/>
      </patternFill>
    </fill>
    <fill>
      <patternFill patternType="darkGray">
        <fgColor theme="0"/>
        <bgColor theme="4" tint="0.79998168889431442"/>
      </patternFill>
    </fill>
    <fill>
      <patternFill patternType="darkGray">
        <fgColor theme="0"/>
        <bgColor theme="4" tint="0.5999938962981048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9A3A3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thin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theme="0" tint="-0.49998474074526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hair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 style="hair">
        <color theme="0" tint="-0.249977111117893"/>
      </left>
      <right style="thin">
        <color theme="0" tint="-0.249977111117893"/>
      </right>
      <top/>
      <bottom style="hair">
        <color theme="0" tint="-0.249977111117893"/>
      </bottom>
      <diagonal/>
    </border>
    <border>
      <left/>
      <right style="hair">
        <color theme="0" tint="-0.249977111117893"/>
      </right>
      <top/>
      <bottom style="hair">
        <color theme="0" tint="-0.249977111117893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77111117893"/>
      </right>
      <top style="medium">
        <color theme="0" tint="-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499984740745262"/>
      </right>
      <top style="medium">
        <color theme="0" tint="-0.499984740745262"/>
      </top>
      <bottom style="thin">
        <color theme="0" tint="-0.249977111117893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medium">
        <color theme="0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medium">
        <color theme="0" tint="-0.499984740745262"/>
      </right>
      <top style="thin">
        <color theme="0" tint="-0.249977111117893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249977111117893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</borders>
  <cellStyleXfs count="3">
    <xf numFmtId="0" fontId="0" fillId="0" borderId="0"/>
    <xf numFmtId="0" fontId="3" fillId="0" borderId="0"/>
    <xf numFmtId="164" fontId="5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3" fillId="0" borderId="0" xfId="1" applyFill="1"/>
    <xf numFmtId="2" fontId="1" fillId="0" borderId="0" xfId="0" applyNumberFormat="1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12" fillId="0" borderId="0" xfId="0" applyFont="1" applyFill="1" applyBorder="1" applyAlignment="1">
      <alignment horizontal="left" vertical="center" indent="1"/>
    </xf>
    <xf numFmtId="0" fontId="0" fillId="0" borderId="0" xfId="0" quotePrefix="1" applyAlignment="1">
      <alignment horizontal="left" vertical="center" indent="1"/>
    </xf>
    <xf numFmtId="14" fontId="1" fillId="0" borderId="0" xfId="0" applyNumberFormat="1" applyFont="1" applyFill="1" applyBorder="1" applyAlignment="1">
      <alignment horizontal="left" vertical="center" indent="1"/>
    </xf>
    <xf numFmtId="0" fontId="15" fillId="0" borderId="0" xfId="1" applyFont="1" applyFill="1"/>
    <xf numFmtId="0" fontId="6" fillId="0" borderId="0" xfId="1" applyFont="1" applyFill="1"/>
    <xf numFmtId="14" fontId="6" fillId="0" borderId="0" xfId="0" applyNumberFormat="1" applyFont="1" applyFill="1" applyBorder="1" applyAlignment="1">
      <alignment horizontal="left" vertical="center" indent="1"/>
    </xf>
    <xf numFmtId="0" fontId="15" fillId="0" borderId="0" xfId="1" applyFont="1" applyFill="1" applyAlignment="1">
      <alignment horizontal="left" indent="1"/>
    </xf>
    <xf numFmtId="0" fontId="4" fillId="0" borderId="0" xfId="1" applyFont="1" applyFill="1" applyAlignment="1">
      <alignment horizontal="left" indent="1"/>
    </xf>
    <xf numFmtId="0" fontId="6" fillId="0" borderId="0" xfId="0" applyFont="1" applyFill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0" fontId="3" fillId="0" borderId="0" xfId="1" applyFill="1" applyAlignment="1">
      <alignment horizontal="left" indent="1"/>
    </xf>
    <xf numFmtId="0" fontId="6" fillId="0" borderId="0" xfId="1" applyFont="1" applyFill="1" applyAlignment="1">
      <alignment horizontal="left" indent="1"/>
    </xf>
    <xf numFmtId="0" fontId="6" fillId="0" borderId="0" xfId="0" applyFont="1" applyFill="1" applyAlignment="1">
      <alignment horizontal="left" indent="1"/>
    </xf>
    <xf numFmtId="0" fontId="6" fillId="0" borderId="0" xfId="0" applyFont="1" applyFill="1"/>
    <xf numFmtId="0" fontId="1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1" fillId="0" borderId="0" xfId="1" applyFont="1" applyFill="1" applyAlignment="1">
      <alignment horizontal="left" indent="1"/>
    </xf>
    <xf numFmtId="0" fontId="1" fillId="0" borderId="0" xfId="1" applyFont="1" applyFill="1"/>
    <xf numFmtId="0" fontId="23" fillId="0" borderId="0" xfId="1" applyFont="1" applyFill="1" applyAlignment="1">
      <alignment horizontal="left" indent="1"/>
    </xf>
    <xf numFmtId="0" fontId="12" fillId="0" borderId="0" xfId="0" applyFont="1" applyFill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wrapText="1" indent="1"/>
    </xf>
    <xf numFmtId="0" fontId="24" fillId="0" borderId="0" xfId="0" applyFont="1" applyFill="1" applyBorder="1" applyAlignment="1" applyProtection="1">
      <alignment horizontal="left" vertical="center" indent="2"/>
      <protection hidden="1"/>
    </xf>
    <xf numFmtId="0" fontId="14" fillId="0" borderId="0" xfId="0" applyFont="1" applyFill="1" applyBorder="1" applyAlignment="1" applyProtection="1">
      <alignment horizontal="right"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horizontal="left" vertical="center" indent="1"/>
      <protection hidden="1"/>
    </xf>
    <xf numFmtId="0" fontId="13" fillId="0" borderId="0" xfId="0" applyFont="1" applyFill="1" applyBorder="1" applyAlignment="1" applyProtection="1">
      <alignment horizontal="right" vertical="center"/>
      <protection hidden="1"/>
    </xf>
    <xf numFmtId="0" fontId="13" fillId="0" borderId="0" xfId="0" applyFont="1" applyFill="1" applyBorder="1" applyAlignment="1" applyProtection="1">
      <alignment horizontal="left" vertical="center"/>
      <protection hidden="1"/>
    </xf>
    <xf numFmtId="0" fontId="13" fillId="0" borderId="0" xfId="0" applyFont="1" applyFill="1" applyBorder="1" applyAlignment="1" applyProtection="1">
      <alignment horizontal="left" vertical="center" indent="1"/>
      <protection hidden="1"/>
    </xf>
    <xf numFmtId="0" fontId="25" fillId="0" borderId="0" xfId="0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0" fontId="24" fillId="5" borderId="0" xfId="0" applyFont="1" applyFill="1" applyBorder="1" applyAlignment="1" applyProtection="1">
      <alignment horizontal="left" vertical="center" indent="2"/>
      <protection hidden="1"/>
    </xf>
    <xf numFmtId="0" fontId="2" fillId="5" borderId="0" xfId="0" applyFont="1" applyFill="1" applyBorder="1" applyAlignment="1" applyProtection="1">
      <alignment vertical="center"/>
      <protection hidden="1"/>
    </xf>
    <xf numFmtId="0" fontId="2" fillId="5" borderId="0" xfId="0" applyFont="1" applyFill="1" applyBorder="1" applyAlignment="1" applyProtection="1">
      <alignment horizontal="left" vertical="center" indent="1"/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left" vertical="center" indent="1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Alignment="1" applyProtection="1">
      <alignment horizontal="right" vertical="center"/>
      <protection hidden="1"/>
    </xf>
    <xf numFmtId="0" fontId="19" fillId="8" borderId="10" xfId="0" applyFont="1" applyFill="1" applyBorder="1" applyAlignment="1" applyProtection="1">
      <alignment horizontal="center" vertical="center"/>
      <protection hidden="1"/>
    </xf>
    <xf numFmtId="0" fontId="19" fillId="8" borderId="9" xfId="0" applyFont="1" applyFill="1" applyBorder="1" applyAlignment="1" applyProtection="1">
      <alignment horizontal="center" vertical="center"/>
      <protection hidden="1"/>
    </xf>
    <xf numFmtId="0" fontId="19" fillId="9" borderId="9" xfId="0" applyFont="1" applyFill="1" applyBorder="1" applyAlignment="1" applyProtection="1">
      <alignment horizontal="center" vertical="center"/>
      <protection hidden="1"/>
    </xf>
    <xf numFmtId="0" fontId="19" fillId="8" borderId="22" xfId="0" applyFont="1" applyFill="1" applyBorder="1" applyAlignment="1" applyProtection="1">
      <alignment horizontal="center" vertical="center"/>
      <protection hidden="1"/>
    </xf>
    <xf numFmtId="0" fontId="9" fillId="0" borderId="23" xfId="0" applyFont="1" applyFill="1" applyBorder="1" applyAlignment="1" applyProtection="1">
      <alignment vertical="center"/>
      <protection hidden="1"/>
    </xf>
    <xf numFmtId="0" fontId="9" fillId="0" borderId="24" xfId="0" applyFont="1" applyFill="1" applyBorder="1" applyAlignment="1" applyProtection="1">
      <alignment horizontal="center" vertical="center"/>
      <protection hidden="1"/>
    </xf>
    <xf numFmtId="0" fontId="9" fillId="0" borderId="24" xfId="0" applyFont="1" applyFill="1" applyBorder="1" applyAlignment="1" applyProtection="1">
      <alignment horizontal="left" vertical="center" indent="1"/>
      <protection hidden="1"/>
    </xf>
    <xf numFmtId="0" fontId="9" fillId="0" borderId="2" xfId="0" applyFont="1" applyFill="1" applyBorder="1" applyAlignment="1" applyProtection="1">
      <alignment horizontal="center" vertical="center"/>
      <protection hidden="1"/>
    </xf>
    <xf numFmtId="0" fontId="9" fillId="0" borderId="25" xfId="0" applyFont="1" applyFill="1" applyBorder="1" applyAlignment="1" applyProtection="1">
      <alignment horizontal="center" vertical="center"/>
      <protection hidden="1"/>
    </xf>
    <xf numFmtId="0" fontId="9" fillId="0" borderId="26" xfId="0" applyFont="1" applyFill="1" applyBorder="1" applyAlignment="1" applyProtection="1">
      <alignment horizontal="center" vertical="center"/>
      <protection hidden="1"/>
    </xf>
    <xf numFmtId="0" fontId="9" fillId="0" borderId="0" xfId="0" applyFont="1" applyFill="1" applyBorder="1" applyAlignment="1" applyProtection="1">
      <alignment vertical="center"/>
      <protection hidden="1"/>
    </xf>
    <xf numFmtId="0" fontId="17" fillId="0" borderId="11" xfId="0" applyFont="1" applyFill="1" applyBorder="1" applyAlignment="1" applyProtection="1">
      <alignment vertical="center"/>
      <protection hidden="1"/>
    </xf>
    <xf numFmtId="0" fontId="17" fillId="0" borderId="11" xfId="0" applyFont="1" applyFill="1" applyBorder="1" applyAlignment="1" applyProtection="1">
      <alignment horizontal="left" vertical="center"/>
      <protection hidden="1"/>
    </xf>
    <xf numFmtId="40" fontId="11" fillId="0" borderId="13" xfId="2" applyNumberFormat="1" applyFont="1" applyFill="1" applyBorder="1" applyAlignment="1" applyProtection="1">
      <alignment vertical="center"/>
      <protection hidden="1"/>
    </xf>
    <xf numFmtId="40" fontId="11" fillId="0" borderId="11" xfId="2" applyNumberFormat="1" applyFont="1" applyFill="1" applyBorder="1" applyAlignment="1" applyProtection="1">
      <alignment vertical="center"/>
      <protection hidden="1"/>
    </xf>
    <xf numFmtId="40" fontId="11" fillId="0" borderId="12" xfId="2" applyNumberFormat="1" applyFont="1" applyFill="1" applyBorder="1" applyAlignment="1" applyProtection="1">
      <alignment vertical="center"/>
      <protection hidden="1"/>
    </xf>
    <xf numFmtId="0" fontId="17" fillId="0" borderId="4" xfId="0" applyFont="1" applyFill="1" applyBorder="1" applyAlignment="1" applyProtection="1">
      <alignment vertical="center"/>
      <protection hidden="1"/>
    </xf>
    <xf numFmtId="0" fontId="17" fillId="0" borderId="4" xfId="0" applyFont="1" applyFill="1" applyBorder="1" applyAlignment="1" applyProtection="1">
      <alignment horizontal="left" vertical="center"/>
      <protection hidden="1"/>
    </xf>
    <xf numFmtId="40" fontId="11" fillId="0" borderId="5" xfId="2" applyNumberFormat="1" applyFont="1" applyFill="1" applyBorder="1" applyAlignment="1" applyProtection="1">
      <alignment vertical="center"/>
      <protection hidden="1"/>
    </xf>
    <xf numFmtId="40" fontId="11" fillId="0" borderId="4" xfId="2" applyNumberFormat="1" applyFont="1" applyFill="1" applyBorder="1" applyAlignment="1" applyProtection="1">
      <alignment vertical="center"/>
      <protection hidden="1"/>
    </xf>
    <xf numFmtId="40" fontId="11" fillId="0" borderId="6" xfId="2" applyNumberFormat="1" applyFont="1" applyFill="1" applyBorder="1" applyAlignment="1" applyProtection="1">
      <alignment vertical="center"/>
      <protection hidden="1"/>
    </xf>
    <xf numFmtId="0" fontId="9" fillId="6" borderId="11" xfId="0" applyFont="1" applyFill="1" applyBorder="1" applyAlignment="1" applyProtection="1">
      <alignment horizontal="left" vertical="center" indent="1"/>
      <protection locked="0" hidden="1"/>
    </xf>
    <xf numFmtId="14" fontId="2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right" vertical="center" indent="1"/>
      <protection hidden="1"/>
    </xf>
    <xf numFmtId="40" fontId="16" fillId="3" borderId="0" xfId="2" applyNumberFormat="1" applyFont="1" applyFill="1" applyBorder="1" applyAlignment="1" applyProtection="1">
      <alignment horizontal="center" vertical="center"/>
      <protection hidden="1"/>
    </xf>
    <xf numFmtId="40" fontId="7" fillId="3" borderId="0" xfId="2" applyNumberFormat="1" applyFont="1" applyFill="1" applyBorder="1" applyAlignment="1" applyProtection="1">
      <alignment horizontal="center" vertical="center"/>
      <protection hidden="1"/>
    </xf>
    <xf numFmtId="40" fontId="16" fillId="2" borderId="0" xfId="2" applyNumberFormat="1" applyFont="1" applyFill="1" applyBorder="1" applyAlignment="1" applyProtection="1">
      <alignment horizontal="center" vertical="center"/>
      <protection hidden="1"/>
    </xf>
    <xf numFmtId="40" fontId="7" fillId="2" borderId="0" xfId="2" applyNumberFormat="1" applyFont="1" applyFill="1" applyBorder="1" applyAlignment="1" applyProtection="1">
      <alignment horizontal="center" vertical="center"/>
      <protection hidden="1"/>
    </xf>
    <xf numFmtId="0" fontId="0" fillId="4" borderId="0" xfId="0" applyFill="1" applyAlignment="1">
      <alignment horizontal="left" vertical="center" indent="1"/>
    </xf>
    <xf numFmtId="0" fontId="18" fillId="0" borderId="6" xfId="0" applyFont="1" applyFill="1" applyBorder="1" applyAlignment="1" applyProtection="1">
      <alignment horizontal="left" vertical="center" indent="2"/>
      <protection hidden="1"/>
    </xf>
    <xf numFmtId="0" fontId="26" fillId="11" borderId="0" xfId="0" applyFont="1" applyFill="1" applyAlignment="1">
      <alignment horizontal="left" vertical="center" indent="1"/>
    </xf>
    <xf numFmtId="0" fontId="27" fillId="0" borderId="0" xfId="0" applyNumberFormat="1" applyFont="1" applyFill="1" applyAlignment="1">
      <alignment horizontal="left" vertical="center" indent="1"/>
    </xf>
    <xf numFmtId="14" fontId="27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 indent="1"/>
    </xf>
    <xf numFmtId="0" fontId="27" fillId="0" borderId="0" xfId="0" applyFont="1" applyFill="1" applyBorder="1" applyAlignment="1">
      <alignment horizontal="left" vertical="center"/>
    </xf>
    <xf numFmtId="2" fontId="27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28" fillId="0" borderId="0" xfId="0" applyFont="1" applyFill="1" applyBorder="1" applyAlignment="1">
      <alignment horizontal="left" vertical="center" indent="1"/>
    </xf>
    <xf numFmtId="2" fontId="12" fillId="5" borderId="0" xfId="0" applyNumberFormat="1" applyFont="1" applyFill="1" applyBorder="1" applyAlignment="1" applyProtection="1">
      <alignment horizontal="center" vertical="center"/>
      <protection hidden="1"/>
    </xf>
    <xf numFmtId="166" fontId="22" fillId="7" borderId="17" xfId="0" applyNumberFormat="1" applyFont="1" applyFill="1" applyBorder="1" applyAlignment="1" applyProtection="1">
      <alignment horizontal="center" vertical="center"/>
      <protection hidden="1"/>
    </xf>
    <xf numFmtId="166" fontId="22" fillId="7" borderId="18" xfId="0" applyNumberFormat="1" applyFont="1" applyFill="1" applyBorder="1" applyAlignment="1" applyProtection="1">
      <alignment horizontal="center" vertical="center"/>
      <protection hidden="1"/>
    </xf>
    <xf numFmtId="0" fontId="22" fillId="10" borderId="17" xfId="0" applyFont="1" applyFill="1" applyBorder="1" applyAlignment="1" applyProtection="1">
      <alignment horizontal="center" vertical="center"/>
      <protection locked="0" hidden="1"/>
    </xf>
    <xf numFmtId="165" fontId="22" fillId="7" borderId="16" xfId="0" applyNumberFormat="1" applyFont="1" applyFill="1" applyBorder="1" applyAlignment="1" applyProtection="1">
      <alignment horizontal="center" vertical="center"/>
      <protection hidden="1"/>
    </xf>
    <xf numFmtId="165" fontId="22" fillId="7" borderId="17" xfId="0" applyNumberFormat="1" applyFont="1" applyFill="1" applyBorder="1" applyAlignment="1" applyProtection="1">
      <alignment horizontal="center" vertical="center"/>
      <protection hidden="1"/>
    </xf>
    <xf numFmtId="0" fontId="25" fillId="0" borderId="0" xfId="0" applyFont="1" applyFill="1" applyBorder="1" applyAlignment="1" applyProtection="1">
      <alignment horizontal="center" vertical="center" wrapText="1"/>
      <protection hidden="1"/>
    </xf>
    <xf numFmtId="0" fontId="22" fillId="7" borderId="14" xfId="0" applyFont="1" applyFill="1" applyBorder="1" applyAlignment="1" applyProtection="1">
      <alignment horizontal="center" vertical="center"/>
      <protection hidden="1"/>
    </xf>
    <xf numFmtId="0" fontId="22" fillId="7" borderId="19" xfId="0" applyFont="1" applyFill="1" applyBorder="1" applyAlignment="1" applyProtection="1">
      <alignment horizontal="center" vertical="center"/>
      <protection hidden="1"/>
    </xf>
    <xf numFmtId="0" fontId="22" fillId="7" borderId="21" xfId="0" applyFont="1" applyFill="1" applyBorder="1" applyAlignment="1" applyProtection="1">
      <alignment horizontal="center" vertical="center"/>
      <protection hidden="1"/>
    </xf>
    <xf numFmtId="0" fontId="10" fillId="8" borderId="3" xfId="0" applyFont="1" applyFill="1" applyBorder="1" applyAlignment="1" applyProtection="1">
      <alignment horizontal="center" vertical="center" wrapText="1"/>
      <protection hidden="1"/>
    </xf>
    <xf numFmtId="0" fontId="10" fillId="8" borderId="20" xfId="0" applyFont="1" applyFill="1" applyBorder="1" applyAlignment="1" applyProtection="1">
      <alignment horizontal="center" vertical="center" wrapText="1"/>
      <protection hidden="1"/>
    </xf>
    <xf numFmtId="0" fontId="22" fillId="7" borderId="15" xfId="0" applyFont="1" applyFill="1" applyBorder="1" applyAlignment="1" applyProtection="1">
      <alignment horizontal="center" vertical="center"/>
      <protection hidden="1"/>
    </xf>
    <xf numFmtId="0" fontId="22" fillId="7" borderId="1" xfId="0" applyFont="1" applyFill="1" applyBorder="1" applyAlignment="1" applyProtection="1">
      <alignment horizontal="center" vertical="center"/>
      <protection hidden="1"/>
    </xf>
    <xf numFmtId="0" fontId="22" fillId="7" borderId="8" xfId="0" applyFont="1" applyFill="1" applyBorder="1" applyAlignment="1" applyProtection="1">
      <alignment horizontal="center" vertical="center"/>
      <protection hidden="1"/>
    </xf>
    <xf numFmtId="0" fontId="10" fillId="8" borderId="7" xfId="0" applyFont="1" applyFill="1" applyBorder="1" applyAlignment="1" applyProtection="1">
      <alignment horizontal="center" vertical="center" wrapText="1"/>
      <protection hidden="1"/>
    </xf>
    <xf numFmtId="0" fontId="10" fillId="9" borderId="3" xfId="0" applyFont="1" applyFill="1" applyBorder="1" applyAlignment="1" applyProtection="1">
      <alignment horizontal="center" vertical="center"/>
      <protection hidden="1"/>
    </xf>
    <xf numFmtId="0" fontId="10" fillId="9" borderId="3" xfId="0" applyFont="1" applyFill="1" applyBorder="1" applyAlignment="1" applyProtection="1">
      <alignment horizontal="center" vertical="center" wrapText="1"/>
      <protection hidden="1"/>
    </xf>
    <xf numFmtId="0" fontId="10" fillId="8" borderId="3" xfId="0" applyFont="1" applyFill="1" applyBorder="1" applyAlignment="1" applyProtection="1">
      <alignment horizontal="center" vertical="center"/>
      <protection hidden="1"/>
    </xf>
  </cellXfs>
  <cellStyles count="3">
    <cellStyle name="Comma" xfId="2" builtinId="3"/>
    <cellStyle name="Normal" xfId="0" builtinId="0"/>
    <cellStyle name="Normal 2" xfId="1"/>
  </cellStyles>
  <dxfs count="83">
    <dxf>
      <font>
        <color rgb="FF9C0006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C00000"/>
      </font>
      <fill>
        <patternFill patternType="darkGray">
          <fgColor theme="0"/>
          <bgColor theme="0" tint="-0.14993743705557422"/>
        </patternFill>
      </fill>
    </dxf>
    <dxf>
      <font>
        <b val="0"/>
        <i val="0"/>
        <color theme="0" tint="-0.24994659260841701"/>
      </font>
    </dxf>
    <dxf>
      <font>
        <color theme="0"/>
      </font>
    </dxf>
    <dxf>
      <font>
        <color rgb="FF9C0006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29A3A3"/>
        </patternFill>
      </fill>
      <alignment horizontal="left" vertical="center" textRotation="0" wrapText="0" indent="1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167" formatCode="dd/mm/yy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dd/mm/yy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color rgb="FF0070C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/>
        <strike val="0"/>
        <outline val="0"/>
        <shadow val="0"/>
        <u val="none"/>
        <vertAlign val="baseline"/>
        <color rgb="FF0070C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none"/>
      </font>
      <numFmt numFmtId="167" formatCode="dd/mm/yy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none"/>
      </font>
      <numFmt numFmtId="167" formatCode="dd/mm/yy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7" formatCode="dd/mm/yy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167" formatCode="dd/mm/yy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ahoma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7" tint="0.79998168889431442"/>
        </patternFill>
      </fill>
      <alignment horizontal="left" vertical="center" textRotation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29A3A3"/>
      <color rgb="FFFEF6F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106679</xdr:rowOff>
    </xdr:to>
    <xdr:sp macro="" textlink="">
      <xdr:nvSpPr>
        <xdr:cNvPr id="2" name="AutoShape 78" descr="blob:https://web.whatsapp.com/6f34ab0b-c76d-42cd-9a56-dd163a0f225f"/>
        <xdr:cNvSpPr>
          <a:spLocks noChangeAspect="1" noChangeArrowheads="1"/>
        </xdr:cNvSpPr>
      </xdr:nvSpPr>
      <xdr:spPr bwMode="auto">
        <a:xfrm>
          <a:off x="14851380" y="33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106680</xdr:rowOff>
    </xdr:to>
    <xdr:sp macro="" textlink="">
      <xdr:nvSpPr>
        <xdr:cNvPr id="3" name="AutoShape 79" descr="blob:https://web.whatsapp.com/6f34ab0b-c76d-42cd-9a56-dd163a0f225f"/>
        <xdr:cNvSpPr>
          <a:spLocks noChangeAspect="1" noChangeArrowheads="1"/>
        </xdr:cNvSpPr>
      </xdr:nvSpPr>
      <xdr:spPr bwMode="auto">
        <a:xfrm>
          <a:off x="1269492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tab_Eqaime" displayName="tab_Eqaime" ref="B2:W11" totalsRowShown="0" headerRowDxfId="78" dataDxfId="77">
  <autoFilter ref="B2:W11"/>
  <tableColumns count="22">
    <tableColumn id="1" name="Sıra" dataDxfId="76"/>
    <tableColumn id="2" name="VÖEN" dataDxfId="75"/>
    <tableColumn id="3" name="Adı" dataDxfId="74"/>
    <tableColumn id="18" name="Tipi" dataDxfId="73"/>
    <tableColumn id="4" name="Vəziyyəti" dataDxfId="72"/>
    <tableColumn id="5" name="Qaimə tarixi" dataDxfId="71"/>
    <tableColumn id="6" name="Qaimə Seriyası" dataDxfId="70"/>
    <tableColumn id="7" name="Qaimə nömrəsi" dataDxfId="69"/>
    <tableColumn id="20" name="Əsas qeyd" dataDxfId="68"/>
    <tableColumn id="19" name="Əlavə qeyd" dataDxfId="67"/>
    <tableColumn id="8" name="Malın ƏDV-siz ümumi dəyəri" dataDxfId="66"/>
    <tableColumn id="9" name="Malın ƏDV məbləği" dataDxfId="65"/>
    <tableColumn id="10" name="ƏDV-yə cəlb edilən" dataDxfId="64"/>
    <tableColumn id="11" name="ƏDV-yə cəlb edilməyən" dataDxfId="63"/>
    <tableColumn id="12" name="ƏDV-yə “0” dərəcə ilə cəlb edilən" dataDxfId="62"/>
    <tableColumn id="21" name="0, if YeniKont" dataDxfId="61">
      <calculatedColumnFormula>COUNTIFS(fx_Rep_VOEN,$V3)</calculatedColumnFormula>
    </tableColumn>
    <tableColumn id="13" name="Date_ok" dataDxfId="60">
      <calculatedColumnFormula>DATE(MID($G3,8,4),MID($G3,5,2),MID($G3,2,2))</calculatedColumnFormula>
    </tableColumn>
    <tableColumn id="23" name="Compare" dataDxfId="59">
      <calculatedColumnFormula>IF(R3&lt;fx_Choosen_DateStart,"prev",IF(AND(R3&gt;=fx_Choosen_DateStart,R3&lt;=fx_Choosen_DateEnd),"current","post"))</calculatedColumnFormula>
    </tableColumn>
    <tableColumn id="14" name="DTesas" dataDxfId="58">
      <calculatedColumnFormula>SUBSTITUTE(L3," ","")+0</calculatedColumnFormula>
    </tableColumn>
    <tableColumn id="15" name="DTedv" dataDxfId="57">
      <calculatedColumnFormula>SUBSTITUTE(M3," ","")+0</calculatedColumnFormula>
    </tableColumn>
    <tableColumn id="16" name="VOEN_edited" dataDxfId="56">
      <calculatedColumnFormula>"v_"&amp;SUBSTITUTE(C3," ","")</calculatedColumnFormula>
    </tableColumn>
    <tableColumn id="17" name="Name_edited" dataDxfId="55">
      <calculatedColumnFormula>SUBSTITUTE(D3," ","")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_Bank" displayName="tab_Bank" ref="B2:O6" totalsRowShown="0" headerRowDxfId="50" dataDxfId="49">
  <autoFilter ref="B2:O6"/>
  <tableColumns count="14">
    <tableColumn id="1" name="Hesablaşma tarixi_x000a_Value Date" dataDxfId="48" dataCellStyle="Normal 2"/>
    <tableColumn id="2" name="Əməliyyat tarixi_x000a_Posting Date" dataDxfId="47" dataCellStyle="Normal 2"/>
    <tableColumn id="3" name="Əməliyyatın №-si_x000a_Transaction ID" dataDxfId="46" dataCellStyle="Normal 2"/>
    <tableColumn id="4" name="MədaxilIN" dataDxfId="45" dataCellStyle="Normal 2"/>
    <tableColumn id="5" name="Məxaric_x000a_Out" dataDxfId="44" dataCellStyle="Normal 2"/>
    <tableColumn id="6" name="Balans_x000a_Balance" dataDxfId="43" dataCellStyle="Normal 2"/>
    <tableColumn id="7" name="Göndərənin/Alanın Adı_x000a_Sender / Beneficiary Name" dataDxfId="42" dataCellStyle="Normal 2"/>
    <tableColumn id="8" name="Göndərənin/Alanın Hesab nömrəsi_x000a_Sender/Beneficiary Account" dataDxfId="41" dataCellStyle="Normal 2"/>
    <tableColumn id="9" name="Təyinat_x000a_Description" dataDxfId="40" dataCellStyle="Normal 2"/>
    <tableColumn id="12" name="0, if YeniKont" dataDxfId="39" dataCellStyle="Normal 2">
      <calculatedColumnFormula>IF(ISERROR($N3),"ErrorInVOEN",COUNTIFS(Report_SalesAndReceivables!$A:$A,$N3))</calculatedColumnFormula>
    </tableColumn>
    <tableColumn id="11" name="Date_ok" dataDxfId="38">
      <calculatedColumnFormula>$C3</calculatedColumnFormula>
    </tableColumn>
    <tableColumn id="15" name="Compare" dataDxfId="37">
      <calculatedColumnFormula>IF($L3&lt;fx_Choosen_DateStart,"prev",IF(AND($L3&gt;=fx_Choosen_DateStart,$L3&lt;=fx_Choosen_DateEnd),"current","post"))</calculatedColumnFormula>
    </tableColumn>
    <tableColumn id="10" name="VOEN_edited" dataDxfId="36">
      <calculatedColumnFormula>"v_"&amp;MID(H3,FIND("/",H3)-10,10)</calculatedColumnFormula>
    </tableColumn>
    <tableColumn id="13" name="Name" dataDxfId="35" dataCellStyle="Normal 2">
      <calculatedColumnFormula>IFERROR(LEFT(tab_Bank[[#This Row],[Göndərənin/Alanın Adı
Sender / Beneficiary Name]],SEARCH(REPLACE(tab_Bank[[#This Row],[VOEN_edited]],1,2,""),tab_Bank[[#This Row],[Göndərənin/Alanın Adı
Sender / Beneficiary Name]])-1),"")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_deposit" displayName="tab_deposit" ref="B2:K9" totalsRowShown="0" headerRowDxfId="30" dataDxfId="29">
  <autoFilter ref="B2:K9"/>
  <tableColumns count="10">
    <tableColumn id="1" name="Əməliyyatın tarixi" dataDxfId="28"/>
    <tableColumn id="2" name="VÖEN" dataDxfId="27"/>
    <tableColumn id="3" name="Vergi ödəyicisinin adı" dataDxfId="26"/>
    <tableColumn id="4" name="Mədaxil" dataDxfId="25"/>
    <tableColumn id="5" name="Məxaric" dataDxfId="24"/>
    <tableColumn id="6" name="Ödənişin təyinatı" dataDxfId="23"/>
    <tableColumn id="9" name="0, if YeniKont" dataDxfId="22">
      <calculatedColumnFormula>IF(ISERROR($I3),"ErrorInVOEN",COUNTIFS(fx_Rep_VOEN,$I3))</calculatedColumnFormula>
    </tableColumn>
    <tableColumn id="7" name="VOEN_edited" dataDxfId="21">
      <calculatedColumnFormula>"v_"&amp;$C3</calculatedColumnFormula>
    </tableColumn>
    <tableColumn id="8" name="Date_ok" dataDxfId="20">
      <calculatedColumnFormula>$B3</calculatedColumnFormula>
    </tableColumn>
    <tableColumn id="10" name="Compare" dataDxfId="19">
      <calculatedColumnFormula>IF($J3&lt;fx_Choosen_DateStart,"prev",IF(AND($J3&gt;=fx_Choosen_DateStart,$J3&lt;=fx_Choosen_DateEnd),"current","post"))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_VOEN" displayName="tab_VOEN" ref="A1:E11" totalsRowShown="0" headerRowDxfId="13" dataDxfId="12">
  <autoFilter ref="A1:E11"/>
  <tableColumns count="5">
    <tableColumn id="1" name="VOEN_ok" dataDxfId="11">
      <calculatedColumnFormula>IF(OR(LEN(B2)=10,LEN(B2)=9),"v_"&amp;B2,"errorr")</calculatedColumnFormula>
    </tableColumn>
    <tableColumn id="2" name="VOEN_edited" dataDxfId="10"/>
    <tableColumn id="3" name="Report_Name" dataDxfId="9"/>
    <tableColumn id="5" name="EQAIME_Name2" dataDxfId="8"/>
    <tableColumn id="4" name="BANK_Name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X11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P11"/>
    </sheetView>
  </sheetViews>
  <sheetFormatPr defaultRowHeight="14.4" outlineLevelCol="1" x14ac:dyDescent="0.3"/>
  <cols>
    <col min="1" max="1" width="3.33203125" style="2" customWidth="1"/>
    <col min="2" max="2" width="8" style="3" customWidth="1"/>
    <col min="3" max="3" width="11.21875" style="3" customWidth="1"/>
    <col min="4" max="4" width="10.77734375" style="3" customWidth="1"/>
    <col min="5" max="5" width="7.21875" style="3" customWidth="1"/>
    <col min="6" max="6" width="11.109375" style="3" customWidth="1"/>
    <col min="7" max="7" width="14.44140625" style="3" bestFit="1" customWidth="1"/>
    <col min="8" max="9" width="13.33203125" style="3" customWidth="1"/>
    <col min="10" max="10" width="10.109375" style="3" customWidth="1"/>
    <col min="11" max="11" width="10.21875" style="3" customWidth="1"/>
    <col min="12" max="12" width="16.88671875" style="2" customWidth="1"/>
    <col min="13" max="13" width="15.88671875" style="2" customWidth="1"/>
    <col min="14" max="14" width="16.33203125" style="3" customWidth="1"/>
    <col min="15" max="15" width="15.6640625" style="3" customWidth="1"/>
    <col min="16" max="16" width="18.6640625" style="3" customWidth="1"/>
    <col min="17" max="17" width="6.5546875" style="1" hidden="1" customWidth="1" outlineLevel="1"/>
    <col min="18" max="18" width="9.77734375" style="1" hidden="1" customWidth="1" outlineLevel="1"/>
    <col min="19" max="19" width="12.5546875" style="1" hidden="1" customWidth="1" outlineLevel="1"/>
    <col min="20" max="20" width="15.44140625" style="1" hidden="1" customWidth="1" outlineLevel="1"/>
    <col min="21" max="21" width="16.77734375" style="1" hidden="1" customWidth="1" outlineLevel="1"/>
    <col min="22" max="22" width="8.88671875" style="2" hidden="1" customWidth="1" outlineLevel="1"/>
    <col min="23" max="23" width="59" style="2" hidden="1" customWidth="1" outlineLevel="1"/>
    <col min="24" max="24" width="8.88671875" style="2" collapsed="1"/>
    <col min="25" max="16384" width="8.88671875" style="2"/>
  </cols>
  <sheetData>
    <row r="2" spans="2:23" s="30" customFormat="1" ht="36" customHeight="1" x14ac:dyDescent="0.3">
      <c r="B2" s="30" t="s">
        <v>0</v>
      </c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0" t="s">
        <v>24</v>
      </c>
      <c r="R2" s="30" t="s">
        <v>69</v>
      </c>
      <c r="S2" s="30" t="s">
        <v>70</v>
      </c>
      <c r="T2" s="30" t="s">
        <v>32</v>
      </c>
      <c r="U2" s="30" t="s">
        <v>33</v>
      </c>
      <c r="V2" s="30" t="s">
        <v>15</v>
      </c>
      <c r="W2" s="30" t="s">
        <v>34</v>
      </c>
    </row>
    <row r="3" spans="2:23" x14ac:dyDescent="0.3">
      <c r="B3">
        <v>1</v>
      </c>
      <c r="C3" t="s">
        <v>115</v>
      </c>
      <c r="D3" t="s">
        <v>90</v>
      </c>
      <c r="E3"/>
      <c r="F3" t="s">
        <v>116</v>
      </c>
      <c r="G3" t="s">
        <v>117</v>
      </c>
      <c r="H3" t="s">
        <v>118</v>
      </c>
      <c r="I3" t="s">
        <v>119</v>
      </c>
      <c r="J3"/>
      <c r="K3"/>
      <c r="L3">
        <v>1000</v>
      </c>
      <c r="M3">
        <v>180</v>
      </c>
      <c r="N3" t="s">
        <v>120</v>
      </c>
      <c r="O3" t="s">
        <v>121</v>
      </c>
      <c r="P3" t="s">
        <v>120</v>
      </c>
      <c r="Q3" s="23">
        <f t="shared" ref="Q3:Q6" si="0">COUNTIFS(fx_Rep_VOEN,$V3)</f>
        <v>1</v>
      </c>
      <c r="R3" s="10">
        <f>DATE(MID($G3,8,4),MID($G3,5,2),MID($G3,2,2))</f>
        <v>43752</v>
      </c>
      <c r="S3" s="1" t="str">
        <f t="shared" ref="S3:S6" si="1">IF(R3&lt;fx_Choosen_DateStart,"prev",IF(AND(R3&gt;=fx_Choosen_DateStart,R3&lt;=fx_Choosen_DateEnd),"current","post"))</f>
        <v>prev</v>
      </c>
      <c r="T3" s="1">
        <f>SUBSTITUTE(L3," ","")+0</f>
        <v>1000</v>
      </c>
      <c r="U3" s="5">
        <f t="shared" ref="U3:U6" si="2">SUBSTITUTE(M3," ","")+0</f>
        <v>180</v>
      </c>
      <c r="V3" s="1" t="str">
        <f t="shared" ref="V3:V6" si="3">"v_"&amp;SUBSTITUTE(C3," ","")</f>
        <v>v_1001000041</v>
      </c>
      <c r="W3" s="1" t="str">
        <f t="shared" ref="W3:W6" si="4">SUBSTITUTE(D3," ","")</f>
        <v>"WEFINIX" MƏHDUD MƏSULİYYƏTLİ CƏMİYYƏTİ</v>
      </c>
    </row>
    <row r="4" spans="2:23" x14ac:dyDescent="0.3">
      <c r="B4">
        <v>2</v>
      </c>
      <c r="C4" t="s">
        <v>115</v>
      </c>
      <c r="D4" t="s">
        <v>90</v>
      </c>
      <c r="E4"/>
      <c r="F4" t="s">
        <v>116</v>
      </c>
      <c r="G4" t="s">
        <v>122</v>
      </c>
      <c r="H4" t="s">
        <v>118</v>
      </c>
      <c r="I4" t="s">
        <v>123</v>
      </c>
      <c r="J4"/>
      <c r="K4"/>
      <c r="L4">
        <v>1019</v>
      </c>
      <c r="M4">
        <v>183.42</v>
      </c>
      <c r="N4" t="s">
        <v>120</v>
      </c>
      <c r="O4" t="s">
        <v>124</v>
      </c>
      <c r="P4" t="s">
        <v>120</v>
      </c>
      <c r="Q4" s="23">
        <f t="shared" si="0"/>
        <v>1</v>
      </c>
      <c r="R4" s="10">
        <f t="shared" ref="R4:R6" si="5">DATE(MID($G4,8,4),MID($G4,5,2),MID($G4,2,2))</f>
        <v>43813</v>
      </c>
      <c r="S4" s="1" t="str">
        <f t="shared" si="1"/>
        <v>prev</v>
      </c>
      <c r="T4" s="1">
        <f>SUBSTITUTE(L4," ","")+0</f>
        <v>1019</v>
      </c>
      <c r="U4" s="5">
        <f t="shared" si="2"/>
        <v>183.42</v>
      </c>
      <c r="V4" s="1" t="str">
        <f t="shared" si="3"/>
        <v>v_1001000041</v>
      </c>
      <c r="W4" s="1" t="str">
        <f t="shared" si="4"/>
        <v>"WEFINIX" MƏHDUD MƏSULİYYƏTLİ CƏMİYYƏTİ</v>
      </c>
    </row>
    <row r="5" spans="2:23" x14ac:dyDescent="0.3">
      <c r="B5">
        <v>3</v>
      </c>
      <c r="C5" t="s">
        <v>115</v>
      </c>
      <c r="D5"/>
      <c r="E5"/>
      <c r="F5"/>
      <c r="G5" t="s">
        <v>125</v>
      </c>
      <c r="H5"/>
      <c r="I5"/>
      <c r="J5"/>
      <c r="K5"/>
      <c r="L5" t="s">
        <v>126</v>
      </c>
      <c r="M5">
        <v>180</v>
      </c>
      <c r="N5"/>
      <c r="O5"/>
      <c r="P5"/>
      <c r="Q5" s="23">
        <f t="shared" si="0"/>
        <v>1</v>
      </c>
      <c r="R5" s="10">
        <f t="shared" si="5"/>
        <v>43844</v>
      </c>
      <c r="S5" s="1" t="str">
        <f t="shared" si="1"/>
        <v>prev</v>
      </c>
      <c r="T5" s="1">
        <f t="shared" ref="T5:T6" si="6">SUBSTITUTE(L5," ","")+0</f>
        <v>1000</v>
      </c>
      <c r="U5" s="5">
        <f t="shared" si="2"/>
        <v>180</v>
      </c>
      <c r="V5" s="1" t="str">
        <f t="shared" si="3"/>
        <v>v_1001000041</v>
      </c>
      <c r="W5" s="1" t="str">
        <f t="shared" si="4"/>
        <v/>
      </c>
    </row>
    <row r="6" spans="2:23" x14ac:dyDescent="0.3">
      <c r="B6">
        <v>4</v>
      </c>
      <c r="C6" t="s">
        <v>115</v>
      </c>
      <c r="D6"/>
      <c r="E6"/>
      <c r="F6"/>
      <c r="G6" t="s">
        <v>125</v>
      </c>
      <c r="H6"/>
      <c r="I6"/>
      <c r="J6"/>
      <c r="K6"/>
      <c r="L6" t="s">
        <v>127</v>
      </c>
      <c r="M6">
        <v>19.98</v>
      </c>
      <c r="N6"/>
      <c r="O6"/>
      <c r="P6"/>
      <c r="Q6" s="23">
        <f t="shared" si="0"/>
        <v>1</v>
      </c>
      <c r="R6" s="10">
        <f t="shared" si="5"/>
        <v>43844</v>
      </c>
      <c r="S6" s="1" t="str">
        <f t="shared" si="1"/>
        <v>prev</v>
      </c>
      <c r="T6" s="1">
        <f t="shared" si="6"/>
        <v>111</v>
      </c>
      <c r="U6" s="5">
        <f t="shared" si="2"/>
        <v>19.98</v>
      </c>
      <c r="V6" s="1" t="str">
        <f t="shared" si="3"/>
        <v>v_1001000041</v>
      </c>
      <c r="W6" s="1" t="str">
        <f t="shared" si="4"/>
        <v/>
      </c>
    </row>
    <row r="7" spans="2:23" x14ac:dyDescent="0.3">
      <c r="B7">
        <v>5</v>
      </c>
      <c r="C7" t="s">
        <v>128</v>
      </c>
      <c r="D7"/>
      <c r="E7"/>
      <c r="F7"/>
      <c r="G7" t="s">
        <v>129</v>
      </c>
      <c r="H7"/>
      <c r="I7"/>
      <c r="J7"/>
      <c r="K7"/>
      <c r="L7">
        <v>2222</v>
      </c>
      <c r="M7">
        <v>399.96</v>
      </c>
      <c r="N7"/>
      <c r="O7"/>
      <c r="P7"/>
      <c r="Q7" s="79">
        <f t="shared" ref="Q7:Q11" si="7">COUNTIFS(fx_Rep_VOEN,$V7)</f>
        <v>1</v>
      </c>
      <c r="R7" s="80">
        <f t="shared" ref="R7:R11" si="8">DATE(MID($G7,8,4),MID($G7,5,2),MID($G7,2,2))</f>
        <v>43875</v>
      </c>
      <c r="S7" s="81" t="str">
        <f t="shared" ref="S7:S11" si="9">IF(R7&lt;fx_Choosen_DateStart,"prev",IF(AND(R7&gt;=fx_Choosen_DateStart,R7&lt;=fx_Choosen_DateEnd),"current","post"))</f>
        <v>prev</v>
      </c>
      <c r="T7" s="82">
        <f t="shared" ref="T7:T11" si="10">SUBSTITUTE(L7," ","")+0</f>
        <v>2222</v>
      </c>
      <c r="U7" s="83">
        <f t="shared" ref="U7:U11" si="11">SUBSTITUTE(M7," ","")+0</f>
        <v>399.96</v>
      </c>
      <c r="V7" s="84" t="str">
        <f t="shared" ref="V7:V11" si="12">"v_"&amp;SUBSTITUTE(C7," ","")</f>
        <v>v_0901000041</v>
      </c>
      <c r="W7" s="84" t="str">
        <f t="shared" ref="W7:W11" si="13">SUBSTITUTE(D7," ","")</f>
        <v/>
      </c>
    </row>
    <row r="8" spans="2:23" x14ac:dyDescent="0.3">
      <c r="B8">
        <v>6</v>
      </c>
      <c r="C8" t="s">
        <v>115</v>
      </c>
      <c r="D8"/>
      <c r="E8"/>
      <c r="F8"/>
      <c r="G8" t="s">
        <v>130</v>
      </c>
      <c r="H8"/>
      <c r="I8"/>
      <c r="J8"/>
      <c r="K8"/>
      <c r="L8">
        <v>3333</v>
      </c>
      <c r="M8">
        <v>599.94000000000005</v>
      </c>
      <c r="N8"/>
      <c r="O8"/>
      <c r="P8"/>
      <c r="Q8" s="79">
        <f t="shared" si="7"/>
        <v>1</v>
      </c>
      <c r="R8" s="80">
        <f t="shared" si="8"/>
        <v>43904</v>
      </c>
      <c r="S8" s="81" t="str">
        <f t="shared" si="9"/>
        <v>prev</v>
      </c>
      <c r="T8" s="82">
        <f t="shared" si="10"/>
        <v>3333</v>
      </c>
      <c r="U8" s="83">
        <f t="shared" si="11"/>
        <v>599.94000000000005</v>
      </c>
      <c r="V8" s="84" t="str">
        <f t="shared" si="12"/>
        <v>v_1001000041</v>
      </c>
      <c r="W8" s="84" t="str">
        <f t="shared" si="13"/>
        <v/>
      </c>
    </row>
    <row r="9" spans="2:23" x14ac:dyDescent="0.3">
      <c r="B9">
        <v>7</v>
      </c>
      <c r="C9" t="s">
        <v>115</v>
      </c>
      <c r="D9"/>
      <c r="E9"/>
      <c r="F9"/>
      <c r="G9" t="s">
        <v>131</v>
      </c>
      <c r="H9"/>
      <c r="I9"/>
      <c r="J9"/>
      <c r="K9"/>
      <c r="L9">
        <v>4444</v>
      </c>
      <c r="M9">
        <v>799.92</v>
      </c>
      <c r="N9"/>
      <c r="O9"/>
      <c r="P9"/>
      <c r="Q9" s="79">
        <f t="shared" si="7"/>
        <v>1</v>
      </c>
      <c r="R9" s="80">
        <f t="shared" si="8"/>
        <v>43935</v>
      </c>
      <c r="S9" s="81" t="str">
        <f t="shared" si="9"/>
        <v>prev</v>
      </c>
      <c r="T9" s="82">
        <f t="shared" si="10"/>
        <v>4444</v>
      </c>
      <c r="U9" s="83">
        <f t="shared" si="11"/>
        <v>799.92</v>
      </c>
      <c r="V9" s="84" t="str">
        <f t="shared" si="12"/>
        <v>v_1001000041</v>
      </c>
      <c r="W9" s="84" t="str">
        <f t="shared" si="13"/>
        <v/>
      </c>
    </row>
    <row r="10" spans="2:23" x14ac:dyDescent="0.3">
      <c r="B10">
        <v>8</v>
      </c>
      <c r="C10" t="s">
        <v>115</v>
      </c>
      <c r="D10"/>
      <c r="E10"/>
      <c r="F10"/>
      <c r="G10" t="s">
        <v>132</v>
      </c>
      <c r="H10"/>
      <c r="I10"/>
      <c r="J10"/>
      <c r="K10"/>
      <c r="L10">
        <v>5555</v>
      </c>
      <c r="M10">
        <v>999.9</v>
      </c>
      <c r="N10"/>
      <c r="O10"/>
      <c r="P10"/>
      <c r="Q10" s="79">
        <f t="shared" si="7"/>
        <v>1</v>
      </c>
      <c r="R10" s="80">
        <f t="shared" si="8"/>
        <v>43965</v>
      </c>
      <c r="S10" s="81" t="str">
        <f t="shared" si="9"/>
        <v>prev</v>
      </c>
      <c r="T10" s="82">
        <f t="shared" si="10"/>
        <v>5555</v>
      </c>
      <c r="U10" s="83">
        <f t="shared" si="11"/>
        <v>999.9</v>
      </c>
      <c r="V10" s="84" t="str">
        <f t="shared" si="12"/>
        <v>v_1001000041</v>
      </c>
      <c r="W10" s="84" t="str">
        <f t="shared" si="13"/>
        <v/>
      </c>
    </row>
    <row r="11" spans="2:23" x14ac:dyDescent="0.3">
      <c r="B11">
        <v>9</v>
      </c>
      <c r="C11" t="s">
        <v>115</v>
      </c>
      <c r="D11"/>
      <c r="E11"/>
      <c r="F11"/>
      <c r="G11" t="s">
        <v>133</v>
      </c>
      <c r="H11"/>
      <c r="I11"/>
      <c r="J11"/>
      <c r="K11"/>
      <c r="L11">
        <v>6666</v>
      </c>
      <c r="M11">
        <v>1199.8800000000001</v>
      </c>
      <c r="N11"/>
      <c r="O11"/>
      <c r="P11"/>
      <c r="Q11" s="79">
        <f t="shared" si="7"/>
        <v>1</v>
      </c>
      <c r="R11" s="80">
        <f t="shared" si="8"/>
        <v>43996</v>
      </c>
      <c r="S11" s="81" t="str">
        <f t="shared" si="9"/>
        <v>current</v>
      </c>
      <c r="T11" s="82">
        <f t="shared" si="10"/>
        <v>6666</v>
      </c>
      <c r="U11" s="83">
        <f t="shared" si="11"/>
        <v>1199.8800000000001</v>
      </c>
      <c r="V11" s="84" t="str">
        <f t="shared" si="12"/>
        <v>v_1001000041</v>
      </c>
      <c r="W11" s="84" t="str">
        <f t="shared" si="13"/>
        <v/>
      </c>
    </row>
  </sheetData>
  <conditionalFormatting sqref="B1:Q1048576">
    <cfRule type="expression" dxfId="82" priority="8">
      <formula>AND($Q1=0,$Q1&lt;&gt;"")</formula>
    </cfRule>
    <cfRule type="expression" dxfId="81" priority="9">
      <formula>$S1="post"</formula>
    </cfRule>
    <cfRule type="expression" dxfId="80" priority="10">
      <formula>$S1="current"</formula>
    </cfRule>
    <cfRule type="expression" dxfId="79" priority="14">
      <formula>$S1="prev"</formula>
    </cfRule>
  </conditionalFormatting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83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J6"/>
    </sheetView>
  </sheetViews>
  <sheetFormatPr defaultRowHeight="14.4" outlineLevelCol="1" x14ac:dyDescent="0.3"/>
  <cols>
    <col min="1" max="1" width="2.5546875" style="4" customWidth="1"/>
    <col min="2" max="2" width="19.6640625" style="4" customWidth="1"/>
    <col min="3" max="3" width="17.6640625" style="11" customWidth="1"/>
    <col min="4" max="4" width="20.44140625" style="4" customWidth="1"/>
    <col min="5" max="5" width="11.33203125" style="11" customWidth="1"/>
    <col min="6" max="6" width="11.33203125" style="4" customWidth="1"/>
    <col min="7" max="7" width="11.44140625" style="4" customWidth="1"/>
    <col min="8" max="8" width="42" style="27" customWidth="1"/>
    <col min="9" max="9" width="23.44140625" style="4" customWidth="1"/>
    <col min="10" max="10" width="14.33203125" style="4" customWidth="1"/>
    <col min="11" max="11" width="11.33203125" style="12" hidden="1" customWidth="1" outlineLevel="1"/>
    <col min="12" max="12" width="12.77734375" style="12" hidden="1" customWidth="1" outlineLevel="1"/>
    <col min="13" max="13" width="12.33203125" style="12" hidden="1" customWidth="1" outlineLevel="1"/>
    <col min="14" max="14" width="15.44140625" style="22" hidden="1" customWidth="1" outlineLevel="1"/>
    <col min="15" max="15" width="13.109375" style="22" hidden="1" customWidth="1" outlineLevel="1"/>
    <col min="16" max="16" width="8.88671875" style="4" collapsed="1"/>
    <col min="17" max="16384" width="8.88671875" style="4"/>
  </cols>
  <sheetData>
    <row r="1" spans="1:21" s="2" customFormat="1" x14ac:dyDescent="0.3">
      <c r="B1" s="3"/>
      <c r="C1" s="3"/>
      <c r="D1" s="3"/>
      <c r="E1" s="3"/>
      <c r="F1" s="3"/>
      <c r="G1" s="3"/>
      <c r="H1" s="3"/>
      <c r="I1" s="3"/>
      <c r="J1" s="3"/>
      <c r="K1" s="3"/>
      <c r="N1" s="3"/>
      <c r="O1" s="3"/>
      <c r="P1" s="3"/>
      <c r="Q1" s="1"/>
      <c r="R1" s="1"/>
      <c r="S1" s="1"/>
      <c r="T1" s="1"/>
      <c r="U1" s="1"/>
    </row>
    <row r="2" spans="1:21" s="30" customFormat="1" ht="39.6" customHeight="1" x14ac:dyDescent="0.3">
      <c r="B2" s="30" t="s">
        <v>16</v>
      </c>
      <c r="C2" s="30" t="s">
        <v>17</v>
      </c>
      <c r="D2" s="30" t="s">
        <v>18</v>
      </c>
      <c r="E2" s="30" t="s">
        <v>35</v>
      </c>
      <c r="F2" s="30" t="s">
        <v>19</v>
      </c>
      <c r="G2" s="30" t="s">
        <v>20</v>
      </c>
      <c r="H2" s="30" t="s">
        <v>21</v>
      </c>
      <c r="I2" s="30" t="s">
        <v>22</v>
      </c>
      <c r="J2" s="30" t="s">
        <v>23</v>
      </c>
      <c r="K2" s="30" t="s">
        <v>24</v>
      </c>
      <c r="L2" s="30" t="s">
        <v>69</v>
      </c>
      <c r="M2" s="30" t="s">
        <v>70</v>
      </c>
      <c r="N2" s="30" t="s">
        <v>15</v>
      </c>
      <c r="O2" s="30" t="s">
        <v>49</v>
      </c>
    </row>
    <row r="3" spans="1:21" s="19" customFormat="1" x14ac:dyDescent="0.3">
      <c r="A3" s="15"/>
      <c r="B3" t="s">
        <v>134</v>
      </c>
      <c r="C3" s="85">
        <v>43472</v>
      </c>
      <c r="D3" t="s">
        <v>135</v>
      </c>
      <c r="E3">
        <v>1000</v>
      </c>
      <c r="F3" t="s">
        <v>136</v>
      </c>
      <c r="G3"/>
      <c r="H3" t="s">
        <v>137</v>
      </c>
      <c r="I3"/>
      <c r="J3"/>
      <c r="K3" s="16">
        <f>IF(ISERROR($N3),"ErrorInVOEN",COUNTIFS(Report_SalesAndReceivables!$A:$A,$N3))</f>
        <v>1</v>
      </c>
      <c r="L3" s="13">
        <f t="shared" ref="L3:L6" si="0">$C3</f>
        <v>43472</v>
      </c>
      <c r="M3" s="17" t="str">
        <f>IF($L3&lt;fx_Choosen_DateStart,"prev",IF(AND($L3&gt;=fx_Choosen_DateStart,$L3&lt;=fx_Choosen_DateEnd),"current","post"))</f>
        <v>prev</v>
      </c>
      <c r="N3" s="18" t="str">
        <f t="shared" ref="N3:N6" si="1">"v_"&amp;MID(H3,FIND("/",H3)-10,10)</f>
        <v>v_1001000041</v>
      </c>
      <c r="O3" s="18" t="str">
        <f>IFERROR(LEFT(tab_Bank[[#This Row],[Göndərənin/Alanın Adı
Sender / Beneficiary Name]],SEARCH(REPLACE(tab_Bank[[#This Row],[VOEN_edited]],1,2,""),tab_Bank[[#This Row],[Göndərənin/Alanın Adı
Sender / Beneficiary Name]])-1),"")</f>
        <v xml:space="preserve">WEFINIX LLC
</v>
      </c>
    </row>
    <row r="4" spans="1:21" s="19" customFormat="1" x14ac:dyDescent="0.3">
      <c r="A4" s="15"/>
      <c r="B4"/>
      <c r="C4" s="85">
        <v>43838</v>
      </c>
      <c r="D4"/>
      <c r="E4">
        <v>400</v>
      </c>
      <c r="F4" t="s">
        <v>136</v>
      </c>
      <c r="G4"/>
      <c r="H4" t="s">
        <v>137</v>
      </c>
      <c r="I4"/>
      <c r="J4"/>
      <c r="K4" s="16">
        <f>IF(ISERROR($N4),"ErrorInVOEN",COUNTIFS(Report_SalesAndReceivables!$A:$A,$N4))</f>
        <v>1</v>
      </c>
      <c r="L4" s="13">
        <f t="shared" si="0"/>
        <v>43838</v>
      </c>
      <c r="M4" s="17" t="str">
        <f>IF($L4&lt;fx_Choosen_DateStart,"prev",IF(AND($L4&gt;=fx_Choosen_DateStart,$L4&lt;=fx_Choosen_DateEnd),"current","post"))</f>
        <v>prev</v>
      </c>
      <c r="N4" s="18" t="str">
        <f t="shared" si="1"/>
        <v>v_1001000041</v>
      </c>
      <c r="O4" s="18" t="str">
        <f>IFERROR(LEFT(tab_Bank[[#This Row],[Göndərənin/Alanın Adı
Sender / Beneficiary Name]],SEARCH(REPLACE(tab_Bank[[#This Row],[VOEN_edited]],1,2,""),tab_Bank[[#This Row],[Göndərənin/Alanın Adı
Sender / Beneficiary Name]])-1),"")</f>
        <v xml:space="preserve">WEFINIX LLC
</v>
      </c>
    </row>
    <row r="5" spans="1:21" s="19" customFormat="1" x14ac:dyDescent="0.3">
      <c r="A5" s="15"/>
      <c r="B5"/>
      <c r="C5" s="85">
        <v>43861</v>
      </c>
      <c r="D5"/>
      <c r="E5">
        <v>100</v>
      </c>
      <c r="F5"/>
      <c r="G5"/>
      <c r="H5" t="s">
        <v>137</v>
      </c>
      <c r="I5"/>
      <c r="J5"/>
      <c r="K5" s="16">
        <f>IF(ISERROR($N5),"ErrorInVOEN",COUNTIFS(Report_SalesAndReceivables!$A:$A,$N5))</f>
        <v>1</v>
      </c>
      <c r="L5" s="13">
        <f t="shared" si="0"/>
        <v>43861</v>
      </c>
      <c r="M5" s="17" t="str">
        <f>IF($L5&lt;fx_Choosen_DateStart,"prev",IF(AND($L5&gt;=fx_Choosen_DateStart,$L5&lt;=fx_Choosen_DateEnd),"current","post"))</f>
        <v>prev</v>
      </c>
      <c r="N5" s="18" t="str">
        <f t="shared" si="1"/>
        <v>v_1001000041</v>
      </c>
      <c r="O5" s="18" t="str">
        <f>IFERROR(LEFT(tab_Bank[[#This Row],[Göndərənin/Alanın Adı
Sender / Beneficiary Name]],SEARCH(REPLACE(tab_Bank[[#This Row],[VOEN_edited]],1,2,""),tab_Bank[[#This Row],[Göndərənin/Alanın Adı
Sender / Beneficiary Name]])-1),"")</f>
        <v xml:space="preserve">WEFINIX LLC
</v>
      </c>
    </row>
    <row r="6" spans="1:21" s="19" customFormat="1" x14ac:dyDescent="0.3">
      <c r="A6" s="15"/>
      <c r="B6"/>
      <c r="C6" s="85">
        <v>43862</v>
      </c>
      <c r="D6"/>
      <c r="E6">
        <v>2000</v>
      </c>
      <c r="F6" t="s">
        <v>136</v>
      </c>
      <c r="G6"/>
      <c r="H6" t="s">
        <v>137</v>
      </c>
      <c r="I6"/>
      <c r="J6"/>
      <c r="K6" s="16">
        <f>IF(ISERROR($N6),"ErrorInVOEN",COUNTIFS(Report_SalesAndReceivables!$A:$A,$N6))</f>
        <v>1</v>
      </c>
      <c r="L6" s="13">
        <f t="shared" si="0"/>
        <v>43862</v>
      </c>
      <c r="M6" s="17" t="str">
        <f>IF($L6&lt;fx_Choosen_DateStart,"prev",IF(AND($L6&gt;=fx_Choosen_DateStart,$L6&lt;=fx_Choosen_DateEnd),"current","post"))</f>
        <v>prev</v>
      </c>
      <c r="N6" s="18" t="str">
        <f t="shared" si="1"/>
        <v>v_1001000041</v>
      </c>
      <c r="O6" s="18" t="str">
        <f>IFERROR(LEFT(tab_Bank[[#This Row],[Göndərənin/Alanın Adı
Sender / Beneficiary Name]],SEARCH(REPLACE(tab_Bank[[#This Row],[VOEN_edited]],1,2,""),tab_Bank[[#This Row],[Göndərənin/Alanın Adı
Sender / Beneficiary Name]])-1),"")</f>
        <v xml:space="preserve">WEFINIX LLC
</v>
      </c>
    </row>
    <row r="7" spans="1:21" s="19" customFormat="1" x14ac:dyDescent="0.3">
      <c r="C7" s="14"/>
      <c r="E7" s="14"/>
      <c r="H7" s="28"/>
      <c r="K7" s="20"/>
      <c r="L7" s="20"/>
      <c r="M7" s="20"/>
      <c r="N7" s="20"/>
      <c r="O7" s="21"/>
    </row>
    <row r="8" spans="1:21" s="19" customFormat="1" x14ac:dyDescent="0.3">
      <c r="C8" s="14"/>
      <c r="E8" s="14"/>
      <c r="H8" s="26"/>
      <c r="K8" s="20"/>
      <c r="L8" s="20"/>
      <c r="M8" s="20"/>
      <c r="N8" s="20"/>
      <c r="O8" s="21"/>
    </row>
    <row r="9" spans="1:21" x14ac:dyDescent="0.3">
      <c r="N9" s="12"/>
    </row>
    <row r="10" spans="1:21" x14ac:dyDescent="0.3">
      <c r="N10" s="12"/>
      <c r="O10" s="13"/>
    </row>
    <row r="11" spans="1:21" x14ac:dyDescent="0.3">
      <c r="N11" s="12"/>
    </row>
    <row r="12" spans="1:21" x14ac:dyDescent="0.3">
      <c r="N12" s="12"/>
    </row>
    <row r="13" spans="1:21" x14ac:dyDescent="0.3">
      <c r="N13" s="12"/>
    </row>
    <row r="14" spans="1:21" x14ac:dyDescent="0.3">
      <c r="N14" s="12"/>
    </row>
    <row r="15" spans="1:21" x14ac:dyDescent="0.3">
      <c r="N15" s="12"/>
    </row>
    <row r="16" spans="1:21" x14ac:dyDescent="0.3">
      <c r="N16" s="12"/>
    </row>
    <row r="17" spans="14:14" x14ac:dyDescent="0.3">
      <c r="N17" s="12"/>
    </row>
    <row r="18" spans="14:14" x14ac:dyDescent="0.3">
      <c r="N18" s="12"/>
    </row>
    <row r="19" spans="14:14" x14ac:dyDescent="0.3">
      <c r="N19" s="12"/>
    </row>
    <row r="20" spans="14:14" x14ac:dyDescent="0.3">
      <c r="N20" s="12"/>
    </row>
    <row r="21" spans="14:14" x14ac:dyDescent="0.3">
      <c r="N21" s="12"/>
    </row>
    <row r="22" spans="14:14" x14ac:dyDescent="0.3">
      <c r="N22" s="12"/>
    </row>
    <row r="23" spans="14:14" x14ac:dyDescent="0.3">
      <c r="N23" s="12"/>
    </row>
    <row r="24" spans="14:14" x14ac:dyDescent="0.3">
      <c r="N24" s="12"/>
    </row>
    <row r="25" spans="14:14" x14ac:dyDescent="0.3">
      <c r="N25" s="12"/>
    </row>
    <row r="26" spans="14:14" x14ac:dyDescent="0.3">
      <c r="N26" s="12"/>
    </row>
    <row r="27" spans="14:14" x14ac:dyDescent="0.3">
      <c r="N27" s="12"/>
    </row>
    <row r="28" spans="14:14" x14ac:dyDescent="0.3">
      <c r="N28" s="12"/>
    </row>
    <row r="29" spans="14:14" x14ac:dyDescent="0.3">
      <c r="N29" s="12"/>
    </row>
    <row r="30" spans="14:14" x14ac:dyDescent="0.3">
      <c r="N30" s="12"/>
    </row>
    <row r="31" spans="14:14" x14ac:dyDescent="0.3">
      <c r="N31" s="12"/>
    </row>
    <row r="32" spans="14:14" x14ac:dyDescent="0.3">
      <c r="N32" s="12"/>
    </row>
    <row r="33" spans="14:14" x14ac:dyDescent="0.3">
      <c r="N33" s="12"/>
    </row>
    <row r="34" spans="14:14" x14ac:dyDescent="0.3">
      <c r="N34" s="12"/>
    </row>
    <row r="35" spans="14:14" x14ac:dyDescent="0.3">
      <c r="N35" s="12"/>
    </row>
    <row r="36" spans="14:14" x14ac:dyDescent="0.3">
      <c r="N36" s="12"/>
    </row>
    <row r="37" spans="14:14" x14ac:dyDescent="0.3">
      <c r="N37" s="12"/>
    </row>
    <row r="38" spans="14:14" x14ac:dyDescent="0.3">
      <c r="N38" s="12"/>
    </row>
    <row r="39" spans="14:14" x14ac:dyDescent="0.3">
      <c r="N39" s="12"/>
    </row>
    <row r="40" spans="14:14" x14ac:dyDescent="0.3">
      <c r="N40" s="12"/>
    </row>
    <row r="41" spans="14:14" x14ac:dyDescent="0.3">
      <c r="N41" s="12"/>
    </row>
    <row r="42" spans="14:14" x14ac:dyDescent="0.3">
      <c r="N42" s="12"/>
    </row>
    <row r="43" spans="14:14" x14ac:dyDescent="0.3">
      <c r="N43" s="12"/>
    </row>
    <row r="44" spans="14:14" x14ac:dyDescent="0.3">
      <c r="N44" s="12"/>
    </row>
    <row r="45" spans="14:14" x14ac:dyDescent="0.3">
      <c r="N45" s="12"/>
    </row>
    <row r="46" spans="14:14" x14ac:dyDescent="0.3">
      <c r="N46" s="12"/>
    </row>
    <row r="47" spans="14:14" x14ac:dyDescent="0.3">
      <c r="N47" s="12"/>
    </row>
    <row r="48" spans="14:14" x14ac:dyDescent="0.3">
      <c r="N48" s="12"/>
    </row>
    <row r="49" spans="14:14" x14ac:dyDescent="0.3">
      <c r="N49" s="12"/>
    </row>
    <row r="50" spans="14:14" x14ac:dyDescent="0.3">
      <c r="N50" s="12"/>
    </row>
    <row r="51" spans="14:14" x14ac:dyDescent="0.3">
      <c r="N51" s="12"/>
    </row>
    <row r="52" spans="14:14" x14ac:dyDescent="0.3">
      <c r="N52" s="12"/>
    </row>
    <row r="53" spans="14:14" x14ac:dyDescent="0.3">
      <c r="N53" s="12"/>
    </row>
    <row r="54" spans="14:14" x14ac:dyDescent="0.3">
      <c r="N54" s="12"/>
    </row>
    <row r="55" spans="14:14" x14ac:dyDescent="0.3">
      <c r="N55" s="12"/>
    </row>
    <row r="56" spans="14:14" x14ac:dyDescent="0.3">
      <c r="N56" s="12"/>
    </row>
    <row r="57" spans="14:14" x14ac:dyDescent="0.3">
      <c r="N57" s="12"/>
    </row>
    <row r="58" spans="14:14" x14ac:dyDescent="0.3">
      <c r="N58" s="12"/>
    </row>
    <row r="59" spans="14:14" x14ac:dyDescent="0.3">
      <c r="N59" s="12"/>
    </row>
    <row r="60" spans="14:14" x14ac:dyDescent="0.3">
      <c r="N60" s="12"/>
    </row>
    <row r="61" spans="14:14" x14ac:dyDescent="0.3">
      <c r="N61" s="12"/>
    </row>
    <row r="62" spans="14:14" x14ac:dyDescent="0.3">
      <c r="N62" s="12"/>
    </row>
    <row r="63" spans="14:14" x14ac:dyDescent="0.3">
      <c r="N63" s="12"/>
    </row>
    <row r="64" spans="14:14" x14ac:dyDescent="0.3">
      <c r="N64" s="12"/>
    </row>
    <row r="65" spans="14:14" x14ac:dyDescent="0.3">
      <c r="N65" s="12"/>
    </row>
    <row r="66" spans="14:14" x14ac:dyDescent="0.3">
      <c r="N66" s="12"/>
    </row>
    <row r="67" spans="14:14" x14ac:dyDescent="0.3">
      <c r="N67" s="12"/>
    </row>
    <row r="68" spans="14:14" x14ac:dyDescent="0.3">
      <c r="N68" s="12"/>
    </row>
    <row r="69" spans="14:14" x14ac:dyDescent="0.3">
      <c r="N69" s="12"/>
    </row>
    <row r="70" spans="14:14" x14ac:dyDescent="0.3">
      <c r="N70" s="12"/>
    </row>
    <row r="71" spans="14:14" x14ac:dyDescent="0.3">
      <c r="N71" s="12"/>
    </row>
    <row r="72" spans="14:14" x14ac:dyDescent="0.3">
      <c r="N72" s="12"/>
    </row>
    <row r="73" spans="14:14" x14ac:dyDescent="0.3">
      <c r="N73" s="12"/>
    </row>
    <row r="74" spans="14:14" x14ac:dyDescent="0.3">
      <c r="N74" s="12"/>
    </row>
    <row r="75" spans="14:14" x14ac:dyDescent="0.3">
      <c r="N75" s="12"/>
    </row>
    <row r="76" spans="14:14" x14ac:dyDescent="0.3">
      <c r="N76" s="12"/>
    </row>
    <row r="77" spans="14:14" x14ac:dyDescent="0.3">
      <c r="N77" s="12"/>
    </row>
    <row r="78" spans="14:14" x14ac:dyDescent="0.3">
      <c r="N78" s="12"/>
    </row>
    <row r="79" spans="14:14" x14ac:dyDescent="0.3">
      <c r="N79" s="12"/>
    </row>
    <row r="80" spans="14:14" x14ac:dyDescent="0.3">
      <c r="N80" s="12"/>
    </row>
    <row r="81" spans="14:14" x14ac:dyDescent="0.3">
      <c r="N81" s="12"/>
    </row>
    <row r="82" spans="14:14" x14ac:dyDescent="0.3">
      <c r="N82" s="12"/>
    </row>
    <row r="83" spans="14:14" x14ac:dyDescent="0.3">
      <c r="N83" s="12"/>
    </row>
  </sheetData>
  <conditionalFormatting sqref="B1:K1048576">
    <cfRule type="expression" dxfId="54" priority="1">
      <formula>AND($K1=0,$K1&lt;&gt;"")</formula>
    </cfRule>
    <cfRule type="expression" dxfId="53" priority="74">
      <formula>$M1="post"</formula>
    </cfRule>
    <cfRule type="expression" dxfId="52" priority="75">
      <formula>$M1="current"</formula>
    </cfRule>
    <cfRule type="expression" dxfId="51" priority="76">
      <formula>$M1="prev"</formula>
    </cfRule>
  </conditionalFormatting>
  <pageMargins left="0.7" right="0.7" top="0.75" bottom="0.75" header="0.3" footer="0.3"/>
  <pageSetup paperSize="9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U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G9"/>
    </sheetView>
  </sheetViews>
  <sheetFormatPr defaultColWidth="9.109375" defaultRowHeight="14.4" outlineLevelCol="1" x14ac:dyDescent="0.3"/>
  <cols>
    <col min="1" max="1" width="1.77734375" style="3" customWidth="1"/>
    <col min="2" max="2" width="16.44140625" style="3" customWidth="1"/>
    <col min="3" max="3" width="12.6640625" style="3" bestFit="1" customWidth="1"/>
    <col min="4" max="4" width="46" style="3" customWidth="1"/>
    <col min="5" max="5" width="13.33203125" style="3" customWidth="1"/>
    <col min="6" max="6" width="13" style="3" customWidth="1"/>
    <col min="7" max="7" width="52.88671875" style="3" customWidth="1"/>
    <col min="8" max="9" width="14.77734375" style="1" hidden="1" customWidth="1" outlineLevel="1"/>
    <col min="10" max="10" width="11.88671875" style="1" hidden="1" customWidth="1" outlineLevel="1"/>
    <col min="11" max="11" width="9.109375" style="24" hidden="1" customWidth="1" outlineLevel="1"/>
    <col min="12" max="12" width="9.109375" style="3" collapsed="1"/>
    <col min="13" max="16384" width="9.109375" style="3"/>
  </cols>
  <sheetData>
    <row r="1" spans="2:21" s="2" customFormat="1" x14ac:dyDescent="0.3">
      <c r="B1" s="3"/>
      <c r="C1" s="3"/>
      <c r="D1" s="3"/>
      <c r="E1" s="3"/>
      <c r="F1" s="3"/>
      <c r="G1" s="3"/>
      <c r="H1" s="3"/>
      <c r="I1" s="3"/>
      <c r="J1" s="3"/>
      <c r="K1" s="3"/>
      <c r="N1" s="3"/>
      <c r="O1" s="3"/>
      <c r="P1" s="3"/>
      <c r="Q1" s="1"/>
      <c r="R1" s="1"/>
      <c r="S1" s="1"/>
      <c r="T1" s="1"/>
      <c r="U1" s="1"/>
    </row>
    <row r="2" spans="2:21" s="30" customFormat="1" ht="32.4" customHeight="1" x14ac:dyDescent="0.3">
      <c r="B2" s="30" t="s">
        <v>44</v>
      </c>
      <c r="C2" s="30" t="s">
        <v>1</v>
      </c>
      <c r="D2" s="30" t="s">
        <v>45</v>
      </c>
      <c r="E2" s="30" t="s">
        <v>46</v>
      </c>
      <c r="F2" s="30" t="s">
        <v>47</v>
      </c>
      <c r="G2" s="30" t="s">
        <v>48</v>
      </c>
      <c r="H2" s="30" t="s">
        <v>24</v>
      </c>
      <c r="I2" s="30" t="s">
        <v>15</v>
      </c>
      <c r="J2" s="30" t="s">
        <v>69</v>
      </c>
      <c r="K2" s="30" t="s">
        <v>70</v>
      </c>
    </row>
    <row r="3" spans="2:21" x14ac:dyDescent="0.3">
      <c r="B3" s="85">
        <v>43472</v>
      </c>
      <c r="C3">
        <v>1001000041</v>
      </c>
      <c r="D3" t="s">
        <v>90</v>
      </c>
      <c r="E3">
        <v>363.42</v>
      </c>
      <c r="F3"/>
      <c r="G3"/>
      <c r="H3" s="1">
        <f t="shared" ref="H3:H6" si="0">IF(ISERROR($I3),"ErrorInVOEN",COUNTIFS(fx_Rep_VOEN,$I3))</f>
        <v>1</v>
      </c>
      <c r="I3" s="1" t="str">
        <f t="shared" ref="I3:I6" si="1">"v_"&amp;$C3</f>
        <v>v_1001000041</v>
      </c>
      <c r="J3" s="10">
        <f t="shared" ref="J3:J6" si="2">$B3</f>
        <v>43472</v>
      </c>
      <c r="K3" s="6" t="str">
        <f t="shared" ref="K3:K6" si="3">IF($J3&lt;fx_Choosen_DateStart,"prev",IF(AND($J3&gt;=fx_Choosen_DateStart,$J3&lt;=fx_Choosen_DateEnd),"current","post"))</f>
        <v>prev</v>
      </c>
    </row>
    <row r="4" spans="2:21" x14ac:dyDescent="0.3">
      <c r="B4" s="85">
        <v>43466</v>
      </c>
      <c r="C4" t="s">
        <v>102</v>
      </c>
      <c r="D4" t="s">
        <v>103</v>
      </c>
      <c r="E4">
        <v>900</v>
      </c>
      <c r="F4"/>
      <c r="G4"/>
      <c r="H4" s="1">
        <f t="shared" si="0"/>
        <v>1</v>
      </c>
      <c r="I4" s="1" t="str">
        <f t="shared" si="1"/>
        <v>v_0901000041</v>
      </c>
      <c r="J4" s="10">
        <f t="shared" si="2"/>
        <v>43466</v>
      </c>
      <c r="K4" s="6" t="str">
        <f t="shared" si="3"/>
        <v>prev</v>
      </c>
    </row>
    <row r="5" spans="2:21" x14ac:dyDescent="0.3">
      <c r="B5" s="85">
        <v>43838</v>
      </c>
      <c r="C5">
        <v>1001000041</v>
      </c>
      <c r="D5"/>
      <c r="E5">
        <v>0</v>
      </c>
      <c r="F5"/>
      <c r="G5"/>
      <c r="H5" s="1">
        <f t="shared" si="0"/>
        <v>1</v>
      </c>
      <c r="I5" s="1" t="str">
        <f t="shared" si="1"/>
        <v>v_1001000041</v>
      </c>
      <c r="J5" s="10">
        <f t="shared" si="2"/>
        <v>43838</v>
      </c>
      <c r="K5" s="6" t="str">
        <f t="shared" si="3"/>
        <v>prev</v>
      </c>
    </row>
    <row r="6" spans="2:21" x14ac:dyDescent="0.3">
      <c r="B6" s="85">
        <v>43861</v>
      </c>
      <c r="C6" t="s">
        <v>102</v>
      </c>
      <c r="D6"/>
      <c r="E6">
        <v>100</v>
      </c>
      <c r="F6"/>
      <c r="G6"/>
      <c r="H6" s="1">
        <f t="shared" si="0"/>
        <v>1</v>
      </c>
      <c r="I6" s="1" t="str">
        <f t="shared" si="1"/>
        <v>v_0901000041</v>
      </c>
      <c r="J6" s="10">
        <f t="shared" si="2"/>
        <v>43861</v>
      </c>
      <c r="K6" s="6" t="str">
        <f t="shared" si="3"/>
        <v>prev</v>
      </c>
    </row>
    <row r="7" spans="2:21" x14ac:dyDescent="0.3">
      <c r="B7" s="85">
        <v>43862</v>
      </c>
      <c r="C7" t="s">
        <v>102</v>
      </c>
      <c r="D7"/>
      <c r="E7">
        <v>222</v>
      </c>
      <c r="F7"/>
      <c r="G7"/>
      <c r="H7" s="84">
        <f>IF(ISERROR($I7),"ErrorInVOEN",COUNTIFS(fx_Rep_VOEN,$I7))</f>
        <v>1</v>
      </c>
      <c r="I7" s="84" t="str">
        <f t="shared" ref="I7:I9" si="4">"v_"&amp;$C7</f>
        <v>v_0901000041</v>
      </c>
      <c r="J7" s="80">
        <f t="shared" ref="J7:J9" si="5">$B7</f>
        <v>43862</v>
      </c>
      <c r="K7" s="84" t="str">
        <f>IF($J7&lt;fx_Choosen_DateStart,"prev",IF(AND($J7&gt;=fx_Choosen_DateStart,$J7&lt;=fx_Choosen_DateEnd),"current","post"))</f>
        <v>prev</v>
      </c>
    </row>
    <row r="8" spans="2:21" x14ac:dyDescent="0.3">
      <c r="B8" s="85">
        <v>43891</v>
      </c>
      <c r="C8" t="s">
        <v>102</v>
      </c>
      <c r="D8"/>
      <c r="E8">
        <v>90</v>
      </c>
      <c r="F8"/>
      <c r="G8"/>
      <c r="H8" s="84">
        <f>IF(ISERROR($I8),"ErrorInVOEN",COUNTIFS(fx_Rep_VOEN,$I8))</f>
        <v>1</v>
      </c>
      <c r="I8" s="84" t="str">
        <f t="shared" si="4"/>
        <v>v_0901000041</v>
      </c>
      <c r="J8" s="80">
        <f t="shared" si="5"/>
        <v>43891</v>
      </c>
      <c r="K8" s="84" t="str">
        <f>IF($J8&lt;fx_Choosen_DateStart,"prev",IF(AND($J8&gt;=fx_Choosen_DateStart,$J8&lt;=fx_Choosen_DateEnd),"current","post"))</f>
        <v>prev</v>
      </c>
    </row>
    <row r="9" spans="2:21" x14ac:dyDescent="0.3">
      <c r="B9" s="85">
        <v>43922</v>
      </c>
      <c r="C9" t="s">
        <v>102</v>
      </c>
      <c r="D9"/>
      <c r="E9">
        <v>13.5</v>
      </c>
      <c r="F9"/>
      <c r="G9"/>
      <c r="H9" s="84">
        <f>IF(ISERROR($I9),"ErrorInVOEN",COUNTIFS(fx_Rep_VOEN,$I9))</f>
        <v>1</v>
      </c>
      <c r="I9" s="84" t="str">
        <f t="shared" si="4"/>
        <v>v_0901000041</v>
      </c>
      <c r="J9" s="80">
        <f t="shared" si="5"/>
        <v>43922</v>
      </c>
      <c r="K9" s="84" t="str">
        <f>IF($J9&lt;fx_Choosen_DateStart,"prev",IF(AND($J9&gt;=fx_Choosen_DateStart,$J9&lt;=fx_Choosen_DateEnd),"current","post"))</f>
        <v>prev</v>
      </c>
    </row>
  </sheetData>
  <conditionalFormatting sqref="B1:H1048576">
    <cfRule type="expression" dxfId="34" priority="9">
      <formula>AND($H1=0,$H1&lt;&gt;"")</formula>
    </cfRule>
    <cfRule type="expression" dxfId="33" priority="10">
      <formula>$K1="post"</formula>
    </cfRule>
    <cfRule type="expression" dxfId="32" priority="11">
      <formula>$K1="current"</formula>
    </cfRule>
    <cfRule type="expression" dxfId="31" priority="21">
      <formula>$K1="prev"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9A3A3"/>
  </sheetPr>
  <dimension ref="A1:J15"/>
  <sheetViews>
    <sheetView showGridLines="0" zoomScale="85" zoomScaleNormal="85" workbookViewId="0">
      <pane ySplit="1" topLeftCell="A2" activePane="bottomLeft" state="frozen"/>
      <selection activeCell="A11" sqref="A11:A21"/>
      <selection pane="bottomLeft" activeCell="B11" sqref="B11"/>
    </sheetView>
  </sheetViews>
  <sheetFormatPr defaultRowHeight="14.4" x14ac:dyDescent="0.3"/>
  <cols>
    <col min="1" max="1" width="15.88671875" style="7" bestFit="1" customWidth="1"/>
    <col min="2" max="2" width="19.5546875" style="7" customWidth="1"/>
    <col min="3" max="3" width="17.5546875" style="7" customWidth="1"/>
    <col min="4" max="4" width="51.88671875" style="7" customWidth="1"/>
    <col min="5" max="5" width="35.88671875" style="7" bestFit="1" customWidth="1"/>
    <col min="6" max="6" width="1" style="76" customWidth="1"/>
    <col min="7" max="7" width="20.5546875" style="7" bestFit="1" customWidth="1"/>
    <col min="8" max="8" width="15.109375" style="7" bestFit="1" customWidth="1"/>
    <col min="9" max="9" width="12.88671875" style="7" bestFit="1" customWidth="1"/>
    <col min="10" max="10" width="1" style="76" customWidth="1"/>
    <col min="11" max="16384" width="8.88671875" style="7"/>
  </cols>
  <sheetData>
    <row r="1" spans="1:9" x14ac:dyDescent="0.3">
      <c r="A1" s="78" t="s">
        <v>51</v>
      </c>
      <c r="B1" s="78" t="s">
        <v>15</v>
      </c>
      <c r="C1" s="78" t="s">
        <v>114</v>
      </c>
      <c r="D1" s="78" t="s">
        <v>106</v>
      </c>
      <c r="E1" s="78" t="s">
        <v>50</v>
      </c>
      <c r="G1" s="78" t="s">
        <v>53</v>
      </c>
      <c r="H1" s="78" t="s">
        <v>88</v>
      </c>
      <c r="I1" s="78" t="s">
        <v>87</v>
      </c>
    </row>
    <row r="2" spans="1:9" x14ac:dyDescent="0.3">
      <c r="A2" s="8" t="str">
        <f t="shared" ref="A2:A7" si="0">IF(OR(LEN(B2)=10,LEN(B2)=9),"v_"&amp;B2,"errorr")</f>
        <v>v_1001000041</v>
      </c>
      <c r="B2" s="7">
        <v>1001000041</v>
      </c>
      <c r="C2" s="7" t="s">
        <v>107</v>
      </c>
      <c r="D2" s="7" t="s">
        <v>90</v>
      </c>
      <c r="E2" s="7" t="s">
        <v>96</v>
      </c>
      <c r="G2" s="7" t="s">
        <v>54</v>
      </c>
      <c r="H2" s="25">
        <f>DATE(RIGHT($G2,4),MATCH($G2,map!$G$2:$G$13,0),1)</f>
        <v>43831</v>
      </c>
      <c r="I2" s="7" t="s">
        <v>31</v>
      </c>
    </row>
    <row r="3" spans="1:9" x14ac:dyDescent="0.3">
      <c r="A3" s="8" t="str">
        <f t="shared" si="0"/>
        <v>v_1001000043</v>
      </c>
      <c r="B3" s="7">
        <v>1001000043</v>
      </c>
      <c r="C3" s="7" t="s">
        <v>108</v>
      </c>
      <c r="D3" s="7" t="s">
        <v>91</v>
      </c>
      <c r="E3" s="7" t="s">
        <v>97</v>
      </c>
      <c r="G3" s="7" t="s">
        <v>55</v>
      </c>
      <c r="H3" s="25">
        <f>DATE(RIGHT($G3,4),MATCH($G3,map!$G$2:$G$13,0),1)</f>
        <v>43862</v>
      </c>
      <c r="I3" s="7" t="s">
        <v>76</v>
      </c>
    </row>
    <row r="4" spans="1:9" x14ac:dyDescent="0.3">
      <c r="A4" s="8" t="str">
        <f t="shared" si="0"/>
        <v>v_1001000044</v>
      </c>
      <c r="B4" s="7">
        <v>1001000044</v>
      </c>
      <c r="C4" s="7" t="s">
        <v>109</v>
      </c>
      <c r="D4" s="7" t="s">
        <v>92</v>
      </c>
      <c r="E4" s="7" t="s">
        <v>98</v>
      </c>
      <c r="G4" s="7" t="s">
        <v>56</v>
      </c>
      <c r="H4" s="25">
        <f>DATE(RIGHT($G4,4),MATCH($G4,map!$G$2:$G$13,0),1)</f>
        <v>43891</v>
      </c>
      <c r="I4" s="7" t="s">
        <v>77</v>
      </c>
    </row>
    <row r="5" spans="1:9" x14ac:dyDescent="0.3">
      <c r="A5" s="8" t="str">
        <f t="shared" si="0"/>
        <v>v_1001000045</v>
      </c>
      <c r="B5" s="7">
        <v>1001000045</v>
      </c>
      <c r="C5" s="7" t="s">
        <v>110</v>
      </c>
      <c r="D5" s="7" t="s">
        <v>93</v>
      </c>
      <c r="E5" s="7" t="s">
        <v>99</v>
      </c>
      <c r="G5" s="7" t="s">
        <v>57</v>
      </c>
      <c r="H5" s="25">
        <f>DATE(RIGHT($G5,4),MATCH($G5,map!$G$2:$G$13,0),1)</f>
        <v>43922</v>
      </c>
      <c r="I5" s="7" t="s">
        <v>78</v>
      </c>
    </row>
    <row r="6" spans="1:9" x14ac:dyDescent="0.3">
      <c r="A6" s="8" t="str">
        <f t="shared" si="0"/>
        <v>v_1001000046</v>
      </c>
      <c r="B6" s="7">
        <v>1001000046</v>
      </c>
      <c r="C6" s="7" t="s">
        <v>111</v>
      </c>
      <c r="D6" s="7" t="s">
        <v>94</v>
      </c>
      <c r="E6" s="7" t="s">
        <v>100</v>
      </c>
      <c r="G6" s="9" t="s">
        <v>66</v>
      </c>
      <c r="H6" s="25">
        <f>DATE(RIGHT($G6,4),MATCH($G6,map!$G$2:$G$13,0),1)</f>
        <v>43952</v>
      </c>
      <c r="I6" s="7" t="s">
        <v>79</v>
      </c>
    </row>
    <row r="7" spans="1:9" x14ac:dyDescent="0.3">
      <c r="A7" s="8" t="str">
        <f t="shared" si="0"/>
        <v>v_1001000047</v>
      </c>
      <c r="B7" s="7">
        <v>1001000047</v>
      </c>
      <c r="C7" s="7" t="s">
        <v>112</v>
      </c>
      <c r="D7" s="7" t="s">
        <v>95</v>
      </c>
      <c r="E7" s="7" t="s">
        <v>101</v>
      </c>
      <c r="G7" s="7" t="s">
        <v>58</v>
      </c>
      <c r="H7" s="25">
        <f>DATE(RIGHT($G7,4),MATCH($G7,map!$G$2:$G$13,0),1)</f>
        <v>43983</v>
      </c>
      <c r="I7" s="7" t="s">
        <v>80</v>
      </c>
    </row>
    <row r="8" spans="1:9" x14ac:dyDescent="0.3">
      <c r="A8" s="8" t="str">
        <f>IF(OR(LEN(B8)=10,LEN(B8)=9),"v_"&amp;B8,"errorr")</f>
        <v>v_0901000041</v>
      </c>
      <c r="B8" s="9" t="s">
        <v>102</v>
      </c>
      <c r="C8" s="7" t="s">
        <v>113</v>
      </c>
      <c r="D8" s="7" t="s">
        <v>103</v>
      </c>
      <c r="E8" s="7" t="s">
        <v>96</v>
      </c>
      <c r="G8" s="7" t="s">
        <v>59</v>
      </c>
      <c r="H8" s="25">
        <f>DATE(RIGHT($G8,4),MATCH($G8,map!$G$2:$G$13,0),1)</f>
        <v>44013</v>
      </c>
      <c r="I8" s="7" t="s">
        <v>81</v>
      </c>
    </row>
    <row r="9" spans="1:9" x14ac:dyDescent="0.3">
      <c r="A9" s="29" t="str">
        <f>IF(OR(LEN(B9)=10,LEN(B9)=9),"v_"&amp;B9,"errorr")</f>
        <v>v_1001000042</v>
      </c>
      <c r="B9" s="7">
        <v>1001000042</v>
      </c>
      <c r="G9" s="7" t="s">
        <v>60</v>
      </c>
      <c r="H9" s="25">
        <f>DATE(RIGHT($G9,4),MATCH($G9,map!$G$2:$G$13,0),1)</f>
        <v>44044</v>
      </c>
      <c r="I9" s="7" t="s">
        <v>82</v>
      </c>
    </row>
    <row r="10" spans="1:9" x14ac:dyDescent="0.3">
      <c r="A10" s="29" t="str">
        <f>IF(OR(LEN(B10)=10,LEN(B10)=9),"v_"&amp;B10,"errorr")</f>
        <v>v_1001000049</v>
      </c>
      <c r="B10" s="7">
        <v>1001000049</v>
      </c>
      <c r="C10" s="7" t="s">
        <v>105</v>
      </c>
      <c r="G10" s="7" t="s">
        <v>61</v>
      </c>
      <c r="H10" s="25">
        <f>DATE(RIGHT($G10,4),MATCH($G10,map!$G$2:$G$13,0),1)</f>
        <v>44075</v>
      </c>
      <c r="I10" s="7" t="s">
        <v>83</v>
      </c>
    </row>
    <row r="11" spans="1:9" x14ac:dyDescent="0.3">
      <c r="A11" s="86" t="str">
        <f>IF(OR(LEN(B11)=10,LEN(B11)=9),"v_"&amp;B11,"errorr")</f>
        <v>v_1001000051</v>
      </c>
      <c r="B11" s="7">
        <v>1001000051</v>
      </c>
      <c r="C11" s="7" t="s">
        <v>138</v>
      </c>
      <c r="G11" s="7" t="s">
        <v>62</v>
      </c>
      <c r="H11" s="25">
        <f>DATE(RIGHT($G11,4),MATCH($G11,map!$G$2:$G$13,0),1)</f>
        <v>44105</v>
      </c>
      <c r="I11" s="7" t="s">
        <v>84</v>
      </c>
    </row>
    <row r="12" spans="1:9" x14ac:dyDescent="0.3">
      <c r="A12" s="8"/>
      <c r="G12" s="7" t="s">
        <v>64</v>
      </c>
      <c r="H12" s="25">
        <f>DATE(RIGHT($G12,4),MATCH($G12,map!$G$2:$G$13,0),1)</f>
        <v>44136</v>
      </c>
      <c r="I12" s="7" t="s">
        <v>85</v>
      </c>
    </row>
    <row r="13" spans="1:9" x14ac:dyDescent="0.3">
      <c r="A13" s="8"/>
      <c r="G13" s="7" t="s">
        <v>63</v>
      </c>
      <c r="H13" s="25">
        <f>DATE(RIGHT($G13,4),MATCH($G13,map!$G$2:$G$13,0),1)</f>
        <v>44166</v>
      </c>
      <c r="I13" s="7" t="s">
        <v>86</v>
      </c>
    </row>
    <row r="14" spans="1:9" x14ac:dyDescent="0.3">
      <c r="A14" s="8"/>
    </row>
    <row r="15" spans="1:9" x14ac:dyDescent="0.3">
      <c r="A15" s="8"/>
    </row>
  </sheetData>
  <conditionalFormatting sqref="B16:B1048576 B1">
    <cfRule type="duplicateValues" dxfId="18" priority="40"/>
  </conditionalFormatting>
  <conditionalFormatting sqref="B2:B7 B11:B15">
    <cfRule type="duplicateValues" dxfId="17" priority="5"/>
  </conditionalFormatting>
  <conditionalFormatting sqref="B8">
    <cfRule type="duplicateValues" dxfId="16" priority="3"/>
  </conditionalFormatting>
  <conditionalFormatting sqref="B9:B10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R24"/>
  <sheetViews>
    <sheetView showGridLines="0" tabSelected="1" zoomScale="70" zoomScaleNormal="70" workbookViewId="0">
      <pane ySplit="11" topLeftCell="A12" activePane="bottomLeft" state="frozen"/>
      <selection activeCell="C5" sqref="C5"/>
      <selection pane="bottomLeft" activeCell="E12" sqref="E12"/>
    </sheetView>
  </sheetViews>
  <sheetFormatPr defaultColWidth="0" defaultRowHeight="14.4" outlineLevelRow="1" x14ac:dyDescent="0.3"/>
  <cols>
    <col min="1" max="1" width="2.44140625" style="31" customWidth="1"/>
    <col min="2" max="2" width="5.109375" style="33" customWidth="1"/>
    <col min="3" max="3" width="8.77734375" style="33" customWidth="1"/>
    <col min="4" max="4" width="15" style="33" customWidth="1"/>
    <col min="5" max="5" width="55.44140625" style="34" customWidth="1"/>
    <col min="6" max="8" width="12.33203125" style="33" customWidth="1"/>
    <col min="9" max="9" width="10.33203125" style="33" customWidth="1"/>
    <col min="10" max="13" width="12.33203125" style="33" customWidth="1"/>
    <col min="14" max="14" width="14.109375" style="33" customWidth="1"/>
    <col min="15" max="17" width="12.33203125" style="33" customWidth="1"/>
    <col min="18" max="18" width="8.44140625" style="33" customWidth="1"/>
    <col min="19" max="16384" width="8.88671875" style="33" hidden="1"/>
  </cols>
  <sheetData>
    <row r="1" spans="1:17" ht="15.6" hidden="1" outlineLevel="1" x14ac:dyDescent="0.3">
      <c r="B1" s="32"/>
      <c r="C1" s="70">
        <f>DATE(RIGHT($J$8,4),MATCH($J$8,map!$G$2:$G$13,0),1)</f>
        <v>43983</v>
      </c>
      <c r="E1" s="71" t="s">
        <v>26</v>
      </c>
      <c r="F1" s="72">
        <f>ROUND((SUMIFS(fx_Eqaime_Esas,fx_Eqaime_Compare,"prev")-SUMIFS(fx_Bank_Esas,fx_Bank_Compare,"prev"))-(SUM($F12:$F1048576)-SUM($H12:$H1048576)),5)</f>
        <v>0</v>
      </c>
      <c r="G1" s="73">
        <f>ROUND((SUMIFS(fx_Eqaime_Edv,fx_Eqaime_Compare,"prev")-SUMIFS(fx_Edv_Edv,fx_Edv_Compare,"prev"))-(SUM($G12:$G1048576)-SUM($I12:$I1048576)),5)</f>
        <v>0</v>
      </c>
      <c r="H1" s="73"/>
      <c r="I1" s="73"/>
      <c r="J1" s="74">
        <f>ROUND(SUMIFS(fx_Eqaime_Esas,fx_Eqaime_Compare,"current")-SUM($J12:$J1048576),5)</f>
        <v>0</v>
      </c>
      <c r="K1" s="75">
        <f>ROUND(SUMIFS(fx_Eqaime_Edv,fx_Eqaime_Compare,"current")-SUM($K12:$K1048576),5)</f>
        <v>0</v>
      </c>
      <c r="L1" s="75">
        <f>ROUND(SUMIFS(fx_Bank_Esas,fx_Bank_Compare,"current")-SUM($L12:$L1048576),5)</f>
        <v>0</v>
      </c>
      <c r="M1" s="75">
        <f>ROUND(SUMIFS(fx_Edv_Edv,fx_Edv_Compare,"current")-SUM($M12:$M1048576),5)</f>
        <v>0</v>
      </c>
    </row>
    <row r="2" spans="1:17" s="39" customFormat="1" ht="36" hidden="1" customHeight="1" outlineLevel="1" x14ac:dyDescent="0.3">
      <c r="A2" s="31"/>
      <c r="B2" s="35"/>
      <c r="C2" s="46">
        <f>COUNTIFS(fx_Eqaime_IsNew,0)</f>
        <v>0</v>
      </c>
      <c r="D2" s="36" t="str">
        <f>IFERROR(INDEX(fx_Eqaime_VOEN,MATCH(0,fx_Eqaime_IsNew,0)),"Eqaime - Yeni kontragentler yoxdur")</f>
        <v>Eqaime - Yeni kontragentler yoxdur</v>
      </c>
      <c r="E2" s="37"/>
      <c r="F2" s="38" t="s">
        <v>72</v>
      </c>
      <c r="G2" s="38" t="s">
        <v>73</v>
      </c>
      <c r="H2" s="93" t="s">
        <v>71</v>
      </c>
      <c r="I2" s="93"/>
      <c r="J2" s="38" t="s">
        <v>42</v>
      </c>
      <c r="K2" s="38" t="s">
        <v>43</v>
      </c>
      <c r="L2" s="38" t="s">
        <v>40</v>
      </c>
      <c r="M2" s="38" t="s">
        <v>41</v>
      </c>
      <c r="N2" s="38" t="s">
        <v>74</v>
      </c>
      <c r="O2" s="38" t="s">
        <v>75</v>
      </c>
      <c r="P2" s="93" t="s">
        <v>71</v>
      </c>
      <c r="Q2" s="93"/>
    </row>
    <row r="3" spans="1:17" hidden="1" outlineLevel="1" x14ac:dyDescent="0.3">
      <c r="B3" s="32"/>
      <c r="C3" s="46">
        <f>COUNTIFS(fx_Bank_IsNew,0)</f>
        <v>0</v>
      </c>
      <c r="D3" s="36" t="str">
        <f>IFERROR(INDEX(fx_Bank_Voen,MATCH(0,fx_Bank_IsNew,0)),"BANK - Yeni kontragentler yoxdur")</f>
        <v>BANK - Yeni kontragentler yoxdur</v>
      </c>
    </row>
    <row r="4" spans="1:17" hidden="1" outlineLevel="1" x14ac:dyDescent="0.3">
      <c r="B4" s="32"/>
      <c r="C4" s="46">
        <f>COUNTIFS(fx_Edv_IsNew,0)</f>
        <v>0</v>
      </c>
      <c r="D4" s="36" t="str">
        <f>IFERROR(INDEX(fx_Bank_Voen,MATCH(0,fx_Bank_IsNew,0)),"Depozit - Yeni kontragentler yoxdur")</f>
        <v>Depozit - Yeni kontragentler yoxdur</v>
      </c>
    </row>
    <row r="5" spans="1:17" collapsed="1" x14ac:dyDescent="0.3">
      <c r="A5" s="40" t="s">
        <v>65</v>
      </c>
      <c r="B5" s="87">
        <f>C2+C3+C4+F1+G1+J1+K1+L1+M1</f>
        <v>0</v>
      </c>
      <c r="C5" s="87"/>
      <c r="D5" s="41"/>
      <c r="E5" s="42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</row>
    <row r="6" spans="1:17" s="43" customFormat="1" ht="13.8" x14ac:dyDescent="0.3">
      <c r="A6" s="31"/>
      <c r="C6" s="44"/>
      <c r="E6" s="45"/>
    </row>
    <row r="7" spans="1:17" ht="21.6" thickBot="1" x14ac:dyDescent="0.35">
      <c r="D7" s="46"/>
      <c r="M7" s="47" t="s">
        <v>89</v>
      </c>
    </row>
    <row r="8" spans="1:17" ht="21" x14ac:dyDescent="0.3">
      <c r="B8" s="94" t="s">
        <v>27</v>
      </c>
      <c r="C8" s="99" t="s">
        <v>28</v>
      </c>
      <c r="D8" s="99" t="s">
        <v>25</v>
      </c>
      <c r="E8" s="99" t="s">
        <v>29</v>
      </c>
      <c r="F8" s="91">
        <f>fx_Choosen_Month</f>
        <v>43983</v>
      </c>
      <c r="G8" s="92"/>
      <c r="H8" s="92"/>
      <c r="I8" s="92"/>
      <c r="J8" s="90" t="s">
        <v>58</v>
      </c>
      <c r="K8" s="90"/>
      <c r="L8" s="90"/>
      <c r="M8" s="90"/>
      <c r="N8" s="88">
        <f>EOMONTH(fx_Choosen_Month,0)</f>
        <v>44012</v>
      </c>
      <c r="O8" s="88"/>
      <c r="P8" s="88"/>
      <c r="Q8" s="89"/>
    </row>
    <row r="9" spans="1:17" ht="18" customHeight="1" x14ac:dyDescent="0.3">
      <c r="A9" s="31" t="s">
        <v>104</v>
      </c>
      <c r="B9" s="95"/>
      <c r="C9" s="100"/>
      <c r="D9" s="100"/>
      <c r="E9" s="100"/>
      <c r="F9" s="102" t="s">
        <v>68</v>
      </c>
      <c r="G9" s="97"/>
      <c r="H9" s="97" t="s">
        <v>67</v>
      </c>
      <c r="I9" s="97"/>
      <c r="J9" s="103" t="s">
        <v>52</v>
      </c>
      <c r="K9" s="103"/>
      <c r="L9" s="104" t="s">
        <v>30</v>
      </c>
      <c r="M9" s="104"/>
      <c r="N9" s="105" t="s">
        <v>68</v>
      </c>
      <c r="O9" s="105"/>
      <c r="P9" s="97" t="s">
        <v>67</v>
      </c>
      <c r="Q9" s="98"/>
    </row>
    <row r="10" spans="1:17" s="46" customFormat="1" ht="15.6" customHeight="1" x14ac:dyDescent="0.3">
      <c r="A10" s="31" t="s">
        <v>51</v>
      </c>
      <c r="B10" s="96"/>
      <c r="C10" s="101"/>
      <c r="D10" s="101"/>
      <c r="E10" s="101"/>
      <c r="F10" s="48" t="s">
        <v>36</v>
      </c>
      <c r="G10" s="49" t="s">
        <v>37</v>
      </c>
      <c r="H10" s="49" t="s">
        <v>38</v>
      </c>
      <c r="I10" s="49" t="s">
        <v>39</v>
      </c>
      <c r="J10" s="50" t="s">
        <v>36</v>
      </c>
      <c r="K10" s="50" t="s">
        <v>37</v>
      </c>
      <c r="L10" s="50" t="s">
        <v>38</v>
      </c>
      <c r="M10" s="50" t="s">
        <v>39</v>
      </c>
      <c r="N10" s="49" t="s">
        <v>36</v>
      </c>
      <c r="O10" s="49" t="s">
        <v>37</v>
      </c>
      <c r="P10" s="49" t="s">
        <v>38</v>
      </c>
      <c r="Q10" s="51" t="s">
        <v>39</v>
      </c>
    </row>
    <row r="11" spans="1:17" s="58" customFormat="1" ht="9" customHeight="1" thickBot="1" x14ac:dyDescent="0.35">
      <c r="A11" s="31"/>
      <c r="B11" s="52"/>
      <c r="C11" s="53"/>
      <c r="D11" s="53"/>
      <c r="E11" s="54"/>
      <c r="F11" s="55"/>
      <c r="G11" s="55"/>
      <c r="H11" s="55"/>
      <c r="I11" s="56"/>
      <c r="J11" s="55"/>
      <c r="K11" s="55"/>
      <c r="L11" s="55"/>
      <c r="M11" s="56"/>
      <c r="N11" s="55"/>
      <c r="O11" s="55"/>
      <c r="P11" s="55"/>
      <c r="Q11" s="57"/>
    </row>
    <row r="12" spans="1:17" s="58" customFormat="1" ht="15.6" x14ac:dyDescent="0.3">
      <c r="A12" s="31" t="str">
        <f>IF(OR(LEN(D12)=10,LEN(D12)=9),"v_"&amp;D12,"error")</f>
        <v>v_1001000041</v>
      </c>
      <c r="B12" s="59">
        <f t="shared" ref="B12:B22" si="0">IF(D12="","",IF(B11="",1,B11+1))</f>
        <v>1</v>
      </c>
      <c r="C12" s="60" t="str">
        <f>IF(D12="","",IFERROR(VLOOKUP(fx_Choosen_Month,map!$H:$I,2,0),""))</f>
        <v>Iyun</v>
      </c>
      <c r="D12" s="69">
        <v>1001000041</v>
      </c>
      <c r="E12" s="77" t="str">
        <f>IFERROR(VLOOKUP($A12,map!$A:$C,3,0),"")</f>
        <v>WeFinix Ltd</v>
      </c>
      <c r="F12" s="61">
        <f>IF(SUMIFS(fx_Eqaime_Esas,fx_Eqaime_Compare,"prev",fx_Eqaime_VOEN,Report_SalesAndReceivables!$A12)-SUMIFS(fx_Bank_Esas,fx_Bank_Compare,"prev",fx_Bank_Voen,Report_SalesAndReceivables!$A12)&gt;=0,SUMIFS(fx_Eqaime_Esas,fx_Eqaime_Compare,"prev",fx_Eqaime_VOEN,Report_SalesAndReceivables!$A12)-SUMIFS(fx_Bank_Esas,fx_Bank_Compare,"prev",fx_Bank_Voen,Report_SalesAndReceivables!$A12),0)</f>
        <v>12962</v>
      </c>
      <c r="G12" s="62">
        <f>IF(SUMIFS(fx_Eqaime_Edv,fx_Eqaime_Compare,"prev",fx_Eqaime_VOEN,Report_SalesAndReceivables!$A12)-SUMIFS(fx_Edv_Edv,fx_Edv_Compare,"prev",fx_Edv_VOEN,Report_SalesAndReceivables!$A12)&gt;=0,SUMIFS(fx_Eqaime_Edv,fx_Eqaime_Compare,"prev",fx_Eqaime_VOEN,Report_SalesAndReceivables!$A12)-SUMIFS(fx_Edv_Edv,fx_Edv_Compare,"prev",fx_Edv_VOEN,Report_SalesAndReceivables!$A12),0)</f>
        <v>2599.7400000000002</v>
      </c>
      <c r="H12" s="62">
        <f>IF(SUMIFS(fx_Eqaime_Esas,fx_Eqaime_Compare,"prev",fx_Eqaime_VOEN,Report_SalesAndReceivables!$A12)-SUMIFS(fx_Bank_Esas,fx_Bank_Compare,"prev",fx_Bank_Voen,Report_SalesAndReceivables!$A12)&gt;=0,0,-1*(SUMIFS(fx_Eqaime_Esas,fx_Eqaime_Compare,"prev",fx_Eqaime_VOEN,Report_SalesAndReceivables!$A12)-SUMIFS(fx_Bank_Esas,fx_Bank_Compare,"prev",fx_Bank_Voen,Report_SalesAndReceivables!$A12)))</f>
        <v>0</v>
      </c>
      <c r="I12" s="63">
        <f>IF(SUMIFS(fx_Eqaime_Edv,fx_Eqaime_Compare,"prev",fx_Eqaime_VOEN,Report_SalesAndReceivables!$A12)-SUMIFS(fx_Edv_Edv,fx_Edv_Compare,"prev",fx_Edv_VOEN,Report_SalesAndReceivables!$A12)&gt;=0,0,-1*(SUMIFS(fx_Eqaime_Edv,fx_Eqaime_Compare,"prev",fx_Eqaime_VOEN,Report_SalesAndReceivables!$A12)-SUMIFS(fx_Edv_Edv,fx_Edv_Compare,"prev",fx_Edv_VOEN,Report_SalesAndReceivables!$A12)))</f>
        <v>0</v>
      </c>
      <c r="J12" s="61">
        <f>SUMIFS(fx_Eqaime_Esas,fx_Eqaime_Compare,"current",fx_Eqaime_VOEN,Report_SalesAndReceivables!$A12)</f>
        <v>6666</v>
      </c>
      <c r="K12" s="62">
        <f>SUMIFS(fx_Eqaime_Edv,fx_Eqaime_Compare,"current",fx_Eqaime_VOEN,Report_SalesAndReceivables!$A12)</f>
        <v>1199.8800000000001</v>
      </c>
      <c r="L12" s="62">
        <f>SUMIFS(fx_Bank_Esas,fx_Bank_Compare,"current",fx_Bank_Voen,Report_SalesAndReceivables!$A12)</f>
        <v>0</v>
      </c>
      <c r="M12" s="63">
        <f>SUMIFS(fx_Edv_Edv,fx_Edv_Compare,"current",fx_Edv_VOEN,Report_SalesAndReceivables!$A12)</f>
        <v>0</v>
      </c>
      <c r="N12" s="61">
        <f>IF((F12-H12+J12-L12)&gt;=0,(F12-H12+J12-L12),0)</f>
        <v>19628</v>
      </c>
      <c r="O12" s="62">
        <f>IF((G12-I12+K12-M12)&gt;=0,(G12-I12+K12-M12),0)</f>
        <v>3799.6200000000003</v>
      </c>
      <c r="P12" s="62">
        <f t="shared" ref="P12:P22" si="1">IF((F12-H12+J12-L12)&gt;=0,0,-1*(F12-H12+J12-L12))</f>
        <v>0</v>
      </c>
      <c r="Q12" s="63">
        <f t="shared" ref="Q12:Q22" si="2">IF((G12-I12+K12-M12)&gt;=0,0,-1*(G12-I12+K12-M12))</f>
        <v>0</v>
      </c>
    </row>
    <row r="13" spans="1:17" s="58" customFormat="1" ht="15.6" x14ac:dyDescent="0.3">
      <c r="A13" s="31" t="str">
        <f t="shared" ref="A13:A22" si="3">IF(OR(LEN(D13)=10,LEN(D13)=9),"v_"&amp;D13,"error")</f>
        <v>v_0901000041</v>
      </c>
      <c r="B13" s="64">
        <f t="shared" si="0"/>
        <v>2</v>
      </c>
      <c r="C13" s="65" t="str">
        <f>IF(D13="","",IFERROR(VLOOKUP(fx_Choosen_Month,map!$H:$I,2,0),""))</f>
        <v>Iyun</v>
      </c>
      <c r="D13" s="69" t="s">
        <v>102</v>
      </c>
      <c r="E13" s="77" t="str">
        <f>IFERROR(VLOOKUP($A13,map!$A:$C,3,0),"")</f>
        <v>Finance Ltd</v>
      </c>
      <c r="F13" s="61">
        <f>IF(SUMIFS(fx_Eqaime_Esas,fx_Eqaime_Compare,"prev",fx_Eqaime_VOEN,Report_SalesAndReceivables!$A13)-SUMIFS(fx_Bank_Esas,fx_Bank_Compare,"prev",fx_Bank_Voen,Report_SalesAndReceivables!$A13)&gt;=0,SUMIFS(fx_Eqaime_Esas,fx_Eqaime_Compare,"prev",fx_Eqaime_VOEN,Report_SalesAndReceivables!$A13)-SUMIFS(fx_Bank_Esas,fx_Bank_Compare,"prev",fx_Bank_Voen,Report_SalesAndReceivables!$A13),0)</f>
        <v>2222</v>
      </c>
      <c r="G13" s="62">
        <f>IF(SUMIFS(fx_Eqaime_Edv,fx_Eqaime_Compare,"prev",fx_Eqaime_VOEN,Report_SalesAndReceivables!$A13)-SUMIFS(fx_Edv_Edv,fx_Edv_Compare,"prev",fx_Edv_VOEN,Report_SalesAndReceivables!$A13)&gt;=0,SUMIFS(fx_Eqaime_Edv,fx_Eqaime_Compare,"prev",fx_Eqaime_VOEN,Report_SalesAndReceivables!$A13)-SUMIFS(fx_Edv_Edv,fx_Edv_Compare,"prev",fx_Edv_VOEN,Report_SalesAndReceivables!$A13),0)</f>
        <v>0</v>
      </c>
      <c r="H13" s="62">
        <f>IF(SUMIFS(fx_Eqaime_Esas,fx_Eqaime_Compare,"prev",fx_Eqaime_VOEN,Report_SalesAndReceivables!$A13)-SUMIFS(fx_Bank_Esas,fx_Bank_Compare,"prev",fx_Bank_Voen,Report_SalesAndReceivables!$A13)&gt;=0,0,-1*(SUMIFS(fx_Eqaime_Esas,fx_Eqaime_Compare,"prev",fx_Eqaime_VOEN,Report_SalesAndReceivables!$A13)-SUMIFS(fx_Bank_Esas,fx_Bank_Compare,"prev",fx_Bank_Voen,Report_SalesAndReceivables!$A13)))</f>
        <v>0</v>
      </c>
      <c r="I13" s="68">
        <f>IF(SUMIFS(fx_Eqaime_Edv,fx_Eqaime_Compare,"prev",fx_Eqaime_VOEN,Report_SalesAndReceivables!$A13)-SUMIFS(fx_Edv_Edv,fx_Edv_Compare,"prev",fx_Edv_VOEN,Report_SalesAndReceivables!$A13)&gt;=0,0,-1*(SUMIFS(fx_Eqaime_Edv,fx_Eqaime_Compare,"prev",fx_Eqaime_VOEN,Report_SalesAndReceivables!$A13)-SUMIFS(fx_Edv_Edv,fx_Edv_Compare,"prev",fx_Edv_VOEN,Report_SalesAndReceivables!$A13)))</f>
        <v>925.54</v>
      </c>
      <c r="J13" s="61">
        <f>SUMIFS(fx_Eqaime_Esas,fx_Eqaime_Compare,"current",fx_Eqaime_VOEN,Report_SalesAndReceivables!$A13)</f>
        <v>0</v>
      </c>
      <c r="K13" s="62">
        <f>SUMIFS(fx_Eqaime_Edv,fx_Eqaime_Compare,"current",fx_Eqaime_VOEN,Report_SalesAndReceivables!$A13)</f>
        <v>0</v>
      </c>
      <c r="L13" s="67">
        <f>SUMIFS(fx_Bank_Esas,fx_Bank_Compare,"current",fx_Bank_Voen,Report_SalesAndReceivables!$A13)</f>
        <v>0</v>
      </c>
      <c r="M13" s="68">
        <f>SUMIFS(fx_Edv_Edv,fx_Edv_Compare,"current",fx_Edv_VOEN,Report_SalesAndReceivables!$A13)</f>
        <v>0</v>
      </c>
      <c r="N13" s="66">
        <f t="shared" ref="N13:N15" si="4">IF((F13-H13+J13-L13)&gt;=0,(F13-H13+J13-L13),0)</f>
        <v>2222</v>
      </c>
      <c r="O13" s="67">
        <f>IF((G13-I13+K13-M13)&gt;=0,(G13-I13+K13-M13),0)</f>
        <v>0</v>
      </c>
      <c r="P13" s="67">
        <f t="shared" si="1"/>
        <v>0</v>
      </c>
      <c r="Q13" s="68">
        <f>IF((G13-I13+K13-M13)&gt;=0,0,-1*(G13-I13+K13-M13))</f>
        <v>925.54</v>
      </c>
    </row>
    <row r="14" spans="1:17" s="58" customFormat="1" ht="15.6" x14ac:dyDescent="0.3">
      <c r="A14" s="31" t="str">
        <f t="shared" si="3"/>
        <v>v_1001000051</v>
      </c>
      <c r="B14" s="64">
        <f t="shared" si="0"/>
        <v>3</v>
      </c>
      <c r="C14" s="65" t="str">
        <f>IF(D14="","",IFERROR(VLOOKUP(fx_Choosen_Month,map!$H:$I,2,0),""))</f>
        <v>Iyun</v>
      </c>
      <c r="D14" s="69">
        <v>1001000051</v>
      </c>
      <c r="E14" s="77" t="str">
        <f>IFERROR(VLOOKUP($A14,map!$A:$C,3,0),"")</f>
        <v>Neü kont 2</v>
      </c>
      <c r="F14" s="61">
        <f>IF(SUMIFS(fx_Eqaime_Esas,fx_Eqaime_Compare,"prev",fx_Eqaime_VOEN,Report_SalesAndReceivables!$A14)-SUMIFS(fx_Bank_Esas,fx_Bank_Compare,"prev",fx_Bank_Voen,Report_SalesAndReceivables!$A14)&gt;=0,SUMIFS(fx_Eqaime_Esas,fx_Eqaime_Compare,"prev",fx_Eqaime_VOEN,Report_SalesAndReceivables!$A14)-SUMIFS(fx_Bank_Esas,fx_Bank_Compare,"prev",fx_Bank_Voen,Report_SalesAndReceivables!$A14),0)</f>
        <v>0</v>
      </c>
      <c r="G14" s="62">
        <f>IF(SUMIFS(fx_Eqaime_Edv,fx_Eqaime_Compare,"prev",fx_Eqaime_VOEN,Report_SalesAndReceivables!$A14)-SUMIFS(fx_Edv_Edv,fx_Edv_Compare,"prev",fx_Edv_VOEN,Report_SalesAndReceivables!$A14)&gt;=0,SUMIFS(fx_Eqaime_Edv,fx_Eqaime_Compare,"prev",fx_Eqaime_VOEN,Report_SalesAndReceivables!$A14)-SUMIFS(fx_Edv_Edv,fx_Edv_Compare,"prev",fx_Edv_VOEN,Report_SalesAndReceivables!$A14),0)</f>
        <v>0</v>
      </c>
      <c r="H14" s="62">
        <f>IF(SUMIFS(fx_Eqaime_Esas,fx_Eqaime_Compare,"prev",fx_Eqaime_VOEN,Report_SalesAndReceivables!$A14)-SUMIFS(fx_Bank_Esas,fx_Bank_Compare,"prev",fx_Bank_Voen,Report_SalesAndReceivables!$A14)&gt;=0,0,-1*(SUMIFS(fx_Eqaime_Esas,fx_Eqaime_Compare,"prev",fx_Eqaime_VOEN,Report_SalesAndReceivables!$A14)-SUMIFS(fx_Bank_Esas,fx_Bank_Compare,"prev",fx_Bank_Voen,Report_SalesAndReceivables!$A14)))</f>
        <v>0</v>
      </c>
      <c r="I14" s="68">
        <f>IF(SUMIFS(fx_Eqaime_Edv,fx_Eqaime_Compare,"prev",fx_Eqaime_VOEN,Report_SalesAndReceivables!$A14)-SUMIFS(fx_Edv_Edv,fx_Edv_Compare,"prev",fx_Edv_VOEN,Report_SalesAndReceivables!$A14)&gt;=0,0,-1*(SUMIFS(fx_Eqaime_Edv,fx_Eqaime_Compare,"prev",fx_Eqaime_VOEN,Report_SalesAndReceivables!$A14)-SUMIFS(fx_Edv_Edv,fx_Edv_Compare,"prev",fx_Edv_VOEN,Report_SalesAndReceivables!$A14)))</f>
        <v>0</v>
      </c>
      <c r="J14" s="61">
        <f>SUMIFS(fx_Eqaime_Esas,fx_Eqaime_Compare,"current",fx_Eqaime_VOEN,Report_SalesAndReceivables!$A14)</f>
        <v>0</v>
      </c>
      <c r="K14" s="62">
        <f>SUMIFS(fx_Eqaime_Edv,fx_Eqaime_Compare,"current",fx_Eqaime_VOEN,Report_SalesAndReceivables!$A14)</f>
        <v>0</v>
      </c>
      <c r="L14" s="67">
        <f>SUMIFS(fx_Bank_Esas,fx_Bank_Compare,"current",fx_Bank_Voen,Report_SalesAndReceivables!$A14)</f>
        <v>0</v>
      </c>
      <c r="M14" s="68">
        <f>SUMIFS(fx_Edv_Edv,fx_Edv_Compare,"current",fx_Edv_VOEN,Report_SalesAndReceivables!$A14)</f>
        <v>0</v>
      </c>
      <c r="N14" s="66">
        <f t="shared" si="4"/>
        <v>0</v>
      </c>
      <c r="O14" s="67">
        <f t="shared" ref="O14:O15" si="5">IF((G14-I14+K14-M14)&gt;=0,(G14-I14+K14-M14),0)</f>
        <v>0</v>
      </c>
      <c r="P14" s="67">
        <f t="shared" si="1"/>
        <v>0</v>
      </c>
      <c r="Q14" s="68">
        <f t="shared" si="2"/>
        <v>0</v>
      </c>
    </row>
    <row r="15" spans="1:17" s="58" customFormat="1" ht="15.6" x14ac:dyDescent="0.3">
      <c r="A15" s="31" t="str">
        <f t="shared" si="3"/>
        <v>error</v>
      </c>
      <c r="B15" s="64" t="str">
        <f t="shared" si="0"/>
        <v/>
      </c>
      <c r="C15" s="65" t="str">
        <f>IF(D15="","",IFERROR(VLOOKUP(fx_Choosen_Month,map!$H:$I,2,0),""))</f>
        <v/>
      </c>
      <c r="D15" s="69"/>
      <c r="E15" s="77" t="str">
        <f>IFERROR(VLOOKUP($A15,map!$A:$C,3,0),"")</f>
        <v/>
      </c>
      <c r="F15" s="61">
        <f>IF(SUMIFS(fx_Eqaime_Esas,fx_Eqaime_Compare,"prev",fx_Eqaime_VOEN,Report_SalesAndReceivables!$A15)-SUMIFS(fx_Bank_Esas,fx_Bank_Compare,"prev",fx_Bank_Voen,Report_SalesAndReceivables!$A15)&gt;=0,SUMIFS(fx_Eqaime_Esas,fx_Eqaime_Compare,"prev",fx_Eqaime_VOEN,Report_SalesAndReceivables!$A15)-SUMIFS(fx_Bank_Esas,fx_Bank_Compare,"prev",fx_Bank_Voen,Report_SalesAndReceivables!$A15),0)</f>
        <v>0</v>
      </c>
      <c r="G15" s="62">
        <f>IF(SUMIFS(fx_Eqaime_Edv,fx_Eqaime_Compare,"prev",fx_Eqaime_VOEN,Report_SalesAndReceivables!$A15)-SUMIFS(fx_Edv_Edv,fx_Edv_Compare,"prev",fx_Edv_VOEN,Report_SalesAndReceivables!$A15)&gt;=0,SUMIFS(fx_Eqaime_Edv,fx_Eqaime_Compare,"prev",fx_Eqaime_VOEN,Report_SalesAndReceivables!$A15)-SUMIFS(fx_Edv_Edv,fx_Edv_Compare,"prev",fx_Edv_VOEN,Report_SalesAndReceivables!$A15),0)</f>
        <v>0</v>
      </c>
      <c r="H15" s="62">
        <f>IF(SUMIFS(fx_Eqaime_Esas,fx_Eqaime_Compare,"prev",fx_Eqaime_VOEN,Report_SalesAndReceivables!$A15)-SUMIFS(fx_Bank_Esas,fx_Bank_Compare,"prev",fx_Bank_Voen,Report_SalesAndReceivables!$A15)&gt;=0,0,-1*(SUMIFS(fx_Eqaime_Esas,fx_Eqaime_Compare,"prev",fx_Eqaime_VOEN,Report_SalesAndReceivables!$A15)-SUMIFS(fx_Bank_Esas,fx_Bank_Compare,"prev",fx_Bank_Voen,Report_SalesAndReceivables!$A15)))</f>
        <v>0</v>
      </c>
      <c r="I15" s="68">
        <f>IF(SUMIFS(fx_Eqaime_Edv,fx_Eqaime_Compare,"prev",fx_Eqaime_VOEN,Report_SalesAndReceivables!$A15)-SUMIFS(fx_Edv_Edv,fx_Edv_Compare,"prev",fx_Edv_VOEN,Report_SalesAndReceivables!$A15)&gt;=0,0,-1*(SUMIFS(fx_Eqaime_Edv,fx_Eqaime_Compare,"prev",fx_Eqaime_VOEN,Report_SalesAndReceivables!$A15)-SUMIFS(fx_Edv_Edv,fx_Edv_Compare,"prev",fx_Edv_VOEN,Report_SalesAndReceivables!$A15)))</f>
        <v>0</v>
      </c>
      <c r="J15" s="61">
        <f>SUMIFS(fx_Eqaime_Esas,fx_Eqaime_Compare,"current",fx_Eqaime_VOEN,Report_SalesAndReceivables!$A15)</f>
        <v>0</v>
      </c>
      <c r="K15" s="62">
        <f>SUMIFS(fx_Eqaime_Edv,fx_Eqaime_Compare,"current",fx_Eqaime_VOEN,Report_SalesAndReceivables!$A15)</f>
        <v>0</v>
      </c>
      <c r="L15" s="67">
        <f>SUMIFS(fx_Bank_Esas,fx_Bank_Compare,"current",fx_Bank_Voen,Report_SalesAndReceivables!$A15)</f>
        <v>0</v>
      </c>
      <c r="M15" s="68">
        <f>SUMIFS(fx_Edv_Edv,fx_Edv_Compare,"current",fx_Edv_VOEN,Report_SalesAndReceivables!$A15)</f>
        <v>0</v>
      </c>
      <c r="N15" s="66">
        <f t="shared" si="4"/>
        <v>0</v>
      </c>
      <c r="O15" s="67">
        <f t="shared" si="5"/>
        <v>0</v>
      </c>
      <c r="P15" s="67">
        <f t="shared" si="1"/>
        <v>0</v>
      </c>
      <c r="Q15" s="68">
        <f t="shared" si="2"/>
        <v>0</v>
      </c>
    </row>
    <row r="16" spans="1:17" s="58" customFormat="1" ht="15.6" x14ac:dyDescent="0.3">
      <c r="A16" s="31" t="str">
        <f t="shared" si="3"/>
        <v>error</v>
      </c>
      <c r="B16" s="64" t="str">
        <f t="shared" si="0"/>
        <v/>
      </c>
      <c r="C16" s="65" t="str">
        <f>IF(D16="","",IFERROR(VLOOKUP(fx_Choosen_Month,map!$H:$I,2,0),""))</f>
        <v/>
      </c>
      <c r="D16" s="69"/>
      <c r="E16" s="77" t="str">
        <f>IFERROR(VLOOKUP($A16,map!$A:$C,3,0),"")</f>
        <v/>
      </c>
      <c r="F16" s="61">
        <f>IF(SUMIFS(fx_Eqaime_Esas,fx_Eqaime_Compare,"prev",fx_Eqaime_VOEN,Report_SalesAndReceivables!$A16)-SUMIFS(fx_Bank_Esas,fx_Bank_Compare,"prev",fx_Bank_Voen,Report_SalesAndReceivables!$A16)&gt;=0,SUMIFS(fx_Eqaime_Esas,fx_Eqaime_Compare,"prev",fx_Eqaime_VOEN,Report_SalesAndReceivables!$A16)-SUMIFS(fx_Bank_Esas,fx_Bank_Compare,"prev",fx_Bank_Voen,Report_SalesAndReceivables!$A16),0)</f>
        <v>0</v>
      </c>
      <c r="G16" s="62">
        <f>IF(SUMIFS(fx_Eqaime_Edv,fx_Eqaime_Compare,"prev",fx_Eqaime_VOEN,Report_SalesAndReceivables!$A16)-SUMIFS(fx_Edv_Edv,fx_Edv_Compare,"prev",fx_Edv_VOEN,Report_SalesAndReceivables!$A16)&gt;=0,SUMIFS(fx_Eqaime_Edv,fx_Eqaime_Compare,"prev",fx_Eqaime_VOEN,Report_SalesAndReceivables!$A16)-SUMIFS(fx_Edv_Edv,fx_Edv_Compare,"prev",fx_Edv_VOEN,Report_SalesAndReceivables!$A16),0)</f>
        <v>0</v>
      </c>
      <c r="H16" s="62">
        <f>IF(SUMIFS(fx_Eqaime_Esas,fx_Eqaime_Compare,"prev",fx_Eqaime_VOEN,Report_SalesAndReceivables!$A16)-SUMIFS(fx_Bank_Esas,fx_Bank_Compare,"prev",fx_Bank_Voen,Report_SalesAndReceivables!$A16)&gt;=0,0,-1*(SUMIFS(fx_Eqaime_Esas,fx_Eqaime_Compare,"prev",fx_Eqaime_VOEN,Report_SalesAndReceivables!$A16)-SUMIFS(fx_Bank_Esas,fx_Bank_Compare,"prev",fx_Bank_Voen,Report_SalesAndReceivables!$A16)))</f>
        <v>0</v>
      </c>
      <c r="I16" s="68">
        <f>IF(SUMIFS(fx_Eqaime_Edv,fx_Eqaime_Compare,"prev",fx_Eqaime_VOEN,Report_SalesAndReceivables!$A16)-SUMIFS(fx_Edv_Edv,fx_Edv_Compare,"prev",fx_Edv_VOEN,Report_SalesAndReceivables!$A16)&gt;=0,0,-1*(SUMIFS(fx_Eqaime_Edv,fx_Eqaime_Compare,"prev",fx_Eqaime_VOEN,Report_SalesAndReceivables!$A16)-SUMIFS(fx_Edv_Edv,fx_Edv_Compare,"prev",fx_Edv_VOEN,Report_SalesAndReceivables!$A16)))</f>
        <v>0</v>
      </c>
      <c r="J16" s="61">
        <f>SUMIFS(fx_Eqaime_Esas,fx_Eqaime_Compare,"current",fx_Eqaime_VOEN,Report_SalesAndReceivables!$A16)</f>
        <v>0</v>
      </c>
      <c r="K16" s="62">
        <f>SUMIFS(fx_Eqaime_Edv,fx_Eqaime_Compare,"current",fx_Eqaime_VOEN,Report_SalesAndReceivables!$A16)</f>
        <v>0</v>
      </c>
      <c r="L16" s="67">
        <f>SUMIFS(fx_Bank_Esas,fx_Bank_Compare,"current",fx_Bank_Voen,Report_SalesAndReceivables!$A16)</f>
        <v>0</v>
      </c>
      <c r="M16" s="68">
        <f>SUMIFS(fx_Edv_Edv,fx_Edv_Compare,"current",fx_Edv_VOEN,Report_SalesAndReceivables!$A16)</f>
        <v>0</v>
      </c>
      <c r="N16" s="66">
        <v>888</v>
      </c>
      <c r="O16" s="67">
        <f t="shared" ref="O16:O22" si="6">IF((G16-I16+K16-M16)&gt;=0,(G16-I16+K16-M16),0)</f>
        <v>0</v>
      </c>
      <c r="P16" s="67">
        <f t="shared" si="1"/>
        <v>0</v>
      </c>
      <c r="Q16" s="68">
        <f t="shared" si="2"/>
        <v>0</v>
      </c>
    </row>
    <row r="17" spans="1:17" s="58" customFormat="1" ht="15.6" x14ac:dyDescent="0.3">
      <c r="A17" s="31" t="str">
        <f t="shared" si="3"/>
        <v>error</v>
      </c>
      <c r="B17" s="64" t="str">
        <f t="shared" si="0"/>
        <v/>
      </c>
      <c r="C17" s="65" t="str">
        <f>IF(D17="","",IFERROR(VLOOKUP(fx_Choosen_Month,map!$H:$I,2,0),""))</f>
        <v/>
      </c>
      <c r="D17" s="69"/>
      <c r="E17" s="77" t="str">
        <f>IFERROR(VLOOKUP($A17,map!$A:$C,3,0),"")</f>
        <v/>
      </c>
      <c r="F17" s="61">
        <f>IF(SUMIFS(fx_Eqaime_Esas,fx_Eqaime_Compare,"prev",fx_Eqaime_VOEN,Report_SalesAndReceivables!$A17)-SUMIFS(fx_Bank_Esas,fx_Bank_Compare,"prev",fx_Bank_Voen,Report_SalesAndReceivables!$A17)&gt;=0,SUMIFS(fx_Eqaime_Esas,fx_Eqaime_Compare,"prev",fx_Eqaime_VOEN,Report_SalesAndReceivables!$A17)-SUMIFS(fx_Bank_Esas,fx_Bank_Compare,"prev",fx_Bank_Voen,Report_SalesAndReceivables!$A17),0)</f>
        <v>0</v>
      </c>
      <c r="G17" s="62">
        <f>IF(SUMIFS(fx_Eqaime_Edv,fx_Eqaime_Compare,"prev",fx_Eqaime_VOEN,Report_SalesAndReceivables!$A17)-SUMIFS(fx_Edv_Edv,fx_Edv_Compare,"prev",fx_Edv_VOEN,Report_SalesAndReceivables!$A17)&gt;=0,SUMIFS(fx_Eqaime_Edv,fx_Eqaime_Compare,"prev",fx_Eqaime_VOEN,Report_SalesAndReceivables!$A17)-SUMIFS(fx_Edv_Edv,fx_Edv_Compare,"prev",fx_Edv_VOEN,Report_SalesAndReceivables!$A17),0)</f>
        <v>0</v>
      </c>
      <c r="H17" s="62">
        <f>IF(SUMIFS(fx_Eqaime_Esas,fx_Eqaime_Compare,"prev",fx_Eqaime_VOEN,Report_SalesAndReceivables!$A17)-SUMIFS(fx_Bank_Esas,fx_Bank_Compare,"prev",fx_Bank_Voen,Report_SalesAndReceivables!$A17)&gt;=0,0,-1*(SUMIFS(fx_Eqaime_Esas,fx_Eqaime_Compare,"prev",fx_Eqaime_VOEN,Report_SalesAndReceivables!$A17)-SUMIFS(fx_Bank_Esas,fx_Bank_Compare,"prev",fx_Bank_Voen,Report_SalesAndReceivables!$A17)))</f>
        <v>0</v>
      </c>
      <c r="I17" s="68">
        <f>IF(SUMIFS(fx_Eqaime_Edv,fx_Eqaime_Compare,"prev",fx_Eqaime_VOEN,Report_SalesAndReceivables!$A17)-SUMIFS(fx_Edv_Edv,fx_Edv_Compare,"prev",fx_Edv_VOEN,Report_SalesAndReceivables!$A17)&gt;=0,0,-1*(SUMIFS(fx_Eqaime_Edv,fx_Eqaime_Compare,"prev",fx_Eqaime_VOEN,Report_SalesAndReceivables!$A17)-SUMIFS(fx_Edv_Edv,fx_Edv_Compare,"prev",fx_Edv_VOEN,Report_SalesAndReceivables!$A17)))</f>
        <v>0</v>
      </c>
      <c r="J17" s="61">
        <f>SUMIFS(fx_Eqaime_Esas,fx_Eqaime_Compare,"current",fx_Eqaime_VOEN,Report_SalesAndReceivables!$A17)</f>
        <v>0</v>
      </c>
      <c r="K17" s="62">
        <f>SUMIFS(fx_Eqaime_Edv,fx_Eqaime_Compare,"current",fx_Eqaime_VOEN,Report_SalesAndReceivables!$A17)</f>
        <v>0</v>
      </c>
      <c r="L17" s="67">
        <f>SUMIFS(fx_Bank_Esas,fx_Bank_Compare,"current",fx_Bank_Voen,Report_SalesAndReceivables!$A17)</f>
        <v>0</v>
      </c>
      <c r="M17" s="68">
        <f>SUMIFS(fx_Edv_Edv,fx_Edv_Compare,"current",fx_Edv_VOEN,Report_SalesAndReceivables!$A17)</f>
        <v>0</v>
      </c>
      <c r="N17" s="66">
        <f t="shared" ref="N17:N22" si="7">IF((F17-H17+J17-L17)&gt;=0,(F17-H17+J17-L17),0)</f>
        <v>0</v>
      </c>
      <c r="O17" s="67">
        <f t="shared" si="6"/>
        <v>0</v>
      </c>
      <c r="P17" s="67">
        <f t="shared" si="1"/>
        <v>0</v>
      </c>
      <c r="Q17" s="68">
        <f t="shared" si="2"/>
        <v>0</v>
      </c>
    </row>
    <row r="18" spans="1:17" s="58" customFormat="1" ht="15.6" x14ac:dyDescent="0.3">
      <c r="A18" s="31" t="str">
        <f t="shared" si="3"/>
        <v>error</v>
      </c>
      <c r="B18" s="64" t="str">
        <f t="shared" si="0"/>
        <v/>
      </c>
      <c r="C18" s="65" t="str">
        <f>IF(D18="","",IFERROR(VLOOKUP(fx_Choosen_Month,map!$H:$I,2,0),""))</f>
        <v/>
      </c>
      <c r="D18" s="69"/>
      <c r="E18" s="77" t="str">
        <f>IFERROR(VLOOKUP($A18,map!$A:$C,3,0),"")</f>
        <v/>
      </c>
      <c r="F18" s="61">
        <f>IF(SUMIFS(fx_Eqaime_Esas,fx_Eqaime_Compare,"prev",fx_Eqaime_VOEN,Report_SalesAndReceivables!$A18)-SUMIFS(fx_Bank_Esas,fx_Bank_Compare,"prev",fx_Bank_Voen,Report_SalesAndReceivables!$A18)&gt;=0,SUMIFS(fx_Eqaime_Esas,fx_Eqaime_Compare,"prev",fx_Eqaime_VOEN,Report_SalesAndReceivables!$A18)-SUMIFS(fx_Bank_Esas,fx_Bank_Compare,"prev",fx_Bank_Voen,Report_SalesAndReceivables!$A18),0)</f>
        <v>0</v>
      </c>
      <c r="G18" s="62">
        <f>IF(SUMIFS(fx_Eqaime_Edv,fx_Eqaime_Compare,"prev",fx_Eqaime_VOEN,Report_SalesAndReceivables!$A18)-SUMIFS(fx_Edv_Edv,fx_Edv_Compare,"prev",fx_Edv_VOEN,Report_SalesAndReceivables!$A18)&gt;=0,SUMIFS(fx_Eqaime_Edv,fx_Eqaime_Compare,"prev",fx_Eqaime_VOEN,Report_SalesAndReceivables!$A18)-SUMIFS(fx_Edv_Edv,fx_Edv_Compare,"prev",fx_Edv_VOEN,Report_SalesAndReceivables!$A18),0)</f>
        <v>0</v>
      </c>
      <c r="H18" s="62">
        <f>IF(SUMIFS(fx_Eqaime_Esas,fx_Eqaime_Compare,"prev",fx_Eqaime_VOEN,Report_SalesAndReceivables!$A18)-SUMIFS(fx_Bank_Esas,fx_Bank_Compare,"prev",fx_Bank_Voen,Report_SalesAndReceivables!$A18)&gt;=0,0,-1*(SUMIFS(fx_Eqaime_Esas,fx_Eqaime_Compare,"prev",fx_Eqaime_VOEN,Report_SalesAndReceivables!$A18)-SUMIFS(fx_Bank_Esas,fx_Bank_Compare,"prev",fx_Bank_Voen,Report_SalesAndReceivables!$A18)))</f>
        <v>0</v>
      </c>
      <c r="I18" s="68">
        <f>IF(SUMIFS(fx_Eqaime_Edv,fx_Eqaime_Compare,"prev",fx_Eqaime_VOEN,Report_SalesAndReceivables!$A18)-SUMIFS(fx_Edv_Edv,fx_Edv_Compare,"prev",fx_Edv_VOEN,Report_SalesAndReceivables!$A18)&gt;=0,0,-1*(SUMIFS(fx_Eqaime_Edv,fx_Eqaime_Compare,"prev",fx_Eqaime_VOEN,Report_SalesAndReceivables!$A18)-SUMIFS(fx_Edv_Edv,fx_Edv_Compare,"prev",fx_Edv_VOEN,Report_SalesAndReceivables!$A18)))</f>
        <v>0</v>
      </c>
      <c r="J18" s="61">
        <f>SUMIFS(fx_Eqaime_Esas,fx_Eqaime_Compare,"current",fx_Eqaime_VOEN,Report_SalesAndReceivables!$A18)</f>
        <v>0</v>
      </c>
      <c r="K18" s="62">
        <f>SUMIFS(fx_Eqaime_Edv,fx_Eqaime_Compare,"current",fx_Eqaime_VOEN,Report_SalesAndReceivables!$A18)</f>
        <v>0</v>
      </c>
      <c r="L18" s="67">
        <f>SUMIFS(fx_Bank_Esas,fx_Bank_Compare,"current",fx_Bank_Voen,Report_SalesAndReceivables!$A18)</f>
        <v>0</v>
      </c>
      <c r="M18" s="68">
        <f>SUMIFS(fx_Edv_Edv,fx_Edv_Compare,"current",fx_Edv_VOEN,Report_SalesAndReceivables!$A18)</f>
        <v>0</v>
      </c>
      <c r="N18" s="66">
        <f t="shared" si="7"/>
        <v>0</v>
      </c>
      <c r="O18" s="67">
        <f t="shared" si="6"/>
        <v>0</v>
      </c>
      <c r="P18" s="67">
        <f t="shared" si="1"/>
        <v>0</v>
      </c>
      <c r="Q18" s="68">
        <f t="shared" si="2"/>
        <v>0</v>
      </c>
    </row>
    <row r="19" spans="1:17" s="58" customFormat="1" ht="15.6" x14ac:dyDescent="0.3">
      <c r="A19" s="31" t="str">
        <f t="shared" si="3"/>
        <v>error</v>
      </c>
      <c r="B19" s="64" t="str">
        <f t="shared" si="0"/>
        <v/>
      </c>
      <c r="C19" s="65" t="str">
        <f>IF(D19="","",IFERROR(VLOOKUP(fx_Choosen_Month,map!$H:$I,2,0),""))</f>
        <v/>
      </c>
      <c r="D19" s="69"/>
      <c r="E19" s="77" t="str">
        <f>IFERROR(VLOOKUP($A19,map!$A:$C,3,0),"")</f>
        <v/>
      </c>
      <c r="F19" s="66">
        <f>IF(SUMIFS(fx_Eqaime_Esas,fx_Eqaime_Compare,"prev",fx_Eqaime_VOEN,Report_SalesAndReceivables!$A19)-SUMIFS(fx_Bank_Esas,fx_Bank_Compare,"prev",fx_Bank_Voen,Report_SalesAndReceivables!$A19)&gt;=0,SUMIFS(fx_Eqaime_Esas,fx_Eqaime_Compare,"prev",fx_Eqaime_VOEN,Report_SalesAndReceivables!$A19)-SUMIFS(fx_Bank_Esas,fx_Bank_Compare,"prev",fx_Bank_Voen,Report_SalesAndReceivables!$A19),0)</f>
        <v>0</v>
      </c>
      <c r="G19" s="62">
        <f>IF(SUMIFS(fx_Eqaime_Edv,fx_Eqaime_Compare,"prev",fx_Eqaime_VOEN,Report_SalesAndReceivables!$A19)-SUMIFS(fx_Edv_Edv,fx_Edv_Compare,"prev",fx_Edv_VOEN,Report_SalesAndReceivables!$A19)&gt;=0,SUMIFS(fx_Eqaime_Edv,fx_Eqaime_Compare,"prev",fx_Eqaime_VOEN,Report_SalesAndReceivables!$A19)-SUMIFS(fx_Edv_Edv,fx_Edv_Compare,"prev",fx_Edv_VOEN,Report_SalesAndReceivables!$A19),0)</f>
        <v>0</v>
      </c>
      <c r="H19" s="62">
        <f>IF(SUMIFS(fx_Eqaime_Esas,fx_Eqaime_Compare,"prev",fx_Eqaime_VOEN,Report_SalesAndReceivables!$A19)-SUMIFS(fx_Bank_Esas,fx_Bank_Compare,"prev",fx_Bank_Voen,Report_SalesAndReceivables!$A19)&gt;=0,0,-1*(SUMIFS(fx_Eqaime_Esas,fx_Eqaime_Compare,"prev",fx_Eqaime_VOEN,Report_SalesAndReceivables!$A19)-SUMIFS(fx_Bank_Esas,fx_Bank_Compare,"prev",fx_Bank_Voen,Report_SalesAndReceivables!$A19)))</f>
        <v>0</v>
      </c>
      <c r="I19" s="68">
        <f>IF(SUMIFS(fx_Eqaime_Edv,fx_Eqaime_Compare,"prev",fx_Eqaime_VOEN,Report_SalesAndReceivables!$A19)-SUMIFS(fx_Edv_Edv,fx_Edv_Compare,"prev",fx_Edv_VOEN,Report_SalesAndReceivables!$A19)&gt;=0,0,-1*(SUMIFS(fx_Eqaime_Edv,fx_Eqaime_Compare,"prev",fx_Eqaime_VOEN,Report_SalesAndReceivables!$A19)-SUMIFS(fx_Edv_Edv,fx_Edv_Compare,"prev",fx_Edv_VOEN,Report_SalesAndReceivables!$A19)))</f>
        <v>0</v>
      </c>
      <c r="J19" s="61">
        <f>SUMIFS(fx_Eqaime_Esas,fx_Eqaime_Compare,"current",fx_Eqaime_VOEN,Report_SalesAndReceivables!$A19)</f>
        <v>0</v>
      </c>
      <c r="K19" s="62">
        <f>SUMIFS(fx_Eqaime_Edv,fx_Eqaime_Compare,"current",fx_Eqaime_VOEN,Report_SalesAndReceivables!$A19)</f>
        <v>0</v>
      </c>
      <c r="L19" s="67">
        <f>SUMIFS(fx_Bank_Esas,fx_Bank_Compare,"current",fx_Bank_Voen,Report_SalesAndReceivables!$A19)</f>
        <v>0</v>
      </c>
      <c r="M19" s="68">
        <f>SUMIFS(fx_Edv_Edv,fx_Edv_Compare,"current",fx_Edv_VOEN,Report_SalesAndReceivables!$A19)</f>
        <v>0</v>
      </c>
      <c r="N19" s="66">
        <f t="shared" si="7"/>
        <v>0</v>
      </c>
      <c r="O19" s="67">
        <f t="shared" si="6"/>
        <v>0</v>
      </c>
      <c r="P19" s="67">
        <f t="shared" si="1"/>
        <v>0</v>
      </c>
      <c r="Q19" s="68">
        <f t="shared" si="2"/>
        <v>0</v>
      </c>
    </row>
    <row r="20" spans="1:17" s="58" customFormat="1" ht="15.6" x14ac:dyDescent="0.3">
      <c r="A20" s="31" t="str">
        <f t="shared" si="3"/>
        <v>error</v>
      </c>
      <c r="B20" s="64" t="str">
        <f t="shared" si="0"/>
        <v/>
      </c>
      <c r="C20" s="65" t="str">
        <f>IF(D20="","",IFERROR(VLOOKUP(fx_Choosen_Month,map!$H:$I,2,0),""))</f>
        <v/>
      </c>
      <c r="D20" s="69"/>
      <c r="E20" s="77" t="str">
        <f>IFERROR(VLOOKUP($A20,map!$A:$C,3,0),"")</f>
        <v/>
      </c>
      <c r="F20" s="66">
        <f>IF(SUMIFS(fx_Eqaime_Esas,fx_Eqaime_Compare,"prev",fx_Eqaime_VOEN,Report_SalesAndReceivables!$A20)-SUMIFS(fx_Bank_Esas,fx_Bank_Compare,"prev",fx_Bank_Voen,Report_SalesAndReceivables!$A20)&gt;=0,SUMIFS(fx_Eqaime_Esas,fx_Eqaime_Compare,"prev",fx_Eqaime_VOEN,Report_SalesAndReceivables!$A20)-SUMIFS(fx_Bank_Esas,fx_Bank_Compare,"prev",fx_Bank_Voen,Report_SalesAndReceivables!$A20),0)</f>
        <v>0</v>
      </c>
      <c r="G20" s="62">
        <f>IF(SUMIFS(fx_Eqaime_Edv,fx_Eqaime_Compare,"prev",fx_Eqaime_VOEN,Report_SalesAndReceivables!$A20)-SUMIFS(fx_Edv_Edv,fx_Edv_Compare,"prev",fx_Edv_VOEN,Report_SalesAndReceivables!$A20)&gt;=0,SUMIFS(fx_Eqaime_Edv,fx_Eqaime_Compare,"prev",fx_Eqaime_VOEN,Report_SalesAndReceivables!$A20)-SUMIFS(fx_Edv_Edv,fx_Edv_Compare,"prev",fx_Edv_VOEN,Report_SalesAndReceivables!$A20),0)</f>
        <v>0</v>
      </c>
      <c r="H20" s="62">
        <f>IF(SUMIFS(fx_Eqaime_Esas,fx_Eqaime_Compare,"prev",fx_Eqaime_VOEN,Report_SalesAndReceivables!$A20)-SUMIFS(fx_Bank_Esas,fx_Bank_Compare,"prev",fx_Bank_Voen,Report_SalesAndReceivables!$A20)&gt;=0,0,-1*(SUMIFS(fx_Eqaime_Esas,fx_Eqaime_Compare,"prev",fx_Eqaime_VOEN,Report_SalesAndReceivables!$A20)-SUMIFS(fx_Bank_Esas,fx_Bank_Compare,"prev",fx_Bank_Voen,Report_SalesAndReceivables!$A20)))</f>
        <v>0</v>
      </c>
      <c r="I20" s="68">
        <f>IF(SUMIFS(fx_Eqaime_Edv,fx_Eqaime_Compare,"prev",fx_Eqaime_VOEN,Report_SalesAndReceivables!$A20)-SUMIFS(fx_Edv_Edv,fx_Edv_Compare,"prev",fx_Edv_VOEN,Report_SalesAndReceivables!$A20)&gt;=0,0,-1*(SUMIFS(fx_Eqaime_Edv,fx_Eqaime_Compare,"prev",fx_Eqaime_VOEN,Report_SalesAndReceivables!$A20)-SUMIFS(fx_Edv_Edv,fx_Edv_Compare,"prev",fx_Edv_VOEN,Report_SalesAndReceivables!$A20)))</f>
        <v>0</v>
      </c>
      <c r="J20" s="61">
        <f>SUMIFS(fx_Eqaime_Esas,fx_Eqaime_Compare,"current",fx_Eqaime_VOEN,Report_SalesAndReceivables!$A20)</f>
        <v>0</v>
      </c>
      <c r="K20" s="67">
        <f>SUMIFS(fx_Eqaime_Edv,fx_Eqaime_Compare,"current",fx_Eqaime_VOEN,Report_SalesAndReceivables!$A20)</f>
        <v>0</v>
      </c>
      <c r="L20" s="67">
        <f>SUMIFS(fx_Bank_Esas,fx_Bank_Compare,"current",fx_Bank_Voen,Report_SalesAndReceivables!$A20)</f>
        <v>0</v>
      </c>
      <c r="M20" s="68">
        <f>SUMIFS(fx_Edv_Edv,fx_Edv_Compare,"current",fx_Edv_VOEN,Report_SalesAndReceivables!$A20)</f>
        <v>0</v>
      </c>
      <c r="N20" s="66">
        <f t="shared" si="7"/>
        <v>0</v>
      </c>
      <c r="O20" s="67">
        <f t="shared" si="6"/>
        <v>0</v>
      </c>
      <c r="P20" s="67">
        <f t="shared" si="1"/>
        <v>0</v>
      </c>
      <c r="Q20" s="68">
        <f t="shared" si="2"/>
        <v>0</v>
      </c>
    </row>
    <row r="21" spans="1:17" s="58" customFormat="1" ht="15.6" x14ac:dyDescent="0.3">
      <c r="A21" s="31" t="str">
        <f t="shared" si="3"/>
        <v>error</v>
      </c>
      <c r="B21" s="64" t="str">
        <f t="shared" si="0"/>
        <v/>
      </c>
      <c r="C21" s="65" t="str">
        <f>IF(D21="","",IFERROR(VLOOKUP(fx_Choosen_Month,map!$H:$I,2,0),""))</f>
        <v/>
      </c>
      <c r="D21" s="69"/>
      <c r="E21" s="77" t="str">
        <f>IFERROR(VLOOKUP($A21,map!$A:$C,3,0),"")</f>
        <v/>
      </c>
      <c r="F21" s="66">
        <f>IF(SUMIFS(fx_Eqaime_Esas,fx_Eqaime_Compare,"prev",fx_Eqaime_VOEN,Report_SalesAndReceivables!$A21)-SUMIFS(fx_Bank_Esas,fx_Bank_Compare,"prev",fx_Bank_Voen,Report_SalesAndReceivables!$A21)&gt;=0,SUMIFS(fx_Eqaime_Esas,fx_Eqaime_Compare,"prev",fx_Eqaime_VOEN,Report_SalesAndReceivables!$A21)-SUMIFS(fx_Bank_Esas,fx_Bank_Compare,"prev",fx_Bank_Voen,Report_SalesAndReceivables!$A21),0)</f>
        <v>0</v>
      </c>
      <c r="G21" s="62">
        <f>IF(SUMIFS(fx_Eqaime_Edv,fx_Eqaime_Compare,"prev",fx_Eqaime_VOEN,Report_SalesAndReceivables!$A21)-SUMIFS(fx_Edv_Edv,fx_Edv_Compare,"prev",fx_Edv_VOEN,Report_SalesAndReceivables!$A21)&gt;=0,SUMIFS(fx_Eqaime_Edv,fx_Eqaime_Compare,"prev",fx_Eqaime_VOEN,Report_SalesAndReceivables!$A21)-SUMIFS(fx_Edv_Edv,fx_Edv_Compare,"prev",fx_Edv_VOEN,Report_SalesAndReceivables!$A21),0)</f>
        <v>0</v>
      </c>
      <c r="H21" s="67">
        <f>IF(SUMIFS(fx_Eqaime_Esas,fx_Eqaime_Compare,"prev",fx_Eqaime_VOEN,Report_SalesAndReceivables!$A21)-SUMIFS(fx_Bank_Esas,fx_Bank_Compare,"prev",fx_Bank_Voen,Report_SalesAndReceivables!$A21)&gt;=0,0,-1*(SUMIFS(fx_Eqaime_Esas,fx_Eqaime_Compare,"prev",fx_Eqaime_VOEN,Report_SalesAndReceivables!$A21)-SUMIFS(fx_Bank_Esas,fx_Bank_Compare,"prev",fx_Bank_Voen,Report_SalesAndReceivables!$A21)))</f>
        <v>0</v>
      </c>
      <c r="I21" s="68">
        <f>IF(SUMIFS(fx_Eqaime_Edv,fx_Eqaime_Compare,"prev",fx_Eqaime_VOEN,Report_SalesAndReceivables!$A21)-SUMIFS(fx_Edv_Edv,fx_Edv_Compare,"prev",fx_Edv_VOEN,Report_SalesAndReceivables!$A21)&gt;=0,0,-1*(SUMIFS(fx_Eqaime_Edv,fx_Eqaime_Compare,"prev",fx_Eqaime_VOEN,Report_SalesAndReceivables!$A21)-SUMIFS(fx_Edv_Edv,fx_Edv_Compare,"prev",fx_Edv_VOEN,Report_SalesAndReceivables!$A21)))</f>
        <v>0</v>
      </c>
      <c r="J21" s="61">
        <f>SUMIFS(fx_Eqaime_Esas,fx_Eqaime_Compare,"current",fx_Eqaime_VOEN,Report_SalesAndReceivables!$A21)</f>
        <v>0</v>
      </c>
      <c r="K21" s="67">
        <f>SUMIFS(fx_Eqaime_Edv,fx_Eqaime_Compare,"current",fx_Eqaime_VOEN,Report_SalesAndReceivables!$A21)</f>
        <v>0</v>
      </c>
      <c r="L21" s="67">
        <f>SUMIFS(fx_Bank_Esas,fx_Bank_Compare,"current",fx_Bank_Voen,Report_SalesAndReceivables!$A21)</f>
        <v>0</v>
      </c>
      <c r="M21" s="68">
        <f>SUMIFS(fx_Edv_Edv,fx_Edv_Compare,"current",fx_Edv_VOEN,Report_SalesAndReceivables!$A21)</f>
        <v>0</v>
      </c>
      <c r="N21" s="66">
        <f t="shared" si="7"/>
        <v>0</v>
      </c>
      <c r="O21" s="67">
        <f t="shared" si="6"/>
        <v>0</v>
      </c>
      <c r="P21" s="67">
        <f t="shared" si="1"/>
        <v>0</v>
      </c>
      <c r="Q21" s="68">
        <f t="shared" si="2"/>
        <v>0</v>
      </c>
    </row>
    <row r="22" spans="1:17" s="58" customFormat="1" ht="15.6" x14ac:dyDescent="0.3">
      <c r="A22" s="31" t="str">
        <f t="shared" si="3"/>
        <v>error</v>
      </c>
      <c r="B22" s="64" t="str">
        <f t="shared" si="0"/>
        <v/>
      </c>
      <c r="C22" s="65" t="str">
        <f>IF(D22="","",IFERROR(VLOOKUP(fx_Choosen_Month,map!$H:$I,2,0),""))</f>
        <v/>
      </c>
      <c r="D22" s="69"/>
      <c r="E22" s="77" t="str">
        <f>IFERROR(VLOOKUP($A22,map!$A:$C,3,0),"")</f>
        <v/>
      </c>
      <c r="F22" s="66">
        <f>IF(SUMIFS(fx_Eqaime_Esas,fx_Eqaime_Compare,"prev",fx_Eqaime_VOEN,Report_SalesAndReceivables!$A22)-SUMIFS(fx_Bank_Esas,fx_Bank_Compare,"prev",fx_Bank_Voen,Report_SalesAndReceivables!$A22)&gt;=0,SUMIFS(fx_Eqaime_Esas,fx_Eqaime_Compare,"prev",fx_Eqaime_VOEN,Report_SalesAndReceivables!$A22)-SUMIFS(fx_Bank_Esas,fx_Bank_Compare,"prev",fx_Bank_Voen,Report_SalesAndReceivables!$A22),0)</f>
        <v>0</v>
      </c>
      <c r="G22" s="67">
        <f>IF(SUMIFS(fx_Eqaime_Edv,fx_Eqaime_Compare,"prev",fx_Eqaime_VOEN,Report_SalesAndReceivables!$A22)-SUMIFS(fx_Edv_Edv,fx_Edv_Compare,"prev",fx_Edv_VOEN,Report_SalesAndReceivables!$A22)&gt;=0,SUMIFS(fx_Eqaime_Edv,fx_Eqaime_Compare,"prev",fx_Eqaime_VOEN,Report_SalesAndReceivables!$A22)-SUMIFS(fx_Edv_Edv,fx_Edv_Compare,"prev",fx_Edv_VOEN,Report_SalesAndReceivables!$A22),0)</f>
        <v>0</v>
      </c>
      <c r="H22" s="67">
        <f>IF(SUMIFS(fx_Eqaime_Esas,fx_Eqaime_Compare,"prev",fx_Eqaime_VOEN,Report_SalesAndReceivables!$A22)-SUMIFS(fx_Bank_Esas,fx_Bank_Compare,"prev",fx_Bank_Voen,Report_SalesAndReceivables!$A22)&gt;=0,0,-1*(SUMIFS(fx_Eqaime_Esas,fx_Eqaime_Compare,"prev",fx_Eqaime_VOEN,Report_SalesAndReceivables!$A22)-SUMIFS(fx_Bank_Esas,fx_Bank_Compare,"prev",fx_Bank_Voen,Report_SalesAndReceivables!$A22)))</f>
        <v>0</v>
      </c>
      <c r="I22" s="68">
        <f>IF(SUMIFS(fx_Eqaime_Edv,fx_Eqaime_Compare,"prev",fx_Eqaime_VOEN,Report_SalesAndReceivables!$A22)-SUMIFS(fx_Edv_Edv,fx_Edv_Compare,"prev",fx_Edv_VOEN,Report_SalesAndReceivables!$A22)&gt;=0,0,-1*(SUMIFS(fx_Eqaime_Edv,fx_Eqaime_Compare,"prev",fx_Eqaime_VOEN,Report_SalesAndReceivables!$A22)-SUMIFS(fx_Edv_Edv,fx_Edv_Compare,"prev",fx_Edv_VOEN,Report_SalesAndReceivables!$A22)))</f>
        <v>0</v>
      </c>
      <c r="J22" s="61">
        <f>SUMIFS(fx_Eqaime_Esas,fx_Eqaime_Compare,"current",fx_Eqaime_VOEN,Report_SalesAndReceivables!$A22)</f>
        <v>0</v>
      </c>
      <c r="K22" s="67">
        <f>SUMIFS(fx_Eqaime_Edv,fx_Eqaime_Compare,"current",fx_Eqaime_VOEN,Report_SalesAndReceivables!$A22)</f>
        <v>0</v>
      </c>
      <c r="L22" s="67">
        <f>SUMIFS(fx_Bank_Esas,fx_Bank_Compare,"current",fx_Bank_Voen,Report_SalesAndReceivables!$A22)</f>
        <v>0</v>
      </c>
      <c r="M22" s="68">
        <f>SUMIFS(fx_Edv_Edv,fx_Edv_Compare,"current",fx_Edv_VOEN,Report_SalesAndReceivables!$A22)</f>
        <v>0</v>
      </c>
      <c r="N22" s="66">
        <f t="shared" si="7"/>
        <v>0</v>
      </c>
      <c r="O22" s="67">
        <f t="shared" si="6"/>
        <v>0</v>
      </c>
      <c r="P22" s="67">
        <f t="shared" si="1"/>
        <v>0</v>
      </c>
      <c r="Q22" s="68">
        <f t="shared" si="2"/>
        <v>0</v>
      </c>
    </row>
    <row r="23" spans="1:17" s="58" customFormat="1" ht="15.6" x14ac:dyDescent="0.3">
      <c r="A23" s="31" t="str">
        <f t="shared" ref="A23:A24" si="8">IF(OR(LEN(D23)=10,LEN(D23)=9),"v_"&amp;D23,"error")</f>
        <v>error</v>
      </c>
      <c r="B23" s="64" t="str">
        <f t="shared" ref="B23:B24" si="9">IF(D23="","",IF(B22="",1,B22+1))</f>
        <v/>
      </c>
      <c r="C23" s="65" t="str">
        <f>IF(D23="","",IFERROR(VLOOKUP(fx_Choosen_Month,map!$H:$I,2,0),""))</f>
        <v/>
      </c>
      <c r="D23" s="69"/>
      <c r="E23" s="77" t="str">
        <f>IFERROR(VLOOKUP($A23,map!$A:$C,3,0),"")</f>
        <v/>
      </c>
      <c r="F23" s="66">
        <f>IF(SUMIFS(fx_Eqaime_Esas,fx_Eqaime_Compare,"prev",fx_Eqaime_VOEN,Report_SalesAndReceivables!$A23)-SUMIFS(fx_Bank_Esas,fx_Bank_Compare,"prev",fx_Bank_Voen,Report_SalesAndReceivables!$A23)&gt;=0,SUMIFS(fx_Eqaime_Esas,fx_Eqaime_Compare,"prev",fx_Eqaime_VOEN,Report_SalesAndReceivables!$A23)-SUMIFS(fx_Bank_Esas,fx_Bank_Compare,"prev",fx_Bank_Voen,Report_SalesAndReceivables!$A23),0)</f>
        <v>0</v>
      </c>
      <c r="G23" s="67">
        <f>IF(SUMIFS(fx_Eqaime_Edv,fx_Eqaime_Compare,"prev",fx_Eqaime_VOEN,Report_SalesAndReceivables!$A23)-SUMIFS(fx_Edv_Edv,fx_Edv_Compare,"prev",fx_Edv_VOEN,Report_SalesAndReceivables!$A23)&gt;=0,SUMIFS(fx_Eqaime_Edv,fx_Eqaime_Compare,"prev",fx_Eqaime_VOEN,Report_SalesAndReceivables!$A23)-SUMIFS(fx_Edv_Edv,fx_Edv_Compare,"prev",fx_Edv_VOEN,Report_SalesAndReceivables!$A23),0)</f>
        <v>0</v>
      </c>
      <c r="H23" s="67">
        <f>IF(SUMIFS(fx_Eqaime_Esas,fx_Eqaime_Compare,"prev",fx_Eqaime_VOEN,Report_SalesAndReceivables!$A23)-SUMIFS(fx_Bank_Esas,fx_Bank_Compare,"prev",fx_Bank_Voen,Report_SalesAndReceivables!$A23)&gt;=0,0,-1*(SUMIFS(fx_Eqaime_Esas,fx_Eqaime_Compare,"prev",fx_Eqaime_VOEN,Report_SalesAndReceivables!$A23)-SUMIFS(fx_Bank_Esas,fx_Bank_Compare,"prev",fx_Bank_Voen,Report_SalesAndReceivables!$A23)))</f>
        <v>0</v>
      </c>
      <c r="I23" s="68">
        <f>IF(SUMIFS(fx_Eqaime_Edv,fx_Eqaime_Compare,"prev",fx_Eqaime_VOEN,Report_SalesAndReceivables!$A23)-SUMIFS(fx_Edv_Edv,fx_Edv_Compare,"prev",fx_Edv_VOEN,Report_SalesAndReceivables!$A23)&gt;=0,0,-1*(SUMIFS(fx_Eqaime_Edv,fx_Eqaime_Compare,"prev",fx_Eqaime_VOEN,Report_SalesAndReceivables!$A23)-SUMIFS(fx_Edv_Edv,fx_Edv_Compare,"prev",fx_Edv_VOEN,Report_SalesAndReceivables!$A23)))</f>
        <v>0</v>
      </c>
      <c r="J23" s="66">
        <f>SUMIFS(fx_Eqaime_Esas,fx_Eqaime_Compare,"current",fx_Eqaime_VOEN,Report_SalesAndReceivables!$A23)</f>
        <v>0</v>
      </c>
      <c r="K23" s="67">
        <f>SUMIFS(fx_Eqaime_Edv,fx_Eqaime_Compare,"current",fx_Eqaime_VOEN,Report_SalesAndReceivables!$A23)</f>
        <v>0</v>
      </c>
      <c r="L23" s="67">
        <f>SUMIFS(fx_Bank_Esas,fx_Bank_Compare,"current",fx_Bank_Voen,Report_SalesAndReceivables!$A23)</f>
        <v>0</v>
      </c>
      <c r="M23" s="68">
        <f>SUMIFS(fx_Edv_Edv,fx_Edv_Compare,"current",fx_Edv_VOEN,Report_SalesAndReceivables!$A23)</f>
        <v>0</v>
      </c>
      <c r="N23" s="66">
        <f t="shared" ref="N23:N24" si="10">IF((F23-H23+J23-L23)&gt;=0,(F23-H23+J23-L23),0)</f>
        <v>0</v>
      </c>
      <c r="O23" s="67">
        <f t="shared" ref="O23:O24" si="11">IF((G23-I23+K23-M23)&gt;=0,(G23-I23+K23-M23),0)</f>
        <v>0</v>
      </c>
      <c r="P23" s="67">
        <f t="shared" ref="P23:P24" si="12">IF((F23-H23+J23-L23)&gt;=0,0,-1*(F23-H23+J23-L23))</f>
        <v>0</v>
      </c>
      <c r="Q23" s="68">
        <f t="shared" ref="Q23:Q24" si="13">IF((G23-I23+K23-M23)&gt;=0,0,-1*(G23-I23+K23-M23))</f>
        <v>0</v>
      </c>
    </row>
    <row r="24" spans="1:17" s="58" customFormat="1" ht="15.6" x14ac:dyDescent="0.3">
      <c r="A24" s="31" t="str">
        <f t="shared" si="8"/>
        <v>error</v>
      </c>
      <c r="B24" s="64" t="str">
        <f t="shared" si="9"/>
        <v/>
      </c>
      <c r="C24" s="65" t="str">
        <f>IF(D24="","",IFERROR(VLOOKUP(fx_Choosen_Month,map!$H:$I,2,0),""))</f>
        <v/>
      </c>
      <c r="D24" s="69"/>
      <c r="E24" s="77" t="str">
        <f>IFERROR(VLOOKUP($A24,map!$A:$C,3,0),"")</f>
        <v/>
      </c>
      <c r="F24" s="66">
        <f>IF(SUMIFS(fx_Eqaime_Esas,fx_Eqaime_Compare,"prev",fx_Eqaime_VOEN,Report_SalesAndReceivables!$A24)-SUMIFS(fx_Bank_Esas,fx_Bank_Compare,"prev",fx_Bank_Voen,Report_SalesAndReceivables!$A24)&gt;=0,SUMIFS(fx_Eqaime_Esas,fx_Eqaime_Compare,"prev",fx_Eqaime_VOEN,Report_SalesAndReceivables!$A24)-SUMIFS(fx_Bank_Esas,fx_Bank_Compare,"prev",fx_Bank_Voen,Report_SalesAndReceivables!$A24),0)</f>
        <v>0</v>
      </c>
      <c r="G24" s="67">
        <f>IF(SUMIFS(fx_Eqaime_Edv,fx_Eqaime_Compare,"prev",fx_Eqaime_VOEN,Report_SalesAndReceivables!$A24)-SUMIFS(fx_Edv_Edv,fx_Edv_Compare,"prev",fx_Edv_VOEN,Report_SalesAndReceivables!$A24)&gt;=0,SUMIFS(fx_Eqaime_Edv,fx_Eqaime_Compare,"prev",fx_Eqaime_VOEN,Report_SalesAndReceivables!$A24)-SUMIFS(fx_Edv_Edv,fx_Edv_Compare,"prev",fx_Edv_VOEN,Report_SalesAndReceivables!$A24),0)</f>
        <v>0</v>
      </c>
      <c r="H24" s="67">
        <f>IF(SUMIFS(fx_Eqaime_Esas,fx_Eqaime_Compare,"prev",fx_Eqaime_VOEN,Report_SalesAndReceivables!$A24)-SUMIFS(fx_Bank_Esas,fx_Bank_Compare,"prev",fx_Bank_Voen,Report_SalesAndReceivables!$A24)&gt;=0,0,-1*(SUMIFS(fx_Eqaime_Esas,fx_Eqaime_Compare,"prev",fx_Eqaime_VOEN,Report_SalesAndReceivables!$A24)-SUMIFS(fx_Bank_Esas,fx_Bank_Compare,"prev",fx_Bank_Voen,Report_SalesAndReceivables!$A24)))</f>
        <v>0</v>
      </c>
      <c r="I24" s="68">
        <f>IF(SUMIFS(fx_Eqaime_Edv,fx_Eqaime_Compare,"prev",fx_Eqaime_VOEN,Report_SalesAndReceivables!$A24)-SUMIFS(fx_Edv_Edv,fx_Edv_Compare,"prev",fx_Edv_VOEN,Report_SalesAndReceivables!$A24)&gt;=0,0,-1*(SUMIFS(fx_Eqaime_Edv,fx_Eqaime_Compare,"prev",fx_Eqaime_VOEN,Report_SalesAndReceivables!$A24)-SUMIFS(fx_Edv_Edv,fx_Edv_Compare,"prev",fx_Edv_VOEN,Report_SalesAndReceivables!$A24)))</f>
        <v>0</v>
      </c>
      <c r="J24" s="66">
        <f>SUMIFS(fx_Eqaime_Esas,fx_Eqaime_Compare,"current",fx_Eqaime_VOEN,Report_SalesAndReceivables!$A24)</f>
        <v>0</v>
      </c>
      <c r="K24" s="67">
        <f>SUMIFS(fx_Eqaime_Edv,fx_Eqaime_Compare,"current",fx_Eqaime_VOEN,Report_SalesAndReceivables!$A24)</f>
        <v>0</v>
      </c>
      <c r="L24" s="67">
        <f>SUMIFS(fx_Bank_Esas,fx_Bank_Compare,"current",fx_Bank_Voen,Report_SalesAndReceivables!$A24)</f>
        <v>0</v>
      </c>
      <c r="M24" s="68">
        <f>SUMIFS(fx_Edv_Edv,fx_Edv_Compare,"current",fx_Edv_VOEN,Report_SalesAndReceivables!$A24)</f>
        <v>0</v>
      </c>
      <c r="N24" s="66">
        <f t="shared" si="10"/>
        <v>0</v>
      </c>
      <c r="O24" s="67">
        <f t="shared" si="11"/>
        <v>0</v>
      </c>
      <c r="P24" s="67">
        <f t="shared" si="12"/>
        <v>0</v>
      </c>
      <c r="Q24" s="68">
        <f t="shared" si="13"/>
        <v>0</v>
      </c>
    </row>
  </sheetData>
  <autoFilter ref="B11:Q14"/>
  <mergeCells count="16">
    <mergeCell ref="B5:C5"/>
    <mergeCell ref="N8:Q8"/>
    <mergeCell ref="J8:M8"/>
    <mergeCell ref="F8:I8"/>
    <mergeCell ref="H2:I2"/>
    <mergeCell ref="P2:Q2"/>
    <mergeCell ref="B8:B10"/>
    <mergeCell ref="P9:Q9"/>
    <mergeCell ref="E8:E10"/>
    <mergeCell ref="D8:D10"/>
    <mergeCell ref="C8:C10"/>
    <mergeCell ref="F9:G9"/>
    <mergeCell ref="H9:I9"/>
    <mergeCell ref="J9:K9"/>
    <mergeCell ref="L9:M9"/>
    <mergeCell ref="N9:O9"/>
  </mergeCells>
  <conditionalFormatting sqref="B5:Q5">
    <cfRule type="expression" dxfId="6" priority="19">
      <formula>$B$5&lt;&gt;0</formula>
    </cfRule>
  </conditionalFormatting>
  <conditionalFormatting sqref="D1:D1048576">
    <cfRule type="duplicateValues" dxfId="5" priority="7"/>
  </conditionalFormatting>
  <conditionalFormatting sqref="F12:Q24">
    <cfRule type="expression" dxfId="4" priority="5">
      <formula>$D12=""</formula>
    </cfRule>
    <cfRule type="cellIs" dxfId="3" priority="6" operator="equal">
      <formula>0</formula>
    </cfRule>
  </conditionalFormatting>
  <conditionalFormatting sqref="F1:M1 C2:C4">
    <cfRule type="cellIs" dxfId="2" priority="9" operator="equal">
      <formula>0</formula>
    </cfRule>
    <cfRule type="cellIs" dxfId="1" priority="10" operator="notEqual">
      <formula>0</formula>
    </cfRule>
  </conditionalFormatting>
  <dataValidations count="1">
    <dataValidation type="list" allowBlank="1" showInputMessage="1" showErrorMessage="1" sqref="D12:D24">
      <formula1>fx_VOENList</formula1>
    </dataValidation>
  </dataValidations>
  <pageMargins left="0.33" right="0" top="0.48" bottom="0" header="0.31496062992125984" footer="0.31496062992125984"/>
  <pageSetup paperSize="9" scale="58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map!$G$2:$G$13</xm:f>
          </x14:formula1>
          <xm:sqref>J8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dwh_eqaime</vt:lpstr>
      <vt:lpstr>dwh_bank</vt:lpstr>
      <vt:lpstr>dwh_deposit</vt:lpstr>
      <vt:lpstr>map</vt:lpstr>
      <vt:lpstr>Report_SalesAndReceivables</vt:lpstr>
      <vt:lpstr>fx_Bank_Compare</vt:lpstr>
      <vt:lpstr>fx_Bank_Date</vt:lpstr>
      <vt:lpstr>fx_Bank_Esas</vt:lpstr>
      <vt:lpstr>fx_Bank_IsNew</vt:lpstr>
      <vt:lpstr>fx_Bank_Voen</vt:lpstr>
      <vt:lpstr>fx_Choosen_DateEnd</vt:lpstr>
      <vt:lpstr>fx_Choosen_DateStart</vt:lpstr>
      <vt:lpstr>fx_Choosen_Month</vt:lpstr>
      <vt:lpstr>fx_Edv_Compare</vt:lpstr>
      <vt:lpstr>fx_Edv_Date</vt:lpstr>
      <vt:lpstr>fx_Edv_Edv</vt:lpstr>
      <vt:lpstr>fx_Edv_IsNew</vt:lpstr>
      <vt:lpstr>fx_Edv_VOEN</vt:lpstr>
      <vt:lpstr>fx_Eqaime_Compare</vt:lpstr>
      <vt:lpstr>fx_Eqaime_Date</vt:lpstr>
      <vt:lpstr>fx_Eqaime_Edv</vt:lpstr>
      <vt:lpstr>fx_Eqaime_Esas</vt:lpstr>
      <vt:lpstr>fx_Eqaime_IsNew</vt:lpstr>
      <vt:lpstr>fx_Eqaime_VOEN</vt:lpstr>
      <vt:lpstr>fx_Rep_VOEN</vt:lpstr>
      <vt:lpstr>fx_VOENList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2022-04-24T03:35:18Z</dcterms:modified>
</cp:coreProperties>
</file>