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IITB\ACMOS\ACMOS_Project\"/>
    </mc:Choice>
  </mc:AlternateContent>
  <xr:revisionPtr revIDLastSave="0" documentId="8_{50A3D497-AB66-4143-B0FC-4D417C5058A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heet1" sheetId="1" r:id="rId1"/>
    <sheet name="Calculations" sheetId="2" r:id="rId2"/>
    <sheet name="Calc_10mA_EXT" sheetId="3" r:id="rId3"/>
    <sheet name="Calc_2mA_EXT" sheetId="4" r:id="rId4"/>
    <sheet name="Calc_2mA_INT" sheetId="5" r:id="rId5"/>
    <sheet name="Calc_10mA_INT" sheetId="6" r:id="rId6"/>
    <sheet name="2000GAIN" sheetId="8" r:id="rId7"/>
    <sheet name="10000GAIN" sheetId="9" r:id="rId8"/>
    <sheet name="2000 (10mA)" sheetId="7" r:id="rId9"/>
  </sheets>
  <calcPr calcId="191029"/>
</workbook>
</file>

<file path=xl/calcChain.xml><?xml version="1.0" encoding="utf-8"?>
<calcChain xmlns="http://schemas.openxmlformats.org/spreadsheetml/2006/main">
  <c r="B17" i="8" l="1"/>
  <c r="B15" i="8"/>
  <c r="B12" i="8"/>
  <c r="B14" i="8" s="1"/>
  <c r="B9" i="8"/>
  <c r="B6" i="8"/>
  <c r="B7" i="8" s="1"/>
  <c r="B4" i="8"/>
  <c r="B8" i="8" s="1"/>
  <c r="B3" i="8"/>
  <c r="B15" i="9"/>
  <c r="B17" i="9" s="1"/>
  <c r="B14" i="9"/>
  <c r="B12" i="9"/>
  <c r="B9" i="9"/>
  <c r="M7" i="9"/>
  <c r="M8" i="9" s="1"/>
  <c r="M9" i="9" s="1"/>
  <c r="M10" i="9" s="1"/>
  <c r="B7" i="9"/>
  <c r="B6" i="9"/>
  <c r="B3" i="9"/>
  <c r="B4" i="9" s="1"/>
  <c r="B8" i="9" s="1"/>
  <c r="N35" i="7"/>
  <c r="M35" i="7"/>
  <c r="N34" i="7"/>
  <c r="M34" i="7"/>
  <c r="N30" i="7"/>
  <c r="M30" i="7"/>
  <c r="N29" i="7"/>
  <c r="M29" i="7"/>
  <c r="M25" i="7"/>
  <c r="D25" i="7"/>
  <c r="C25" i="7"/>
  <c r="N24" i="7"/>
  <c r="M24" i="7"/>
  <c r="I24" i="7"/>
  <c r="H24" i="7"/>
  <c r="H25" i="7" s="1"/>
  <c r="G24" i="7"/>
  <c r="G25" i="7" s="1"/>
  <c r="F24" i="7"/>
  <c r="F25" i="7" s="1"/>
  <c r="E24" i="7"/>
  <c r="E25" i="7" s="1"/>
  <c r="D24" i="7"/>
  <c r="C24" i="7"/>
  <c r="B24" i="7"/>
  <c r="B25" i="7" s="1"/>
  <c r="G22" i="7"/>
  <c r="F22" i="7"/>
  <c r="D22" i="7"/>
  <c r="F21" i="7"/>
  <c r="E21" i="7"/>
  <c r="D21" i="7"/>
  <c r="C21" i="7"/>
  <c r="B21" i="7"/>
  <c r="I20" i="7"/>
  <c r="I22" i="7" s="1"/>
  <c r="I25" i="7" s="1"/>
  <c r="H20" i="7"/>
  <c r="H22" i="7" s="1"/>
  <c r="G20" i="7"/>
  <c r="F20" i="7"/>
  <c r="E20" i="7"/>
  <c r="E22" i="7" s="1"/>
  <c r="D20" i="7"/>
  <c r="C20" i="7"/>
  <c r="C22" i="7" s="1"/>
  <c r="B20" i="7"/>
  <c r="B22" i="7" s="1"/>
  <c r="N19" i="7"/>
  <c r="M19" i="7"/>
  <c r="E19" i="7"/>
  <c r="C19" i="7"/>
  <c r="M18" i="7"/>
  <c r="I18" i="7"/>
  <c r="I19" i="7" s="1"/>
  <c r="H18" i="7"/>
  <c r="H19" i="7" s="1"/>
  <c r="G18" i="7"/>
  <c r="G19" i="7" s="1"/>
  <c r="F18" i="7"/>
  <c r="F19" i="7" s="1"/>
  <c r="E18" i="7"/>
  <c r="D18" i="7"/>
  <c r="D19" i="7" s="1"/>
  <c r="C18" i="7"/>
  <c r="B18" i="7"/>
  <c r="B19" i="7" s="1"/>
  <c r="D13" i="6"/>
  <c r="F13" i="6" s="1"/>
  <c r="D12" i="6"/>
  <c r="F12" i="6" s="1"/>
  <c r="D11" i="6"/>
  <c r="F11" i="6" s="1"/>
  <c r="E10" i="6"/>
  <c r="D10" i="6"/>
  <c r="F10" i="6" s="1"/>
  <c r="E9" i="6"/>
  <c r="D9" i="6"/>
  <c r="F9" i="6" s="1"/>
  <c r="E8" i="6"/>
  <c r="D8" i="6"/>
  <c r="F8" i="6" s="1"/>
  <c r="E7" i="6"/>
  <c r="D7" i="6"/>
  <c r="F7" i="6" s="1"/>
  <c r="E6" i="6"/>
  <c r="F6" i="6" s="1"/>
  <c r="D6" i="6"/>
  <c r="D13" i="5"/>
  <c r="F13" i="5" s="1"/>
  <c r="D12" i="5"/>
  <c r="F12" i="5" s="1"/>
  <c r="D11" i="5"/>
  <c r="F11" i="5" s="1"/>
  <c r="E10" i="5"/>
  <c r="D10" i="5"/>
  <c r="F10" i="5" s="1"/>
  <c r="E9" i="5"/>
  <c r="F9" i="5" s="1"/>
  <c r="D9" i="5"/>
  <c r="E8" i="5"/>
  <c r="D8" i="5"/>
  <c r="F8" i="5" s="1"/>
  <c r="E7" i="5"/>
  <c r="D7" i="5"/>
  <c r="F7" i="5" s="1"/>
  <c r="E6" i="5"/>
  <c r="D6" i="5"/>
  <c r="F6" i="5" s="1"/>
  <c r="F13" i="4"/>
  <c r="F12" i="4"/>
  <c r="F11" i="4"/>
  <c r="F10" i="4"/>
  <c r="F9" i="4"/>
  <c r="F8" i="4"/>
  <c r="F7" i="4"/>
  <c r="F6" i="4"/>
  <c r="E23" i="3"/>
  <c r="E21" i="3"/>
  <c r="E20" i="3"/>
  <c r="F13" i="3"/>
  <c r="F12" i="3"/>
  <c r="F11" i="3"/>
  <c r="F10" i="3"/>
  <c r="F9" i="3"/>
  <c r="F8" i="3"/>
  <c r="F7" i="3"/>
  <c r="F6" i="3"/>
  <c r="B10" i="2"/>
  <c r="B23" i="7" l="1"/>
  <c r="B26" i="2" l="1"/>
  <c r="B23" i="2"/>
  <c r="B20" i="2"/>
  <c r="B3" i="2"/>
  <c r="D60" i="1" l="1"/>
  <c r="C18" i="2"/>
  <c r="B18" i="2"/>
  <c r="B13" i="2"/>
  <c r="C12" i="2"/>
  <c r="C16" i="2" s="1"/>
  <c r="B12" i="2"/>
  <c r="B8" i="2"/>
  <c r="B7" i="2"/>
  <c r="B5" i="2"/>
  <c r="D33" i="1"/>
  <c r="D34" i="1"/>
  <c r="D30" i="1"/>
  <c r="D31" i="1" s="1"/>
  <c r="D40" i="1" s="1"/>
  <c r="D44" i="1"/>
  <c r="D49" i="1" s="1"/>
  <c r="D18" i="1"/>
  <c r="D43" i="1" s="1"/>
  <c r="D67" i="1"/>
  <c r="D73" i="1" s="1"/>
  <c r="D71" i="1"/>
  <c r="D74" i="1"/>
  <c r="D58" i="1"/>
  <c r="D62" i="1" s="1"/>
  <c r="D63" i="1"/>
  <c r="D64" i="1"/>
  <c r="D22" i="1"/>
  <c r="D20" i="1"/>
  <c r="B9" i="2" l="1"/>
  <c r="B14" i="2"/>
  <c r="B16" i="2" s="1"/>
  <c r="D79" i="1"/>
  <c r="D35" i="1"/>
  <c r="D37" i="1" s="1"/>
  <c r="D81" i="1" s="1"/>
  <c r="D82" i="1" s="1"/>
  <c r="D53" i="1"/>
  <c r="D50" i="1"/>
  <c r="D36" i="1"/>
  <c r="D51" i="1"/>
  <c r="D52" i="1" s="1"/>
  <c r="D48" i="1" l="1"/>
  <c r="D80" i="1"/>
  <c r="D83" i="1" s="1"/>
  <c r="D54" i="1"/>
</calcChain>
</file>

<file path=xl/sharedStrings.xml><?xml version="1.0" encoding="utf-8"?>
<sst xmlns="http://schemas.openxmlformats.org/spreadsheetml/2006/main" count="498" uniqueCount="255">
  <si>
    <t>Step 1: List Down the Specifications and classify them</t>
  </si>
  <si>
    <t>Value</t>
  </si>
  <si>
    <t>Vin</t>
  </si>
  <si>
    <t>Vout</t>
  </si>
  <si>
    <t>PSRR</t>
  </si>
  <si>
    <t>Iload|min</t>
  </si>
  <si>
    <t>Iload|max</t>
  </si>
  <si>
    <t>Cload</t>
  </si>
  <si>
    <t>Iquiescent</t>
  </si>
  <si>
    <t>Transient duration</t>
  </si>
  <si>
    <t>Step 2: Evaluate Interim Design Goals</t>
  </si>
  <si>
    <t>Drop Out Voltage</t>
  </si>
  <si>
    <t>ΔI (Load step)</t>
  </si>
  <si>
    <t>wumin</t>
  </si>
  <si>
    <t>Step 3: Power FET Sizing</t>
  </si>
  <si>
    <t>Power FET</t>
  </si>
  <si>
    <t>Hand/Techplots Calculations</t>
  </si>
  <si>
    <t>gm/Id</t>
  </si>
  <si>
    <t>Id/W</t>
  </si>
  <si>
    <t>Id</t>
  </si>
  <si>
    <t>W</t>
  </si>
  <si>
    <t>gmro</t>
  </si>
  <si>
    <t>ft</t>
  </si>
  <si>
    <t>Length</t>
  </si>
  <si>
    <t>gm</t>
  </si>
  <si>
    <t>ro</t>
  </si>
  <si>
    <t>Cgs+Cgd</t>
  </si>
  <si>
    <t>LIGHT LOAD</t>
  </si>
  <si>
    <t>Low-frequency loop gain light load</t>
  </si>
  <si>
    <t>gmlight</t>
  </si>
  <si>
    <t>Step 4: Revaluate Interim Design Parameters</t>
  </si>
  <si>
    <t>wp2heavy</t>
  </si>
  <si>
    <t>wp2light</t>
  </si>
  <si>
    <t>fp2light</t>
  </si>
  <si>
    <t>Adiffamp_min</t>
  </si>
  <si>
    <t>Adiff_n_min</t>
  </si>
  <si>
    <t>wp1</t>
  </si>
  <si>
    <t>fp1</t>
  </si>
  <si>
    <t>Step 5: Diffamp Input Pair Sizing (Heavy load error will be higher than light load because we used light load Charts)</t>
  </si>
  <si>
    <t>Hand Calculation.</t>
  </si>
  <si>
    <t>gm/Iddiff</t>
  </si>
  <si>
    <t>Step 6: PMOS Load sizing (Vds assumed to be 0.4 for techplots - which can change)</t>
  </si>
  <si>
    <t>Sizing CC</t>
  </si>
  <si>
    <t>rodiff</t>
  </si>
  <si>
    <t>Cc+Cgd</t>
  </si>
  <si>
    <t>Cgg</t>
  </si>
  <si>
    <t>Cgd</t>
  </si>
  <si>
    <t>Cc</t>
  </si>
  <si>
    <t>Vin-Vout of the LDO</t>
  </si>
  <si>
    <t>Imax-Imin</t>
  </si>
  <si>
    <t>1/tau or transient duration</t>
  </si>
  <si>
    <t>Proxy for 200 mV Vov (You can change it later as long as you guarantee the transistor in saturation)</t>
  </si>
  <si>
    <t>From techplots of PMOS</t>
  </si>
  <si>
    <t>Id/(Id/W)</t>
  </si>
  <si>
    <t>Design for max load</t>
  </si>
  <si>
    <t>From techplots</t>
  </si>
  <si>
    <t>Minimum length to keep pass fet area low</t>
  </si>
  <si>
    <t>gm/Id  * Id</t>
  </si>
  <si>
    <t>gmro/gm</t>
  </si>
  <si>
    <t>ft/gm/2pi</t>
  </si>
  <si>
    <t>Worst Case Stability Condition</t>
  </si>
  <si>
    <t>Imin</t>
  </si>
  <si>
    <t>Imin/Width derived above</t>
  </si>
  <si>
    <t>gm/Id*Id</t>
  </si>
  <si>
    <t>Apass scales by gmro_light/gmro_heavy. Same scaling factor for Loop Gain : So 1000*(65/33)</t>
  </si>
  <si>
    <t>gmpass_heavy/CL</t>
  </si>
  <si>
    <t>gmpass_light/CL</t>
  </si>
  <si>
    <t>gmpass_light/CL/2pi</t>
  </si>
  <si>
    <t>Alg/Apass_heavy</t>
  </si>
  <si>
    <t>Apass_heavy (gmro)</t>
  </si>
  <si>
    <t>Low Freq Loop Gain (Alg)</t>
  </si>
  <si>
    <t>Adiffamp_min*2 : Diffamp gain is gmro/2 so gmro is 2*Adiffamp_min</t>
  </si>
  <si>
    <t>Notes</t>
  </si>
  <si>
    <t>20*log(Vin/Vout) You can also have it as 20*log(Vout/Vin) and then report PSRR as negative</t>
  </si>
  <si>
    <t>Again, proxy for 200 mV</t>
  </si>
  <si>
    <t>Ibias/2</t>
  </si>
  <si>
    <t>From NMOS techplots</t>
  </si>
  <si>
    <t>From NMOS techplots: Choose higher, a little overdesigned</t>
  </si>
  <si>
    <t>gm/Id * Id</t>
  </si>
  <si>
    <t>Match with the gm/Id of Pass FET for reduced Vds mismatch</t>
  </si>
  <si>
    <t>From PMOS Techplots</t>
  </si>
  <si>
    <t>If you don’t have exact Vds techplots, then choose the length accordingly. For us, we have techplots for Vds of 0.4 and Vds of Pload is Vt+Vov (&gt;0.7V)</t>
  </si>
  <si>
    <t>rop||ron</t>
  </si>
  <si>
    <t>1/wp1/rodiff/Apass</t>
  </si>
  <si>
    <t>From gmpass fT</t>
  </si>
  <si>
    <t>For our technology Cgd is 0.33*Cgg in Saturation</t>
  </si>
  <si>
    <t>(Cc+Cgd)-Cgd</t>
  </si>
  <si>
    <t xml:space="preserve">PASSFET SIZING </t>
  </si>
  <si>
    <t>id</t>
  </si>
  <si>
    <t>gm/id</t>
  </si>
  <si>
    <t>A</t>
  </si>
  <si>
    <t>length=90</t>
  </si>
  <si>
    <t>id/w</t>
  </si>
  <si>
    <t>from plot</t>
  </si>
  <si>
    <t>w</t>
  </si>
  <si>
    <t xml:space="preserve">ft </t>
  </si>
  <si>
    <t>cgg</t>
  </si>
  <si>
    <t>cgd</t>
  </si>
  <si>
    <t>cgg/3</t>
  </si>
  <si>
    <t>from tech plots</t>
  </si>
  <si>
    <t>gmropass</t>
  </si>
  <si>
    <t>adiff</t>
  </si>
  <si>
    <t xml:space="preserve">id diff </t>
  </si>
  <si>
    <t>gm diff</t>
  </si>
  <si>
    <t>cload</t>
  </si>
  <si>
    <t>diffamp also 200mv sat</t>
  </si>
  <si>
    <t>gmro diff</t>
  </si>
  <si>
    <t>90nm</t>
  </si>
  <si>
    <t>w diffamp pmos</t>
  </si>
  <si>
    <t>w diffamp nmos</t>
  </si>
  <si>
    <t>L diffamp pmos</t>
  </si>
  <si>
    <t>ID/W pmos</t>
  </si>
  <si>
    <t>ID/W nmos</t>
  </si>
  <si>
    <t>L diffamp nmos</t>
  </si>
  <si>
    <t>Formula : Cc = (Aov / (rodiff * Apass * (Gmpass / Cload))) - Cgd</t>
  </si>
  <si>
    <t>w (passfet)</t>
  </si>
  <si>
    <t>Diff. Amp Transistors Sizing</t>
  </si>
  <si>
    <t>Current mirror transistor sizings</t>
  </si>
  <si>
    <t>L Current mirror nmos</t>
  </si>
  <si>
    <t>w Current mirror nmos</t>
  </si>
  <si>
    <t>270nm</t>
  </si>
  <si>
    <t>sizings are same for both internal and external compensated ldo expect Cc value is calcuated using matlab</t>
  </si>
  <si>
    <t>Id = 10mA (External)</t>
  </si>
  <si>
    <t>Transistor</t>
  </si>
  <si>
    <t>Type</t>
  </si>
  <si>
    <t>Sizing</t>
  </si>
  <si>
    <t xml:space="preserve">Vds/Vsd  </t>
  </si>
  <si>
    <t>Vgs /Vsg</t>
  </si>
  <si>
    <t>|Vth |</t>
  </si>
  <si>
    <t>Vgs/Vsg - |Vth|</t>
  </si>
  <si>
    <t>Operating Point</t>
  </si>
  <si>
    <t>L (m)</t>
  </si>
  <si>
    <t>W (m)</t>
  </si>
  <si>
    <t>Area (m²)</t>
  </si>
  <si>
    <t>(V)</t>
  </si>
  <si>
    <t>M1</t>
  </si>
  <si>
    <t>PMOS</t>
  </si>
  <si>
    <t>Saturation</t>
  </si>
  <si>
    <t>M2</t>
  </si>
  <si>
    <t>Mpass</t>
  </si>
  <si>
    <t>M4</t>
  </si>
  <si>
    <t>NMOS</t>
  </si>
  <si>
    <t>M5</t>
  </si>
  <si>
    <t>M6</t>
  </si>
  <si>
    <t>M7</t>
  </si>
  <si>
    <t>M8</t>
  </si>
  <si>
    <t>Total Area of IC: 2.55E-11</t>
  </si>
  <si>
    <t>Hand Calculations for Passfet</t>
  </si>
  <si>
    <t>Parameter</t>
  </si>
  <si>
    <t>Hand Calculations</t>
  </si>
  <si>
    <t>Simulation Results</t>
  </si>
  <si>
    <t>Difference (%)</t>
  </si>
  <si>
    <t>ro (Ω)</t>
  </si>
  <si>
    <t>gm (A/V)</t>
  </si>
  <si>
    <t>Wp1 (Hz)</t>
  </si>
  <si>
    <t>18.7</t>
  </si>
  <si>
    <t>Id = 2mA (External)</t>
  </si>
  <si>
    <t>|Vth|</t>
  </si>
  <si>
    <t>1531.39</t>
  </si>
  <si>
    <t>38.8</t>
  </si>
  <si>
    <t>0.0358</t>
  </si>
  <si>
    <t>-79.0</t>
  </si>
  <si>
    <t>653.59</t>
  </si>
  <si>
    <t>-63.4</t>
  </si>
  <si>
    <t>54.82</t>
  </si>
  <si>
    <t>-9.64</t>
  </si>
  <si>
    <t>Id = 2mA (Internal)</t>
  </si>
  <si>
    <t>Total Area of IC:  2.55E-11</t>
  </si>
  <si>
    <t>37.23</t>
  </si>
  <si>
    <t>-60.1</t>
  </si>
  <si>
    <t>54.8</t>
  </si>
  <si>
    <t>-12.3</t>
  </si>
  <si>
    <t>Id = 10mA (Internal)</t>
  </si>
  <si>
    <t>406.50</t>
  </si>
  <si>
    <t>16.7</t>
  </si>
  <si>
    <t>0.0991</t>
  </si>
  <si>
    <t>-0.9</t>
  </si>
  <si>
    <t>-20.4</t>
  </si>
  <si>
    <t>40.3</t>
  </si>
  <si>
    <t>17.4</t>
  </si>
  <si>
    <t>Name:</t>
  </si>
  <si>
    <t>m1</t>
  </si>
  <si>
    <t>m2</t>
  </si>
  <si>
    <t>mpass</t>
  </si>
  <si>
    <t>m4</t>
  </si>
  <si>
    <t>m5</t>
  </si>
  <si>
    <t>m6</t>
  </si>
  <si>
    <t>m7</t>
  </si>
  <si>
    <t>m8</t>
  </si>
  <si>
    <t>Model:</t>
  </si>
  <si>
    <t>pmos</t>
  </si>
  <si>
    <t>nmos</t>
  </si>
  <si>
    <t>Id:</t>
  </si>
  <si>
    <t>Vgs:</t>
  </si>
  <si>
    <t>Vds:</t>
  </si>
  <si>
    <t>Vbs:</t>
  </si>
  <si>
    <t>Vth:</t>
  </si>
  <si>
    <t>Vdsat:</t>
  </si>
  <si>
    <t>Gm:</t>
  </si>
  <si>
    <t>Gds:</t>
  </si>
  <si>
    <t>Gmb</t>
  </si>
  <si>
    <t>Cbd:</t>
  </si>
  <si>
    <t>Cbs:</t>
  </si>
  <si>
    <t xml:space="preserve">gain </t>
  </si>
  <si>
    <t>area</t>
  </si>
  <si>
    <t>PERCENTAGE</t>
  </si>
  <si>
    <t>rds</t>
  </si>
  <si>
    <t>gm*rds</t>
  </si>
  <si>
    <t>length</t>
  </si>
  <si>
    <t>width</t>
  </si>
  <si>
    <t>area of mos</t>
  </si>
  <si>
    <t>Total Area of IC</t>
  </si>
  <si>
    <t>PARAMTER</t>
  </si>
  <si>
    <t>GAIN =1000</t>
  </si>
  <si>
    <t>GAIN=2000</t>
  </si>
  <si>
    <t>UNITS</t>
  </si>
  <si>
    <t>trend</t>
  </si>
  <si>
    <t>Vgs/Vsg - |vth|</t>
  </si>
  <si>
    <t>Area</t>
  </si>
  <si>
    <t>saturation check</t>
  </si>
  <si>
    <t>CLOSELOOP PSRR HIGH LOAD</t>
  </si>
  <si>
    <t>db</t>
  </si>
  <si>
    <t>INCREASED</t>
  </si>
  <si>
    <t>CLOSE  LOOP PSRR LOW LOAD</t>
  </si>
  <si>
    <t>OPEN LOOP GAIN LOW LOAD</t>
  </si>
  <si>
    <t>POLE1 LOW LOAD</t>
  </si>
  <si>
    <t>107.568hz</t>
  </si>
  <si>
    <t>POLE2 LOW LOAD</t>
  </si>
  <si>
    <t>wugb LOW LOAD</t>
  </si>
  <si>
    <t>PHASE MARGIN LOWLOAD</t>
  </si>
  <si>
    <t>DECREASED</t>
  </si>
  <si>
    <t xml:space="preserve">OPEN LOOP GAIN HIGH LOAD </t>
  </si>
  <si>
    <t>OPENLOOPGAIN</t>
  </si>
  <si>
    <t>POLE1 HIGHLOAD</t>
  </si>
  <si>
    <t>HZ</t>
  </si>
  <si>
    <t>PHASEMARGIN</t>
  </si>
  <si>
    <t>POLE2 HIGHLOAD</t>
  </si>
  <si>
    <t>PSRR_LOWLOAD</t>
  </si>
  <si>
    <t>WUGBHIGHLOAD</t>
  </si>
  <si>
    <t>PHASEMARGIN HIGHLOAD</t>
  </si>
  <si>
    <t>A=2000</t>
  </si>
  <si>
    <t>passfet =90nm</t>
  </si>
  <si>
    <t>gmro(pass)</t>
  </si>
  <si>
    <t>gmro(adiff)</t>
  </si>
  <si>
    <t>ropass</t>
  </si>
  <si>
    <t>pmos length =135nm</t>
  </si>
  <si>
    <t>gm/id adiff</t>
  </si>
  <si>
    <t xml:space="preserve">id </t>
  </si>
  <si>
    <t>id/w(pmos)</t>
  </si>
  <si>
    <t>id/w(nmos)</t>
  </si>
  <si>
    <t>nmos lenth=135nm</t>
  </si>
  <si>
    <t>w(nmos)</t>
  </si>
  <si>
    <t>ro=500</t>
  </si>
  <si>
    <t>f</t>
  </si>
  <si>
    <t>ID =10mA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</si>
</sst>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sz val="2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9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11" fontId="0" fillId="0" borderId="0" xfId="0" applyNumberFormat="1"/>
    <xf numFmtId="0" fontId="2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12" xfId="0" applyFill="1" applyBorder="1"/>
    <xf numFmtId="0" fontId="1" fillId="0" borderId="13" xfId="0" applyFont="1" applyBorder="1"/>
    <xf numFmtId="0" fontId="0" fillId="0" borderId="14" xfId="0" applyBorder="1"/>
    <xf numFmtId="0" fontId="0" fillId="0" borderId="17" xfId="0" applyBorder="1"/>
    <xf numFmtId="0" fontId="1" fillId="0" borderId="18" xfId="0" applyFont="1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left"/>
    </xf>
    <xf numFmtId="0" fontId="0" fillId="0" borderId="21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7" xfId="0" applyFon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/>
    <xf numFmtId="0" fontId="0" fillId="4" borderId="25" xfId="0" applyFill="1" applyBorder="1" applyAlignment="1">
      <alignment horizontal="center"/>
    </xf>
    <xf numFmtId="0" fontId="1" fillId="0" borderId="8" xfId="0" applyFont="1" applyBorder="1"/>
    <xf numFmtId="0" fontId="9" fillId="4" borderId="0" xfId="0" applyFont="1" applyFill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9" fillId="0" borderId="31" xfId="0" applyFont="1" applyBorder="1"/>
    <xf numFmtId="0" fontId="9" fillId="0" borderId="4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35" xfId="0" applyFont="1" applyBorder="1"/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6" xfId="0" applyFont="1" applyBorder="1"/>
    <xf numFmtId="0" fontId="0" fillId="0" borderId="6" xfId="0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0" fontId="9" fillId="0" borderId="8" xfId="0" applyFont="1" applyBorder="1"/>
    <xf numFmtId="0" fontId="0" fillId="0" borderId="8" xfId="0" applyBorder="1" applyAlignment="1">
      <alignment horizontal="center" vertical="center"/>
    </xf>
    <xf numFmtId="11" fontId="0" fillId="0" borderId="35" xfId="0" applyNumberFormat="1" applyBorder="1" applyAlignment="1">
      <alignment horizontal="center" vertical="center"/>
    </xf>
    <xf numFmtId="11" fontId="0" fillId="0" borderId="35" xfId="0" quotePrefix="1" applyNumberFormat="1" applyBorder="1" applyAlignment="1">
      <alignment horizontal="center" vertical="center"/>
    </xf>
    <xf numFmtId="11" fontId="0" fillId="0" borderId="25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9" fillId="4" borderId="0" xfId="0" applyNumberFormat="1" applyFon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1" fontId="0" fillId="4" borderId="9" xfId="0" applyNumberFormat="1" applyFill="1" applyBorder="1" applyAlignment="1">
      <alignment horizontal="center" vertical="center"/>
    </xf>
    <xf numFmtId="0" fontId="9" fillId="0" borderId="32" xfId="0" applyFont="1" applyBorder="1"/>
    <xf numFmtId="0" fontId="9" fillId="0" borderId="3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quotePrefix="1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1" fontId="0" fillId="0" borderId="28" xfId="0" applyNumberFormat="1" applyBorder="1" applyAlignment="1">
      <alignment horizontal="center"/>
    </xf>
    <xf numFmtId="11" fontId="0" fillId="0" borderId="35" xfId="0" applyNumberForma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/>
    </xf>
    <xf numFmtId="11" fontId="0" fillId="0" borderId="31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3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0" fillId="0" borderId="7" xfId="0" quotePrefix="1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4" xfId="0" applyNumberFormat="1" applyBorder="1"/>
    <xf numFmtId="11" fontId="0" fillId="0" borderId="10" xfId="0" quotePrefix="1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17" xfId="0" applyNumberFormat="1" applyBorder="1"/>
    <xf numFmtId="11" fontId="0" fillId="0" borderId="31" xfId="0" quotePrefix="1" applyNumberFormat="1" applyBorder="1" applyAlignment="1">
      <alignment horizont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31" xfId="0" quotePrefix="1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1" fontId="0" fillId="0" borderId="1" xfId="0" applyNumberFormat="1" applyBorder="1"/>
    <xf numFmtId="11" fontId="0" fillId="0" borderId="32" xfId="0" applyNumberFormat="1" applyBorder="1"/>
    <xf numFmtId="11" fontId="0" fillId="0" borderId="33" xfId="0" applyNumberFormat="1" applyBorder="1"/>
    <xf numFmtId="11" fontId="0" fillId="0" borderId="34" xfId="0" applyNumberForma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11" fontId="0" fillId="0" borderId="6" xfId="0" applyNumberFormat="1" applyBorder="1"/>
    <xf numFmtId="11" fontId="0" fillId="0" borderId="0" xfId="0" quotePrefix="1" applyNumberFormat="1"/>
    <xf numFmtId="0" fontId="9" fillId="0" borderId="2" xfId="0" applyFont="1" applyBorder="1"/>
    <xf numFmtId="11" fontId="0" fillId="0" borderId="32" xfId="0" applyNumberFormat="1" applyBorder="1" applyAlignment="1">
      <alignment horizontal="center"/>
    </xf>
    <xf numFmtId="11" fontId="0" fillId="0" borderId="33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0" fontId="9" fillId="0" borderId="1" xfId="0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4" borderId="3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11" fontId="0" fillId="0" borderId="16" xfId="0" applyNumberForma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10</xdr:row>
      <xdr:rowOff>179294</xdr:rowOff>
    </xdr:from>
    <xdr:to>
      <xdr:col>14</xdr:col>
      <xdr:colOff>64265</xdr:colOff>
      <xdr:row>31</xdr:row>
      <xdr:rowOff>136031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B46C92-219D-3CB5-E56D-C642E2B69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9423" y="2217414"/>
          <a:ext cx="4085420" cy="4198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3"/>
  <sheetViews>
    <sheetView topLeftCell="A70" zoomScale="93" zoomScaleNormal="70" workbookViewId="0">
      <selection activeCell="G66" sqref="G66"/>
    </sheetView>
  </sheetViews>
  <sheetFormatPr defaultColWidth="11.19921875" defaultRowHeight="15.6" x14ac:dyDescent="0.3"/>
  <sheetData>
    <row r="3" spans="2:6" s="10" customFormat="1" ht="25.8" x14ac:dyDescent="0.5">
      <c r="B3" s="11" t="s">
        <v>0</v>
      </c>
      <c r="C3" s="11"/>
    </row>
    <row r="5" spans="2:6" x14ac:dyDescent="0.3">
      <c r="D5" s="1" t="s">
        <v>1</v>
      </c>
      <c r="F5" t="s">
        <v>72</v>
      </c>
    </row>
    <row r="7" spans="2:6" x14ac:dyDescent="0.3">
      <c r="B7" t="s">
        <v>2</v>
      </c>
      <c r="D7">
        <v>1.4</v>
      </c>
    </row>
    <row r="8" spans="2:6" x14ac:dyDescent="0.3">
      <c r="B8" t="s">
        <v>3</v>
      </c>
      <c r="D8">
        <v>1</v>
      </c>
    </row>
    <row r="9" spans="2:6" x14ac:dyDescent="0.3">
      <c r="B9" t="s">
        <v>4</v>
      </c>
      <c r="D9">
        <v>60</v>
      </c>
      <c r="F9" t="s">
        <v>73</v>
      </c>
    </row>
    <row r="10" spans="2:6" x14ac:dyDescent="0.3">
      <c r="B10" t="s">
        <v>5</v>
      </c>
      <c r="D10">
        <v>2</v>
      </c>
    </row>
    <row r="11" spans="2:6" x14ac:dyDescent="0.3">
      <c r="B11" t="s">
        <v>6</v>
      </c>
      <c r="D11">
        <v>10</v>
      </c>
    </row>
    <row r="12" spans="2:6" x14ac:dyDescent="0.3">
      <c r="B12" t="s">
        <v>7</v>
      </c>
      <c r="D12">
        <v>2</v>
      </c>
    </row>
    <row r="13" spans="2:6" x14ac:dyDescent="0.3">
      <c r="B13" t="s">
        <v>8</v>
      </c>
      <c r="D13">
        <v>50</v>
      </c>
    </row>
    <row r="14" spans="2:6" x14ac:dyDescent="0.3">
      <c r="B14" t="s">
        <v>9</v>
      </c>
      <c r="D14">
        <v>1</v>
      </c>
    </row>
    <row r="16" spans="2:6" s="10" customFormat="1" ht="25.8" x14ac:dyDescent="0.5">
      <c r="B16" s="11" t="s">
        <v>10</v>
      </c>
      <c r="C16" s="11"/>
    </row>
    <row r="18" spans="2:6" x14ac:dyDescent="0.3">
      <c r="B18" t="s">
        <v>70</v>
      </c>
      <c r="D18">
        <f>10^(D9/20)</f>
        <v>1000</v>
      </c>
    </row>
    <row r="19" spans="2:6" x14ac:dyDescent="0.3">
      <c r="B19" t="s">
        <v>11</v>
      </c>
      <c r="D19">
        <v>0.4</v>
      </c>
      <c r="F19" t="s">
        <v>48</v>
      </c>
    </row>
    <row r="20" spans="2:6" x14ac:dyDescent="0.3">
      <c r="B20" t="s">
        <v>12</v>
      </c>
      <c r="D20">
        <f>(D11-D10)/1000</f>
        <v>8.0000000000000002E-3</v>
      </c>
      <c r="F20" t="s">
        <v>49</v>
      </c>
    </row>
    <row r="22" spans="2:6" x14ac:dyDescent="0.3">
      <c r="B22" t="s">
        <v>13</v>
      </c>
      <c r="D22">
        <f>1/(D14*0.000001)</f>
        <v>1000000</v>
      </c>
      <c r="F22" t="s">
        <v>50</v>
      </c>
    </row>
    <row r="24" spans="2:6" s="10" customFormat="1" ht="25.8" x14ac:dyDescent="0.5">
      <c r="B24" s="11" t="s">
        <v>14</v>
      </c>
      <c r="C24" s="11"/>
    </row>
    <row r="26" spans="2:6" ht="18" x14ac:dyDescent="0.35">
      <c r="B26" s="2" t="s">
        <v>15</v>
      </c>
      <c r="C26" s="2"/>
    </row>
    <row r="27" spans="2:6" x14ac:dyDescent="0.3">
      <c r="D27" s="1" t="s">
        <v>16</v>
      </c>
    </row>
    <row r="28" spans="2:6" x14ac:dyDescent="0.3">
      <c r="B28" t="s">
        <v>17</v>
      </c>
      <c r="D28">
        <v>10</v>
      </c>
      <c r="F28" t="s">
        <v>51</v>
      </c>
    </row>
    <row r="29" spans="2:6" x14ac:dyDescent="0.3">
      <c r="B29" t="s">
        <v>18</v>
      </c>
      <c r="D29">
        <v>37.35</v>
      </c>
      <c r="F29" t="s">
        <v>52</v>
      </c>
    </row>
    <row r="30" spans="2:6" x14ac:dyDescent="0.3">
      <c r="B30" t="s">
        <v>19</v>
      </c>
      <c r="D30">
        <f>10*10^-3</f>
        <v>0.01</v>
      </c>
      <c r="F30" t="s">
        <v>54</v>
      </c>
    </row>
    <row r="31" spans="2:6" x14ac:dyDescent="0.3">
      <c r="B31" s="3" t="s">
        <v>20</v>
      </c>
      <c r="C31" s="3"/>
      <c r="D31" s="3">
        <f>D30/D29</f>
        <v>2.6773761713520751E-4</v>
      </c>
      <c r="F31" s="6" t="s">
        <v>53</v>
      </c>
    </row>
    <row r="32" spans="2:6" x14ac:dyDescent="0.3">
      <c r="B32" t="s">
        <v>69</v>
      </c>
      <c r="D32">
        <v>50</v>
      </c>
      <c r="F32" t="s">
        <v>55</v>
      </c>
    </row>
    <row r="33" spans="2:6" x14ac:dyDescent="0.3">
      <c r="B33" t="s">
        <v>22</v>
      </c>
      <c r="D33" s="4">
        <f>2.71*10^10</f>
        <v>27100000000</v>
      </c>
      <c r="F33" t="s">
        <v>55</v>
      </c>
    </row>
    <row r="34" spans="2:6" x14ac:dyDescent="0.3">
      <c r="B34" s="3" t="s">
        <v>23</v>
      </c>
      <c r="C34" s="3"/>
      <c r="D34" s="3">
        <f>90*10^-9</f>
        <v>9.0000000000000012E-8</v>
      </c>
      <c r="F34" t="s">
        <v>56</v>
      </c>
    </row>
    <row r="35" spans="2:6" x14ac:dyDescent="0.3">
      <c r="B35" t="s">
        <v>24</v>
      </c>
      <c r="D35" s="4">
        <f>D28*D30</f>
        <v>0.1</v>
      </c>
      <c r="F35" t="s">
        <v>57</v>
      </c>
    </row>
    <row r="36" spans="2:6" x14ac:dyDescent="0.3">
      <c r="B36" t="s">
        <v>25</v>
      </c>
      <c r="D36" s="4">
        <f>D32/D35</f>
        <v>500</v>
      </c>
      <c r="F36" t="s">
        <v>58</v>
      </c>
    </row>
    <row r="37" spans="2:6" x14ac:dyDescent="0.3">
      <c r="B37" t="s">
        <v>26</v>
      </c>
      <c r="D37" s="4">
        <f>D35/2/3.142/D33</f>
        <v>5.8721147364242589E-13</v>
      </c>
      <c r="F37" t="s">
        <v>59</v>
      </c>
    </row>
    <row r="38" spans="2:6" x14ac:dyDescent="0.3">
      <c r="B38" s="1" t="s">
        <v>27</v>
      </c>
      <c r="C38" s="1"/>
      <c r="D38" s="4"/>
      <c r="F38" t="s">
        <v>60</v>
      </c>
    </row>
    <row r="39" spans="2:6" x14ac:dyDescent="0.3">
      <c r="B39" t="s">
        <v>19</v>
      </c>
      <c r="D39" s="4">
        <v>2E-3</v>
      </c>
      <c r="F39" t="s">
        <v>61</v>
      </c>
    </row>
    <row r="40" spans="2:6" x14ac:dyDescent="0.3">
      <c r="B40" t="s">
        <v>18</v>
      </c>
      <c r="D40" s="4">
        <f>D39/D31</f>
        <v>7.47</v>
      </c>
      <c r="F40" t="s">
        <v>62</v>
      </c>
    </row>
    <row r="41" spans="2:6" x14ac:dyDescent="0.3">
      <c r="B41" t="s">
        <v>17</v>
      </c>
      <c r="D41">
        <v>17.55</v>
      </c>
      <c r="F41" t="s">
        <v>55</v>
      </c>
    </row>
    <row r="42" spans="2:6" x14ac:dyDescent="0.3">
      <c r="B42" t="s">
        <v>21</v>
      </c>
      <c r="D42">
        <v>59.23</v>
      </c>
      <c r="F42" t="s">
        <v>55</v>
      </c>
    </row>
    <row r="43" spans="2:6" x14ac:dyDescent="0.3">
      <c r="B43" t="s">
        <v>28</v>
      </c>
      <c r="D43">
        <f>D18*D42/D32</f>
        <v>1184.5999999999999</v>
      </c>
      <c r="F43" t="s">
        <v>64</v>
      </c>
    </row>
    <row r="44" spans="2:6" x14ac:dyDescent="0.3">
      <c r="B44" t="s">
        <v>29</v>
      </c>
      <c r="D44" s="4">
        <f>D41*D39</f>
        <v>3.5099999999999999E-2</v>
      </c>
      <c r="F44" t="s">
        <v>63</v>
      </c>
    </row>
    <row r="45" spans="2:6" x14ac:dyDescent="0.3">
      <c r="D45" s="4"/>
    </row>
    <row r="46" spans="2:6" s="10" customFormat="1" ht="25.8" x14ac:dyDescent="0.5">
      <c r="B46" s="11" t="s">
        <v>30</v>
      </c>
      <c r="C46" s="11"/>
    </row>
    <row r="48" spans="2:6" x14ac:dyDescent="0.3">
      <c r="B48" t="s">
        <v>31</v>
      </c>
      <c r="D48" s="4">
        <f>D35/(D12+(D37/2))/0.000000001</f>
        <v>49999999.999992661</v>
      </c>
      <c r="F48" t="s">
        <v>65</v>
      </c>
    </row>
    <row r="49" spans="2:6" x14ac:dyDescent="0.3">
      <c r="B49" t="s">
        <v>32</v>
      </c>
      <c r="D49" s="4">
        <f>D44/(D12*0.000000001)</f>
        <v>17550000</v>
      </c>
      <c r="F49" t="s">
        <v>66</v>
      </c>
    </row>
    <row r="50" spans="2:6" x14ac:dyDescent="0.3">
      <c r="B50" t="s">
        <v>33</v>
      </c>
      <c r="D50" s="4">
        <f>D49/2/3.142</f>
        <v>2792807.1292170594</v>
      </c>
      <c r="F50" t="s">
        <v>67</v>
      </c>
    </row>
    <row r="51" spans="2:6" x14ac:dyDescent="0.3">
      <c r="B51" t="s">
        <v>34</v>
      </c>
      <c r="D51">
        <f>ROUND((D18/D32),0)</f>
        <v>20</v>
      </c>
      <c r="F51" t="s">
        <v>68</v>
      </c>
    </row>
    <row r="52" spans="2:6" x14ac:dyDescent="0.3">
      <c r="B52" t="s">
        <v>35</v>
      </c>
      <c r="D52">
        <f>D51*2</f>
        <v>40</v>
      </c>
      <c r="F52" t="s">
        <v>71</v>
      </c>
    </row>
    <row r="53" spans="2:6" x14ac:dyDescent="0.3">
      <c r="B53" t="s">
        <v>36</v>
      </c>
      <c r="D53" s="4">
        <f>D49/D43</f>
        <v>14815.127469187913</v>
      </c>
      <c r="F53" t="s">
        <v>34</v>
      </c>
    </row>
    <row r="54" spans="2:6" x14ac:dyDescent="0.3">
      <c r="B54" t="s">
        <v>37</v>
      </c>
      <c r="D54" s="4">
        <f>D53/2/3.142</f>
        <v>2357.5950778465808</v>
      </c>
    </row>
    <row r="55" spans="2:6" s="10" customFormat="1" ht="25.8" x14ac:dyDescent="0.5">
      <c r="B55" s="11" t="s">
        <v>38</v>
      </c>
      <c r="C55" s="11"/>
    </row>
    <row r="56" spans="2:6" ht="25.8" x14ac:dyDescent="0.5">
      <c r="B56" s="5"/>
      <c r="C56" s="5"/>
      <c r="D56" t="s">
        <v>39</v>
      </c>
    </row>
    <row r="57" spans="2:6" x14ac:dyDescent="0.3">
      <c r="B57" t="s">
        <v>40</v>
      </c>
      <c r="D57">
        <v>10</v>
      </c>
      <c r="F57" t="s">
        <v>74</v>
      </c>
    </row>
    <row r="58" spans="2:6" x14ac:dyDescent="0.3">
      <c r="B58" t="s">
        <v>19</v>
      </c>
      <c r="D58">
        <f>D13/2/1000000</f>
        <v>2.5000000000000001E-5</v>
      </c>
      <c r="F58" t="s">
        <v>75</v>
      </c>
    </row>
    <row r="59" spans="2:6" x14ac:dyDescent="0.3">
      <c r="B59" t="s">
        <v>21</v>
      </c>
      <c r="D59">
        <v>53.3</v>
      </c>
      <c r="F59" t="s">
        <v>77</v>
      </c>
    </row>
    <row r="60" spans="2:6" x14ac:dyDescent="0.3">
      <c r="B60" s="3" t="s">
        <v>23</v>
      </c>
      <c r="C60" s="3"/>
      <c r="D60" s="3">
        <f>90*10^-9</f>
        <v>9.0000000000000012E-8</v>
      </c>
      <c r="F60" t="s">
        <v>76</v>
      </c>
    </row>
    <row r="61" spans="2:6" x14ac:dyDescent="0.3">
      <c r="B61" t="s">
        <v>18</v>
      </c>
      <c r="D61">
        <v>84.84</v>
      </c>
      <c r="F61" t="s">
        <v>76</v>
      </c>
    </row>
    <row r="62" spans="2:6" x14ac:dyDescent="0.3">
      <c r="B62" s="3" t="s">
        <v>20</v>
      </c>
      <c r="C62" s="3"/>
      <c r="D62" s="3">
        <f>1000000*D58/D61</f>
        <v>0.29467232437529467</v>
      </c>
      <c r="F62" t="s">
        <v>53</v>
      </c>
    </row>
    <row r="63" spans="2:6" x14ac:dyDescent="0.3">
      <c r="B63" t="s">
        <v>24</v>
      </c>
      <c r="D63">
        <f>D57*D58</f>
        <v>2.5000000000000001E-4</v>
      </c>
      <c r="F63" t="s">
        <v>78</v>
      </c>
    </row>
    <row r="64" spans="2:6" x14ac:dyDescent="0.3">
      <c r="B64" t="s">
        <v>25</v>
      </c>
      <c r="D64">
        <f>D59/D63</f>
        <v>213199.99999999997</v>
      </c>
      <c r="F64" t="s">
        <v>58</v>
      </c>
    </row>
    <row r="66" spans="2:6" s="10" customFormat="1" ht="25.8" x14ac:dyDescent="0.5">
      <c r="B66" s="11" t="s">
        <v>41</v>
      </c>
      <c r="C66" s="11"/>
    </row>
    <row r="67" spans="2:6" x14ac:dyDescent="0.3">
      <c r="B67" t="s">
        <v>19</v>
      </c>
      <c r="D67">
        <f>0.000025</f>
        <v>2.5000000000000001E-5</v>
      </c>
      <c r="F67" t="s">
        <v>75</v>
      </c>
    </row>
    <row r="68" spans="2:6" x14ac:dyDescent="0.3">
      <c r="B68" t="s">
        <v>40</v>
      </c>
      <c r="D68">
        <v>10</v>
      </c>
      <c r="F68" t="s">
        <v>79</v>
      </c>
    </row>
    <row r="69" spans="2:6" x14ac:dyDescent="0.3">
      <c r="B69" t="s">
        <v>21</v>
      </c>
      <c r="D69">
        <v>48.88</v>
      </c>
      <c r="F69" t="s">
        <v>80</v>
      </c>
    </row>
    <row r="70" spans="2:6" x14ac:dyDescent="0.3">
      <c r="B70" s="3" t="s">
        <v>23</v>
      </c>
      <c r="C70" s="3"/>
      <c r="D70" s="3">
        <v>90</v>
      </c>
      <c r="F70" t="s">
        <v>81</v>
      </c>
    </row>
    <row r="71" spans="2:6" x14ac:dyDescent="0.3">
      <c r="B71" t="s">
        <v>24</v>
      </c>
      <c r="D71">
        <f>D68*D67</f>
        <v>2.5000000000000001E-4</v>
      </c>
      <c r="F71" t="s">
        <v>63</v>
      </c>
    </row>
    <row r="72" spans="2:6" x14ac:dyDescent="0.3">
      <c r="B72" t="s">
        <v>18</v>
      </c>
      <c r="D72">
        <v>37.35</v>
      </c>
      <c r="F72" t="s">
        <v>80</v>
      </c>
    </row>
    <row r="73" spans="2:6" x14ac:dyDescent="0.3">
      <c r="B73" s="3" t="s">
        <v>20</v>
      </c>
      <c r="C73" s="3"/>
      <c r="D73" s="3">
        <f>D67/D72</f>
        <v>6.693440428380187E-7</v>
      </c>
      <c r="F73" t="s">
        <v>53</v>
      </c>
    </row>
    <row r="74" spans="2:6" x14ac:dyDescent="0.3">
      <c r="B74" t="s">
        <v>25</v>
      </c>
      <c r="D74">
        <f>D69/D71</f>
        <v>195520</v>
      </c>
      <c r="F74" t="s">
        <v>58</v>
      </c>
    </row>
    <row r="78" spans="2:6" s="10" customFormat="1" ht="25.8" x14ac:dyDescent="0.5">
      <c r="B78" s="12" t="s">
        <v>42</v>
      </c>
      <c r="C78" s="12"/>
      <c r="D78" s="13"/>
    </row>
    <row r="79" spans="2:6" x14ac:dyDescent="0.3">
      <c r="B79" s="6" t="s">
        <v>43</v>
      </c>
      <c r="C79" s="6"/>
      <c r="D79" s="6">
        <f>(D74*D64)/(D74+D64)</f>
        <v>101988.80407124681</v>
      </c>
      <c r="F79" t="s">
        <v>82</v>
      </c>
    </row>
    <row r="80" spans="2:6" x14ac:dyDescent="0.3">
      <c r="B80" s="6" t="s">
        <v>44</v>
      </c>
      <c r="C80" s="6"/>
      <c r="D80" s="7">
        <f>1/D53/D42/D79</f>
        <v>1.1173786671770785E-11</v>
      </c>
      <c r="F80" t="s">
        <v>83</v>
      </c>
    </row>
    <row r="81" spans="2:6" x14ac:dyDescent="0.3">
      <c r="B81" s="6" t="s">
        <v>45</v>
      </c>
      <c r="C81" s="6"/>
      <c r="D81" s="7">
        <f>D37</f>
        <v>5.8721147364242589E-13</v>
      </c>
      <c r="F81" t="s">
        <v>84</v>
      </c>
    </row>
    <row r="82" spans="2:6" x14ac:dyDescent="0.3">
      <c r="B82" s="8" t="s">
        <v>46</v>
      </c>
      <c r="C82" s="8"/>
      <c r="D82" s="9">
        <f>D81*0.33</f>
        <v>1.9377978630200055E-13</v>
      </c>
      <c r="F82" t="s">
        <v>85</v>
      </c>
    </row>
    <row r="83" spans="2:6" x14ac:dyDescent="0.3">
      <c r="B83" s="6" t="s">
        <v>47</v>
      </c>
      <c r="C83" s="6"/>
      <c r="D83" s="7">
        <f>D80-D82</f>
        <v>1.0980006885468784E-11</v>
      </c>
      <c r="F83" t="s">
        <v>86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C575-73FC-487B-B72F-9F6149802814}">
  <dimension ref="A1:S35"/>
  <sheetViews>
    <sheetView tabSelected="1" zoomScale="77" zoomScaleNormal="113" workbookViewId="0">
      <selection activeCell="E30" sqref="E30"/>
    </sheetView>
  </sheetViews>
  <sheetFormatPr defaultRowHeight="15.6" x14ac:dyDescent="0.3"/>
  <cols>
    <col min="1" max="1" width="20.796875" bestFit="1" customWidth="1"/>
    <col min="2" max="2" width="33.19921875" style="14" customWidth="1"/>
    <col min="3" max="3" width="20.5" style="33" bestFit="1" customWidth="1"/>
    <col min="4" max="4" width="13.796875" bestFit="1" customWidth="1"/>
    <col min="19" max="19" width="15.69921875" customWidth="1"/>
  </cols>
  <sheetData>
    <row r="1" spans="1:19" ht="16.2" thickBot="1" x14ac:dyDescent="0.35">
      <c r="A1" s="34"/>
      <c r="B1" s="35"/>
      <c r="C1" s="36"/>
      <c r="D1" s="34"/>
    </row>
    <row r="2" spans="1:19" ht="16.2" thickBot="1" x14ac:dyDescent="0.35">
      <c r="A2" s="44"/>
      <c r="B2" s="47" t="s">
        <v>87</v>
      </c>
      <c r="C2" s="45"/>
      <c r="D2" s="40" t="s">
        <v>91</v>
      </c>
    </row>
    <row r="3" spans="1:19" ht="16.2" thickBot="1" x14ac:dyDescent="0.35">
      <c r="A3" s="48" t="s">
        <v>88</v>
      </c>
      <c r="B3" s="52">
        <f>10/1000</f>
        <v>0.01</v>
      </c>
      <c r="C3" s="49" t="s">
        <v>90</v>
      </c>
      <c r="D3" s="42"/>
    </row>
    <row r="4" spans="1:19" ht="17.399999999999999" customHeight="1" x14ac:dyDescent="0.3">
      <c r="A4" s="48" t="s">
        <v>89</v>
      </c>
      <c r="B4" s="56">
        <v>10</v>
      </c>
      <c r="C4" s="49"/>
      <c r="D4" s="42"/>
      <c r="I4" s="26" t="s">
        <v>121</v>
      </c>
      <c r="J4" s="27"/>
      <c r="K4" s="27"/>
      <c r="L4" s="27"/>
      <c r="M4" s="27"/>
      <c r="N4" s="27"/>
      <c r="O4" s="27"/>
      <c r="P4" s="27"/>
      <c r="Q4" s="27"/>
      <c r="R4" s="27"/>
      <c r="S4" s="28"/>
    </row>
    <row r="5" spans="1:19" ht="16.2" thickBot="1" x14ac:dyDescent="0.35">
      <c r="A5" s="48" t="s">
        <v>24</v>
      </c>
      <c r="B5" s="56">
        <f>B4*B3</f>
        <v>0.1</v>
      </c>
      <c r="C5" s="49"/>
      <c r="D5" s="42"/>
      <c r="I5" s="29"/>
      <c r="J5" s="25"/>
      <c r="K5" s="25"/>
      <c r="L5" s="25"/>
      <c r="M5" s="25"/>
      <c r="N5" s="25"/>
      <c r="O5" s="25"/>
      <c r="P5" s="25"/>
      <c r="Q5" s="25"/>
      <c r="R5" s="25"/>
      <c r="S5" s="30"/>
    </row>
    <row r="6" spans="1:19" x14ac:dyDescent="0.3">
      <c r="A6" s="48" t="s">
        <v>92</v>
      </c>
      <c r="B6" s="56">
        <v>37.35</v>
      </c>
      <c r="C6" s="49" t="s">
        <v>93</v>
      </c>
      <c r="D6" s="42"/>
      <c r="I6" s="31" t="s">
        <v>114</v>
      </c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19" x14ac:dyDescent="0.3">
      <c r="A7" s="48" t="s">
        <v>115</v>
      </c>
      <c r="B7" s="55">
        <f>B3/B6</f>
        <v>2.6773761713520751E-4</v>
      </c>
      <c r="C7" s="49"/>
      <c r="D7" s="42"/>
      <c r="I7" s="19"/>
      <c r="J7" s="20"/>
      <c r="K7" s="20"/>
      <c r="L7" s="20"/>
      <c r="M7" s="20"/>
      <c r="N7" s="20"/>
      <c r="O7" s="20"/>
      <c r="P7" s="20"/>
      <c r="Q7" s="20"/>
      <c r="R7" s="20"/>
      <c r="S7" s="21"/>
    </row>
    <row r="8" spans="1:19" x14ac:dyDescent="0.3">
      <c r="A8" s="48" t="s">
        <v>95</v>
      </c>
      <c r="B8" s="56">
        <f>2.71*10^10</f>
        <v>27100000000</v>
      </c>
      <c r="C8" s="49"/>
      <c r="D8" s="42"/>
      <c r="I8" s="19"/>
      <c r="J8" s="20"/>
      <c r="K8" s="20"/>
      <c r="L8" s="20"/>
      <c r="M8" s="20"/>
      <c r="N8" s="20"/>
      <c r="O8" s="20"/>
      <c r="P8" s="20"/>
      <c r="Q8" s="20"/>
      <c r="R8" s="20"/>
      <c r="S8" s="21"/>
    </row>
    <row r="9" spans="1:19" x14ac:dyDescent="0.3">
      <c r="A9" s="48" t="s">
        <v>96</v>
      </c>
      <c r="B9" s="55">
        <f>B5/(2*3.14*B8)</f>
        <v>5.8758549368933182E-13</v>
      </c>
      <c r="C9" s="49"/>
      <c r="D9" s="42"/>
      <c r="I9" s="19"/>
      <c r="J9" s="20"/>
      <c r="K9" s="20"/>
      <c r="L9" s="20"/>
      <c r="M9" s="20"/>
      <c r="N9" s="20"/>
      <c r="O9" s="20"/>
      <c r="P9" s="20"/>
      <c r="Q9" s="20"/>
      <c r="R9" s="20"/>
      <c r="S9" s="21"/>
    </row>
    <row r="10" spans="1:19" ht="16.2" thickBot="1" x14ac:dyDescent="0.35">
      <c r="A10" s="48" t="s">
        <v>97</v>
      </c>
      <c r="B10" s="61">
        <f>B9/3</f>
        <v>1.9586183122977727E-13</v>
      </c>
      <c r="C10" s="49" t="s">
        <v>98</v>
      </c>
      <c r="D10" s="42"/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4"/>
    </row>
    <row r="11" spans="1:19" x14ac:dyDescent="0.3">
      <c r="A11" s="41" t="s">
        <v>100</v>
      </c>
      <c r="B11" s="46">
        <v>50</v>
      </c>
      <c r="C11" s="32">
        <v>48.8</v>
      </c>
      <c r="D11" s="42" t="s">
        <v>99</v>
      </c>
    </row>
    <row r="12" spans="1:19" x14ac:dyDescent="0.3">
      <c r="A12" s="41" t="s">
        <v>101</v>
      </c>
      <c r="B12" s="16">
        <f>1000/B11</f>
        <v>20</v>
      </c>
      <c r="C12" s="32">
        <f>1000/C11</f>
        <v>20.491803278688526</v>
      </c>
      <c r="D12" s="42"/>
    </row>
    <row r="13" spans="1:19" x14ac:dyDescent="0.3">
      <c r="A13" s="41" t="s">
        <v>102</v>
      </c>
      <c r="B13" s="16">
        <f>25*10^-6</f>
        <v>2.4999999999999998E-5</v>
      </c>
      <c r="C13" s="32"/>
      <c r="D13" s="42"/>
    </row>
    <row r="14" spans="1:19" x14ac:dyDescent="0.3">
      <c r="A14" s="41" t="s">
        <v>103</v>
      </c>
      <c r="B14" s="16">
        <f>B15*B13</f>
        <v>2.5000000000000001E-4</v>
      </c>
      <c r="C14" s="32">
        <v>2.5000000000000001E-4</v>
      </c>
      <c r="D14" s="42"/>
    </row>
    <row r="15" spans="1:19" x14ac:dyDescent="0.3">
      <c r="A15" s="41" t="s">
        <v>89</v>
      </c>
      <c r="B15" s="16">
        <v>10</v>
      </c>
      <c r="C15" s="32" t="s">
        <v>105</v>
      </c>
      <c r="D15" s="42"/>
    </row>
    <row r="16" spans="1:19" x14ac:dyDescent="0.3">
      <c r="A16" s="41" t="s">
        <v>43</v>
      </c>
      <c r="B16" s="16">
        <f>B12/B14</f>
        <v>80000</v>
      </c>
      <c r="C16" s="32">
        <f>C12/C14</f>
        <v>81967.213114754108</v>
      </c>
      <c r="D16" s="42"/>
    </row>
    <row r="17" spans="1:10" x14ac:dyDescent="0.3">
      <c r="A17" s="41" t="s">
        <v>47</v>
      </c>
      <c r="B17" s="16"/>
      <c r="C17" s="32"/>
      <c r="D17" s="42"/>
    </row>
    <row r="18" spans="1:10" x14ac:dyDescent="0.3">
      <c r="A18" s="41" t="s">
        <v>104</v>
      </c>
      <c r="B18" s="16">
        <f>2*10^-9</f>
        <v>2.0000000000000001E-9</v>
      </c>
      <c r="C18" s="32">
        <f>24.4*10^-12</f>
        <v>2.4399999999999998E-11</v>
      </c>
      <c r="D18" s="42"/>
    </row>
    <row r="19" spans="1:10" x14ac:dyDescent="0.3">
      <c r="A19" s="41" t="s">
        <v>106</v>
      </c>
      <c r="B19" s="16">
        <v>40</v>
      </c>
      <c r="C19" s="32"/>
      <c r="D19" s="42"/>
    </row>
    <row r="20" spans="1:10" ht="16.2" thickBot="1" x14ac:dyDescent="0.35">
      <c r="A20" s="41" t="s">
        <v>89</v>
      </c>
      <c r="B20" s="35">
        <f>25/10^6</f>
        <v>2.5000000000000001E-5</v>
      </c>
      <c r="C20" s="32"/>
      <c r="D20" s="42"/>
    </row>
    <row r="21" spans="1:10" ht="16.2" thickBot="1" x14ac:dyDescent="0.35">
      <c r="A21" s="48"/>
      <c r="B21" s="47" t="s">
        <v>116</v>
      </c>
      <c r="C21" s="49"/>
      <c r="D21" s="42"/>
    </row>
    <row r="22" spans="1:10" x14ac:dyDescent="0.3">
      <c r="A22" s="48" t="s">
        <v>110</v>
      </c>
      <c r="B22" s="54" t="s">
        <v>107</v>
      </c>
      <c r="C22" s="49"/>
      <c r="D22" s="42"/>
    </row>
    <row r="23" spans="1:10" x14ac:dyDescent="0.3">
      <c r="A23" s="48" t="s">
        <v>108</v>
      </c>
      <c r="B23" s="55">
        <f>0.61*10^-6</f>
        <v>6.0999999999999998E-7</v>
      </c>
      <c r="C23" s="49"/>
      <c r="D23" s="42"/>
      <c r="J23" s="4"/>
    </row>
    <row r="24" spans="1:10" x14ac:dyDescent="0.3">
      <c r="A24" s="48" t="s">
        <v>111</v>
      </c>
      <c r="B24" s="56">
        <v>37.35</v>
      </c>
      <c r="C24" s="49" t="s">
        <v>93</v>
      </c>
      <c r="D24" s="42"/>
    </row>
    <row r="25" spans="1:10" x14ac:dyDescent="0.3">
      <c r="A25" s="48" t="s">
        <v>113</v>
      </c>
      <c r="B25" s="55" t="s">
        <v>107</v>
      </c>
      <c r="C25" s="49"/>
      <c r="D25" s="42"/>
    </row>
    <row r="26" spans="1:10" x14ac:dyDescent="0.3">
      <c r="A26" s="48" t="s">
        <v>109</v>
      </c>
      <c r="B26" s="55">
        <f>0.28/10^6</f>
        <v>2.8000000000000002E-7</v>
      </c>
      <c r="C26" s="49"/>
      <c r="D26" s="42"/>
    </row>
    <row r="27" spans="1:10" ht="16.2" thickBot="1" x14ac:dyDescent="0.35">
      <c r="A27" s="48" t="s">
        <v>112</v>
      </c>
      <c r="B27" s="53">
        <v>89.15</v>
      </c>
      <c r="C27" s="49" t="s">
        <v>93</v>
      </c>
      <c r="D27" s="42"/>
    </row>
    <row r="28" spans="1:10" ht="16.2" thickBot="1" x14ac:dyDescent="0.35">
      <c r="A28" s="50"/>
      <c r="B28" s="47" t="s">
        <v>117</v>
      </c>
      <c r="C28" s="49"/>
      <c r="D28" s="42"/>
    </row>
    <row r="29" spans="1:10" x14ac:dyDescent="0.3">
      <c r="A29" s="48" t="s">
        <v>118</v>
      </c>
      <c r="B29" s="52" t="s">
        <v>120</v>
      </c>
      <c r="C29" s="49"/>
      <c r="D29" s="42"/>
    </row>
    <row r="30" spans="1:10" x14ac:dyDescent="0.3">
      <c r="A30" s="57" t="s">
        <v>119</v>
      </c>
      <c r="B30" s="58">
        <v>1.607E-6</v>
      </c>
      <c r="C30" s="59"/>
      <c r="D30" s="60"/>
    </row>
    <row r="31" spans="1:10" ht="16.2" thickBot="1" x14ac:dyDescent="0.35">
      <c r="A31" s="62" t="s">
        <v>112</v>
      </c>
      <c r="B31" s="53">
        <v>31.11</v>
      </c>
      <c r="C31" s="51" t="s">
        <v>93</v>
      </c>
      <c r="D31" s="43"/>
    </row>
    <row r="32" spans="1:10" x14ac:dyDescent="0.3">
      <c r="A32" s="37"/>
      <c r="B32" s="38"/>
      <c r="C32" s="39"/>
      <c r="D32" s="37"/>
    </row>
    <row r="33" spans="1:4" x14ac:dyDescent="0.3">
      <c r="A33" s="37"/>
      <c r="B33" s="38"/>
      <c r="C33" s="39"/>
      <c r="D33" s="37"/>
    </row>
    <row r="34" spans="1:4" x14ac:dyDescent="0.3">
      <c r="A34" s="37"/>
      <c r="B34" s="38"/>
      <c r="C34" s="39"/>
      <c r="D34" s="37"/>
    </row>
    <row r="35" spans="1:4" x14ac:dyDescent="0.3">
      <c r="A35" s="37"/>
      <c r="B35" s="37"/>
      <c r="C35" s="39"/>
      <c r="D35" s="37"/>
    </row>
  </sheetData>
  <mergeCells count="2">
    <mergeCell ref="I6:S10"/>
    <mergeCell ref="I4:S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E6BB-9320-4B2E-ADB2-37C0B37BA044}">
  <dimension ref="A1:L24"/>
  <sheetViews>
    <sheetView workbookViewId="0">
      <selection activeCell="G24" sqref="G24"/>
    </sheetView>
  </sheetViews>
  <sheetFormatPr defaultRowHeight="15.6" x14ac:dyDescent="0.3"/>
  <cols>
    <col min="2" max="2" width="8.796875" style="64"/>
    <col min="3" max="3" width="14.8984375" style="65" bestFit="1" customWidth="1"/>
    <col min="4" max="4" width="15.69921875" style="65" bestFit="1" customWidth="1"/>
    <col min="5" max="5" width="23.796875" style="65" customWidth="1"/>
    <col min="6" max="6" width="21.19921875" style="65" customWidth="1"/>
    <col min="7" max="7" width="10.3984375" style="65" bestFit="1" customWidth="1"/>
    <col min="8" max="8" width="13.09765625" style="65" customWidth="1"/>
    <col min="9" max="9" width="8.796875" style="65"/>
    <col min="10" max="10" width="19.296875" style="65" customWidth="1"/>
    <col min="11" max="11" width="19.3984375" customWidth="1"/>
    <col min="12" max="12" width="12.796875" customWidth="1"/>
  </cols>
  <sheetData>
    <row r="1" spans="1:12" x14ac:dyDescent="0.3">
      <c r="B1" s="63" t="s">
        <v>122</v>
      </c>
      <c r="C1" s="63"/>
      <c r="D1" s="63"/>
      <c r="E1" s="63"/>
      <c r="F1" s="63"/>
      <c r="G1" s="63"/>
      <c r="H1" s="63"/>
      <c r="I1" s="63"/>
      <c r="J1" s="63"/>
      <c r="K1" s="63"/>
    </row>
    <row r="2" spans="1:12" x14ac:dyDescent="0.3"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2" ht="16.2" thickBot="1" x14ac:dyDescent="0.35"/>
    <row r="4" spans="1:12" ht="16.2" thickBot="1" x14ac:dyDescent="0.35">
      <c r="A4" s="64"/>
      <c r="B4" s="66" t="s">
        <v>123</v>
      </c>
      <c r="C4" s="67" t="s">
        <v>124</v>
      </c>
      <c r="D4" s="68" t="s">
        <v>125</v>
      </c>
      <c r="E4" s="69"/>
      <c r="F4" s="70"/>
      <c r="G4" s="71" t="s">
        <v>126</v>
      </c>
      <c r="H4" s="67" t="s">
        <v>127</v>
      </c>
      <c r="I4" s="71" t="s">
        <v>128</v>
      </c>
      <c r="J4" s="67" t="s">
        <v>129</v>
      </c>
      <c r="K4" s="71" t="s">
        <v>130</v>
      </c>
      <c r="L4" s="64"/>
    </row>
    <row r="5" spans="1:12" ht="16.2" thickBot="1" x14ac:dyDescent="0.35">
      <c r="A5" s="64"/>
      <c r="B5" s="72"/>
      <c r="C5" s="73"/>
      <c r="D5" s="74" t="s">
        <v>131</v>
      </c>
      <c r="E5" s="75" t="s">
        <v>132</v>
      </c>
      <c r="F5" s="75" t="s">
        <v>133</v>
      </c>
      <c r="G5" s="76" t="s">
        <v>134</v>
      </c>
      <c r="H5" s="73" t="s">
        <v>134</v>
      </c>
      <c r="I5" s="76" t="s">
        <v>134</v>
      </c>
      <c r="J5" s="73" t="s">
        <v>134</v>
      </c>
      <c r="K5" s="76"/>
      <c r="L5" s="64"/>
    </row>
    <row r="6" spans="1:12" x14ac:dyDescent="0.3">
      <c r="B6" s="77" t="s">
        <v>135</v>
      </c>
      <c r="C6" s="78" t="s">
        <v>136</v>
      </c>
      <c r="D6" s="79">
        <v>8.9999999999999999E-8</v>
      </c>
      <c r="E6" s="80">
        <v>6.0999999999999998E-7</v>
      </c>
      <c r="F6" s="80">
        <f t="shared" ref="F6:F13" si="0">D6*E6</f>
        <v>5.4899999999999998E-14</v>
      </c>
      <c r="G6" s="81">
        <v>0.65300000000000002</v>
      </c>
      <c r="H6" s="81">
        <v>0.65300000000000002</v>
      </c>
      <c r="I6" s="81">
        <v>-0.48399999999999999</v>
      </c>
      <c r="J6" s="82">
        <v>0.16900000000000004</v>
      </c>
      <c r="K6" s="83" t="s">
        <v>137</v>
      </c>
    </row>
    <row r="7" spans="1:12" x14ac:dyDescent="0.3">
      <c r="B7" s="77" t="s">
        <v>138</v>
      </c>
      <c r="C7" s="78" t="s">
        <v>136</v>
      </c>
      <c r="D7" s="80">
        <v>8.9999999999999999E-8</v>
      </c>
      <c r="E7" s="80">
        <v>6.0999999999999998E-7</v>
      </c>
      <c r="F7" s="80">
        <f t="shared" si="0"/>
        <v>5.4899999999999998E-14</v>
      </c>
      <c r="G7" s="84">
        <v>0.64900000000000002</v>
      </c>
      <c r="H7" s="84">
        <v>0.65300000000000002</v>
      </c>
      <c r="I7" s="84">
        <v>-0.48399999999999999</v>
      </c>
      <c r="J7" s="82">
        <v>0.16900000000000004</v>
      </c>
      <c r="K7" s="83" t="s">
        <v>137</v>
      </c>
    </row>
    <row r="8" spans="1:12" x14ac:dyDescent="0.3">
      <c r="B8" s="77" t="s">
        <v>139</v>
      </c>
      <c r="C8" s="78" t="s">
        <v>136</v>
      </c>
      <c r="D8" s="80">
        <v>8.9999999999999999E-8</v>
      </c>
      <c r="E8" s="80">
        <v>2.6699999999999998E-4</v>
      </c>
      <c r="F8" s="80">
        <f t="shared" si="0"/>
        <v>2.4029999999999997E-11</v>
      </c>
      <c r="G8" s="84">
        <v>0.4</v>
      </c>
      <c r="H8" s="84">
        <v>0.64900000000000002</v>
      </c>
      <c r="I8" s="84">
        <v>-0.48699999999999999</v>
      </c>
      <c r="J8" s="82">
        <v>0.16200000000000003</v>
      </c>
      <c r="K8" s="83" t="s">
        <v>137</v>
      </c>
    </row>
    <row r="9" spans="1:12" x14ac:dyDescent="0.3">
      <c r="B9" s="77" t="s">
        <v>140</v>
      </c>
      <c r="C9" s="78" t="s">
        <v>141</v>
      </c>
      <c r="D9" s="80">
        <v>8.9999999999999999E-8</v>
      </c>
      <c r="E9" s="80">
        <v>2.8000000000000002E-7</v>
      </c>
      <c r="F9" s="80">
        <f t="shared" si="0"/>
        <v>2.5200000000000002E-14</v>
      </c>
      <c r="G9" s="84">
        <v>0.34899999999999998</v>
      </c>
      <c r="H9" s="84">
        <v>0.60199999999999998</v>
      </c>
      <c r="I9" s="84">
        <v>0.46600000000000003</v>
      </c>
      <c r="J9" s="82">
        <v>0.13599999999999995</v>
      </c>
      <c r="K9" s="83" t="s">
        <v>137</v>
      </c>
    </row>
    <row r="10" spans="1:12" x14ac:dyDescent="0.3">
      <c r="B10" s="77" t="s">
        <v>142</v>
      </c>
      <c r="C10" s="78" t="s">
        <v>141</v>
      </c>
      <c r="D10" s="80">
        <v>8.9999999999999999E-8</v>
      </c>
      <c r="E10" s="80">
        <v>2.8000000000000002E-7</v>
      </c>
      <c r="F10" s="80">
        <f t="shared" si="0"/>
        <v>2.5200000000000002E-14</v>
      </c>
      <c r="G10" s="84">
        <v>0.35299999999999998</v>
      </c>
      <c r="H10" s="84">
        <v>0.60199999999999998</v>
      </c>
      <c r="I10" s="84">
        <v>0.46600000000000003</v>
      </c>
      <c r="J10" s="82">
        <v>0.13599999999999995</v>
      </c>
      <c r="K10" s="83" t="s">
        <v>137</v>
      </c>
    </row>
    <row r="11" spans="1:12" x14ac:dyDescent="0.3">
      <c r="B11" s="77" t="s">
        <v>143</v>
      </c>
      <c r="C11" s="78" t="s">
        <v>141</v>
      </c>
      <c r="D11" s="80">
        <v>2.7000000000000001E-7</v>
      </c>
      <c r="E11" s="85">
        <v>1.607E-6</v>
      </c>
      <c r="F11" s="80">
        <f t="shared" si="0"/>
        <v>4.3389000000000003E-13</v>
      </c>
      <c r="G11" s="84">
        <v>1</v>
      </c>
      <c r="H11" s="84">
        <v>0.61699999999999999</v>
      </c>
      <c r="I11" s="84">
        <v>0.46899999999999997</v>
      </c>
      <c r="J11" s="82">
        <v>0.14800000000000002</v>
      </c>
      <c r="K11" s="83" t="s">
        <v>137</v>
      </c>
    </row>
    <row r="12" spans="1:12" x14ac:dyDescent="0.3">
      <c r="B12" s="77" t="s">
        <v>144</v>
      </c>
      <c r="C12" s="78" t="s">
        <v>141</v>
      </c>
      <c r="D12" s="80">
        <v>2.7000000000000001E-7</v>
      </c>
      <c r="E12" s="85">
        <v>1.607E-6</v>
      </c>
      <c r="F12" s="80">
        <f t="shared" si="0"/>
        <v>4.3389000000000003E-13</v>
      </c>
      <c r="G12" s="84">
        <v>0.39800000000000002</v>
      </c>
      <c r="H12" s="84">
        <v>0.61699999999999999</v>
      </c>
      <c r="I12" s="84">
        <v>0.46899999999999997</v>
      </c>
      <c r="J12" s="82">
        <v>0.14800000000000002</v>
      </c>
      <c r="K12" s="83" t="s">
        <v>137</v>
      </c>
    </row>
    <row r="13" spans="1:12" ht="16.2" thickBot="1" x14ac:dyDescent="0.35">
      <c r="B13" s="86" t="s">
        <v>145</v>
      </c>
      <c r="C13" s="87" t="s">
        <v>141</v>
      </c>
      <c r="D13" s="88">
        <v>2.7000000000000001E-7</v>
      </c>
      <c r="E13" s="89">
        <v>1.607E-6</v>
      </c>
      <c r="F13" s="88">
        <f t="shared" si="0"/>
        <v>4.3389000000000003E-13</v>
      </c>
      <c r="G13" s="90">
        <v>0.61699999999999999</v>
      </c>
      <c r="H13" s="90">
        <v>0.61699999999999999</v>
      </c>
      <c r="I13" s="90">
        <v>0.46899999999999997</v>
      </c>
      <c r="J13" s="91">
        <v>0.14800000000000002</v>
      </c>
      <c r="K13" s="92" t="s">
        <v>137</v>
      </c>
    </row>
    <row r="14" spans="1:12" ht="16.2" thickBot="1" x14ac:dyDescent="0.35">
      <c r="F14" s="75" t="s">
        <v>146</v>
      </c>
    </row>
    <row r="15" spans="1:12" x14ac:dyDescent="0.3"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</row>
    <row r="16" spans="1:12" x14ac:dyDescent="0.3"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</row>
    <row r="17" spans="2:12" x14ac:dyDescent="0.3">
      <c r="B17" s="94" t="s">
        <v>147</v>
      </c>
      <c r="C17" s="95"/>
      <c r="D17" s="95"/>
      <c r="E17" s="95"/>
      <c r="F17" s="93"/>
      <c r="G17" s="93"/>
      <c r="H17" s="93"/>
      <c r="I17" s="93"/>
      <c r="J17" s="93"/>
      <c r="K17" s="93"/>
      <c r="L17" s="93"/>
    </row>
    <row r="18" spans="2:12" ht="16.2" thickBot="1" x14ac:dyDescent="0.35">
      <c r="B18" s="96"/>
      <c r="C18" s="96"/>
      <c r="D18" s="96"/>
      <c r="E18" s="96"/>
    </row>
    <row r="19" spans="2:12" ht="16.2" thickBot="1" x14ac:dyDescent="0.35">
      <c r="B19" s="97" t="s">
        <v>148</v>
      </c>
      <c r="C19" s="75" t="s">
        <v>149</v>
      </c>
      <c r="D19" s="75" t="s">
        <v>150</v>
      </c>
      <c r="E19" s="98" t="s">
        <v>151</v>
      </c>
    </row>
    <row r="20" spans="2:12" x14ac:dyDescent="0.3">
      <c r="B20" s="77" t="s">
        <v>152</v>
      </c>
      <c r="C20" s="99">
        <v>500</v>
      </c>
      <c r="D20" s="99">
        <v>406.5040650406504</v>
      </c>
      <c r="E20" s="100">
        <f>((C20-D20)/(C20))*100</f>
        <v>18.699186991869922</v>
      </c>
    </row>
    <row r="21" spans="2:12" x14ac:dyDescent="0.3">
      <c r="B21" s="77" t="s">
        <v>153</v>
      </c>
      <c r="C21" s="99">
        <v>0.1</v>
      </c>
      <c r="D21" s="99">
        <v>9.9099999999999994E-2</v>
      </c>
      <c r="E21" s="100">
        <f>((C21-D21)/(C21))*100</f>
        <v>0.9000000000000119</v>
      </c>
    </row>
    <row r="22" spans="2:12" x14ac:dyDescent="0.3">
      <c r="B22" s="77" t="s">
        <v>154</v>
      </c>
      <c r="C22" s="99">
        <v>2460</v>
      </c>
      <c r="D22" s="80">
        <v>2000</v>
      </c>
      <c r="E22" s="101" t="s">
        <v>155</v>
      </c>
    </row>
    <row r="23" spans="2:12" x14ac:dyDescent="0.3">
      <c r="B23" s="77" t="s">
        <v>21</v>
      </c>
      <c r="C23" s="99">
        <v>50</v>
      </c>
      <c r="D23" s="99">
        <v>40.284552845528452</v>
      </c>
      <c r="E23" s="100">
        <f>((C23-D23)/(C23))*100</f>
        <v>19.430894308943095</v>
      </c>
    </row>
    <row r="24" spans="2:12" ht="16.2" thickBot="1" x14ac:dyDescent="0.35">
      <c r="B24" s="86"/>
      <c r="C24" s="102"/>
      <c r="D24" s="102"/>
      <c r="E24" s="103"/>
    </row>
  </sheetData>
  <mergeCells count="3">
    <mergeCell ref="B1:K2"/>
    <mergeCell ref="D4:F4"/>
    <mergeCell ref="B17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CE39-7DE0-4DF6-8F79-3F1C477E678B}">
  <dimension ref="A1:L24"/>
  <sheetViews>
    <sheetView workbookViewId="0">
      <selection activeCell="F23" sqref="F23"/>
    </sheetView>
  </sheetViews>
  <sheetFormatPr defaultRowHeight="15.6" x14ac:dyDescent="0.3"/>
  <cols>
    <col min="2" max="2" width="8.796875" style="64"/>
    <col min="3" max="3" width="14.8984375" style="65" bestFit="1" customWidth="1"/>
    <col min="4" max="4" width="15.69921875" style="65" bestFit="1" customWidth="1"/>
    <col min="5" max="5" width="23.796875" style="65" customWidth="1"/>
    <col min="6" max="6" width="21.19921875" style="65" customWidth="1"/>
    <col min="7" max="7" width="10.3984375" style="65" bestFit="1" customWidth="1"/>
    <col min="8" max="8" width="13.09765625" style="65" customWidth="1"/>
    <col min="9" max="9" width="8.796875" style="65"/>
    <col min="10" max="10" width="19.296875" style="65" customWidth="1"/>
    <col min="11" max="11" width="19.3984375" customWidth="1"/>
    <col min="12" max="12" width="12.796875" customWidth="1"/>
  </cols>
  <sheetData>
    <row r="1" spans="1:12" x14ac:dyDescent="0.3">
      <c r="B1" s="63" t="s">
        <v>156</v>
      </c>
      <c r="C1" s="63"/>
      <c r="D1" s="63"/>
      <c r="E1" s="63"/>
      <c r="F1" s="63"/>
      <c r="G1" s="63"/>
      <c r="H1" s="63"/>
      <c r="I1" s="63"/>
      <c r="J1" s="63"/>
      <c r="K1" s="63"/>
    </row>
    <row r="2" spans="1:12" x14ac:dyDescent="0.3"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2" ht="16.2" thickBot="1" x14ac:dyDescent="0.35"/>
    <row r="4" spans="1:12" ht="16.2" thickBot="1" x14ac:dyDescent="0.35">
      <c r="A4" s="64"/>
      <c r="B4" s="66" t="s">
        <v>123</v>
      </c>
      <c r="C4" s="67" t="s">
        <v>124</v>
      </c>
      <c r="D4" s="68" t="s">
        <v>125</v>
      </c>
      <c r="E4" s="69"/>
      <c r="F4" s="70"/>
      <c r="G4" s="71" t="s">
        <v>126</v>
      </c>
      <c r="H4" s="67" t="s">
        <v>127</v>
      </c>
      <c r="I4" s="104" t="s">
        <v>157</v>
      </c>
      <c r="J4" s="71" t="s">
        <v>129</v>
      </c>
      <c r="K4" s="105" t="s">
        <v>130</v>
      </c>
      <c r="L4" s="64"/>
    </row>
    <row r="5" spans="1:12" ht="16.2" thickBot="1" x14ac:dyDescent="0.35">
      <c r="A5" s="64"/>
      <c r="B5" s="72"/>
      <c r="C5" s="73"/>
      <c r="D5" s="74" t="s">
        <v>131</v>
      </c>
      <c r="E5" s="75" t="s">
        <v>132</v>
      </c>
      <c r="F5" s="75" t="s">
        <v>133</v>
      </c>
      <c r="G5" s="76" t="s">
        <v>134</v>
      </c>
      <c r="H5" s="75" t="s">
        <v>134</v>
      </c>
      <c r="I5" s="75" t="s">
        <v>134</v>
      </c>
      <c r="J5" s="76" t="s">
        <v>134</v>
      </c>
      <c r="K5" s="92"/>
      <c r="L5" s="64"/>
    </row>
    <row r="6" spans="1:12" x14ac:dyDescent="0.3">
      <c r="B6" s="77" t="s">
        <v>135</v>
      </c>
      <c r="C6" s="78" t="s">
        <v>136</v>
      </c>
      <c r="D6" s="79">
        <v>8.9999999999999999E-8</v>
      </c>
      <c r="E6" s="80">
        <v>6.0999999999999998E-7</v>
      </c>
      <c r="F6" s="80">
        <f t="shared" ref="F6:F13" si="0">D6*E6</f>
        <v>5.4899999999999998E-14</v>
      </c>
      <c r="G6" s="84">
        <v>0.65400000000000003</v>
      </c>
      <c r="H6" s="84">
        <v>0.65400000000000003</v>
      </c>
      <c r="I6" s="84">
        <v>0.48399999999999999</v>
      </c>
      <c r="J6" s="106">
        <v>0.17000000000000004</v>
      </c>
      <c r="K6" s="83" t="s">
        <v>137</v>
      </c>
    </row>
    <row r="7" spans="1:12" x14ac:dyDescent="0.3">
      <c r="B7" s="77" t="s">
        <v>138</v>
      </c>
      <c r="C7" s="78" t="s">
        <v>136</v>
      </c>
      <c r="D7" s="80">
        <v>8.9999999999999999E-8</v>
      </c>
      <c r="E7" s="80">
        <v>6.0999999999999998E-7</v>
      </c>
      <c r="F7" s="80">
        <f t="shared" si="0"/>
        <v>5.4899999999999998E-14</v>
      </c>
      <c r="G7" s="84">
        <v>0.53100000000000003</v>
      </c>
      <c r="H7" s="84">
        <v>0.65400000000000003</v>
      </c>
      <c r="I7" s="84">
        <v>0.48499999999999999</v>
      </c>
      <c r="J7" s="106">
        <v>0.16900000000000004</v>
      </c>
      <c r="K7" s="83" t="s">
        <v>137</v>
      </c>
    </row>
    <row r="8" spans="1:12" x14ac:dyDescent="0.3">
      <c r="B8" s="77" t="s">
        <v>139</v>
      </c>
      <c r="C8" s="78" t="s">
        <v>136</v>
      </c>
      <c r="D8" s="80">
        <v>8.9999999999999999E-8</v>
      </c>
      <c r="E8" s="80">
        <v>2.6699999999999998E-4</v>
      </c>
      <c r="F8" s="80">
        <f t="shared" si="0"/>
        <v>2.4029999999999997E-11</v>
      </c>
      <c r="G8" s="84">
        <v>0.39500000000000002</v>
      </c>
      <c r="H8" s="84">
        <v>0.53100000000000003</v>
      </c>
      <c r="I8" s="84">
        <v>0.48699999999999999</v>
      </c>
      <c r="J8" s="106">
        <v>4.4000000000000039E-2</v>
      </c>
      <c r="K8" s="83" t="s">
        <v>137</v>
      </c>
    </row>
    <row r="9" spans="1:12" x14ac:dyDescent="0.3">
      <c r="B9" s="77" t="s">
        <v>140</v>
      </c>
      <c r="C9" s="78" t="s">
        <v>141</v>
      </c>
      <c r="D9" s="80">
        <v>8.9999999999999999E-8</v>
      </c>
      <c r="E9" s="80">
        <v>2.8000000000000002E-7</v>
      </c>
      <c r="F9" s="80">
        <f t="shared" si="0"/>
        <v>2.5200000000000002E-14</v>
      </c>
      <c r="G9" s="84">
        <v>0.34399999999999997</v>
      </c>
      <c r="H9" s="84">
        <v>0.60299999999999998</v>
      </c>
      <c r="I9" s="84">
        <v>0.46600000000000003</v>
      </c>
      <c r="J9" s="106">
        <v>0.13699999999999996</v>
      </c>
      <c r="K9" s="83" t="s">
        <v>137</v>
      </c>
    </row>
    <row r="10" spans="1:12" x14ac:dyDescent="0.3">
      <c r="B10" s="77" t="s">
        <v>142</v>
      </c>
      <c r="C10" s="78" t="s">
        <v>141</v>
      </c>
      <c r="D10" s="80">
        <v>8.9999999999999999E-8</v>
      </c>
      <c r="E10" s="80">
        <v>2.8000000000000002E-7</v>
      </c>
      <c r="F10" s="80">
        <f t="shared" si="0"/>
        <v>2.5200000000000002E-14</v>
      </c>
      <c r="G10" s="84">
        <v>0.46700000000000003</v>
      </c>
      <c r="H10" s="84">
        <v>0.59799999999999998</v>
      </c>
      <c r="I10" s="84">
        <v>0.46500000000000002</v>
      </c>
      <c r="J10" s="106">
        <v>0.13299999999999995</v>
      </c>
      <c r="K10" s="83" t="s">
        <v>137</v>
      </c>
    </row>
    <row r="11" spans="1:12" x14ac:dyDescent="0.3">
      <c r="B11" s="77" t="s">
        <v>143</v>
      </c>
      <c r="C11" s="78" t="s">
        <v>141</v>
      </c>
      <c r="D11" s="80">
        <v>2.7000000000000001E-7</v>
      </c>
      <c r="E11" s="85">
        <v>1.607E-6</v>
      </c>
      <c r="F11" s="80">
        <f t="shared" si="0"/>
        <v>4.3389000000000003E-13</v>
      </c>
      <c r="G11" s="84">
        <v>1</v>
      </c>
      <c r="H11" s="84">
        <v>0.61699999999999999</v>
      </c>
      <c r="I11" s="84">
        <v>0.46899999999999997</v>
      </c>
      <c r="J11" s="106">
        <v>0.14800000000000002</v>
      </c>
      <c r="K11" s="83" t="s">
        <v>137</v>
      </c>
    </row>
    <row r="12" spans="1:12" x14ac:dyDescent="0.3">
      <c r="B12" s="77" t="s">
        <v>144</v>
      </c>
      <c r="C12" s="78" t="s">
        <v>141</v>
      </c>
      <c r="D12" s="80">
        <v>2.7000000000000001E-7</v>
      </c>
      <c r="E12" s="85">
        <v>1.607E-6</v>
      </c>
      <c r="F12" s="80">
        <f t="shared" si="0"/>
        <v>4.3389000000000003E-13</v>
      </c>
      <c r="G12" s="84">
        <v>0.40200000000000002</v>
      </c>
      <c r="H12" s="84">
        <v>0.61699999999999999</v>
      </c>
      <c r="I12" s="84">
        <v>0.46899999999999997</v>
      </c>
      <c r="J12" s="106">
        <v>0.14800000000000002</v>
      </c>
      <c r="K12" s="83" t="s">
        <v>137</v>
      </c>
    </row>
    <row r="13" spans="1:12" ht="16.2" thickBot="1" x14ac:dyDescent="0.35">
      <c r="B13" s="86" t="s">
        <v>145</v>
      </c>
      <c r="C13" s="87" t="s">
        <v>141</v>
      </c>
      <c r="D13" s="88">
        <v>2.7000000000000001E-7</v>
      </c>
      <c r="E13" s="89">
        <v>1.607E-6</v>
      </c>
      <c r="F13" s="88">
        <f t="shared" si="0"/>
        <v>4.3389000000000003E-13</v>
      </c>
      <c r="G13" s="90">
        <v>0.61699999999999999</v>
      </c>
      <c r="H13" s="90">
        <v>0.61699999999999999</v>
      </c>
      <c r="I13" s="90">
        <v>0.46899999999999997</v>
      </c>
      <c r="J13" s="107">
        <v>0.14800000000000002</v>
      </c>
      <c r="K13" s="92" t="s">
        <v>137</v>
      </c>
    </row>
    <row r="14" spans="1:12" ht="16.2" thickBot="1" x14ac:dyDescent="0.35">
      <c r="F14" s="75" t="s">
        <v>146</v>
      </c>
    </row>
    <row r="15" spans="1:12" x14ac:dyDescent="0.3"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</row>
    <row r="16" spans="1:12" x14ac:dyDescent="0.3"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</row>
    <row r="17" spans="2:12" x14ac:dyDescent="0.3">
      <c r="B17" s="94" t="s">
        <v>147</v>
      </c>
      <c r="C17" s="95"/>
      <c r="D17" s="95"/>
      <c r="E17" s="95"/>
      <c r="F17" s="93"/>
      <c r="G17" s="93"/>
      <c r="H17" s="93"/>
      <c r="I17" s="93"/>
      <c r="J17" s="93"/>
      <c r="K17" s="93"/>
      <c r="L17" s="93"/>
    </row>
    <row r="18" spans="2:12" ht="16.2" thickBot="1" x14ac:dyDescent="0.35">
      <c r="B18" s="96"/>
      <c r="C18" s="96"/>
      <c r="D18" s="96"/>
      <c r="E18" s="96"/>
    </row>
    <row r="19" spans="2:12" ht="16.2" thickBot="1" x14ac:dyDescent="0.35">
      <c r="B19" s="97" t="s">
        <v>148</v>
      </c>
      <c r="C19" s="108" t="s">
        <v>149</v>
      </c>
      <c r="D19" s="75" t="s">
        <v>150</v>
      </c>
      <c r="E19" s="98" t="s">
        <v>151</v>
      </c>
    </row>
    <row r="20" spans="2:12" x14ac:dyDescent="0.3">
      <c r="B20" s="77" t="s">
        <v>152</v>
      </c>
      <c r="C20" s="78">
        <v>2500</v>
      </c>
      <c r="D20" s="109" t="s">
        <v>158</v>
      </c>
      <c r="E20" s="101" t="s">
        <v>159</v>
      </c>
    </row>
    <row r="21" spans="2:12" x14ac:dyDescent="0.3">
      <c r="B21" s="77" t="s">
        <v>153</v>
      </c>
      <c r="C21" s="78">
        <v>0.02</v>
      </c>
      <c r="D21" s="85" t="s">
        <v>160</v>
      </c>
      <c r="E21" s="101" t="s">
        <v>161</v>
      </c>
    </row>
    <row r="22" spans="2:12" x14ac:dyDescent="0.3">
      <c r="B22" s="77" t="s">
        <v>154</v>
      </c>
      <c r="C22" s="78">
        <v>400</v>
      </c>
      <c r="D22" s="85" t="s">
        <v>162</v>
      </c>
      <c r="E22" s="101" t="s">
        <v>163</v>
      </c>
    </row>
    <row r="23" spans="2:12" x14ac:dyDescent="0.3">
      <c r="B23" s="77" t="s">
        <v>21</v>
      </c>
      <c r="C23" s="78">
        <v>50</v>
      </c>
      <c r="D23" s="109" t="s">
        <v>164</v>
      </c>
      <c r="E23" s="101" t="s">
        <v>165</v>
      </c>
    </row>
    <row r="24" spans="2:12" ht="16.2" thickBot="1" x14ac:dyDescent="0.35">
      <c r="B24" s="86"/>
      <c r="C24" s="87"/>
      <c r="D24" s="102"/>
      <c r="E24" s="103"/>
    </row>
  </sheetData>
  <mergeCells count="3">
    <mergeCell ref="B1:K2"/>
    <mergeCell ref="D4:F4"/>
    <mergeCell ref="B17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3D99-2564-48C0-923B-BE77CE5EA4C1}">
  <dimension ref="A1:L24"/>
  <sheetViews>
    <sheetView workbookViewId="0">
      <selection activeCell="F21" sqref="F21"/>
    </sheetView>
  </sheetViews>
  <sheetFormatPr defaultRowHeight="15.6" x14ac:dyDescent="0.3"/>
  <cols>
    <col min="2" max="2" width="8.796875" style="64"/>
    <col min="3" max="3" width="14.8984375" style="65" bestFit="1" customWidth="1"/>
    <col min="4" max="4" width="15.69921875" style="65" bestFit="1" customWidth="1"/>
    <col min="5" max="5" width="23.796875" style="65" customWidth="1"/>
    <col min="6" max="6" width="21.19921875" style="65" customWidth="1"/>
    <col min="7" max="7" width="10.3984375" style="65" bestFit="1" customWidth="1"/>
    <col min="8" max="8" width="13.09765625" style="65" customWidth="1"/>
    <col min="9" max="9" width="8.796875" style="65"/>
    <col min="10" max="10" width="19.296875" style="65" customWidth="1"/>
    <col min="11" max="11" width="19.3984375" customWidth="1"/>
    <col min="12" max="12" width="12.796875" customWidth="1"/>
  </cols>
  <sheetData>
    <row r="1" spans="1:12" x14ac:dyDescent="0.3">
      <c r="B1" s="63" t="s">
        <v>166</v>
      </c>
      <c r="C1" s="63"/>
      <c r="D1" s="63"/>
      <c r="E1" s="63"/>
      <c r="F1" s="63"/>
      <c r="G1" s="63"/>
      <c r="H1" s="63"/>
      <c r="I1" s="63"/>
      <c r="J1" s="63"/>
      <c r="K1" s="63"/>
    </row>
    <row r="2" spans="1:12" x14ac:dyDescent="0.3"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2" ht="16.2" thickBot="1" x14ac:dyDescent="0.35"/>
    <row r="4" spans="1:12" ht="16.2" thickBot="1" x14ac:dyDescent="0.35">
      <c r="A4" s="64"/>
      <c r="B4" s="66" t="s">
        <v>123</v>
      </c>
      <c r="C4" s="67" t="s">
        <v>124</v>
      </c>
      <c r="D4" s="68" t="s">
        <v>125</v>
      </c>
      <c r="E4" s="69"/>
      <c r="F4" s="70"/>
      <c r="G4" s="71" t="s">
        <v>126</v>
      </c>
      <c r="H4" s="71" t="s">
        <v>127</v>
      </c>
      <c r="I4" s="71" t="s">
        <v>157</v>
      </c>
      <c r="J4" s="71" t="s">
        <v>129</v>
      </c>
      <c r="K4" s="105" t="s">
        <v>130</v>
      </c>
      <c r="L4" s="64"/>
    </row>
    <row r="5" spans="1:12" ht="16.2" thickBot="1" x14ac:dyDescent="0.35">
      <c r="A5" s="64"/>
      <c r="B5" s="72"/>
      <c r="C5" s="73"/>
      <c r="D5" s="71" t="s">
        <v>131</v>
      </c>
      <c r="E5" s="75" t="s">
        <v>132</v>
      </c>
      <c r="F5" s="75" t="s">
        <v>133</v>
      </c>
      <c r="G5" s="76" t="s">
        <v>134</v>
      </c>
      <c r="H5" s="76" t="s">
        <v>134</v>
      </c>
      <c r="I5" s="75" t="s">
        <v>134</v>
      </c>
      <c r="J5" s="76" t="s">
        <v>134</v>
      </c>
      <c r="K5" s="92"/>
      <c r="L5" s="64"/>
    </row>
    <row r="6" spans="1:12" x14ac:dyDescent="0.3">
      <c r="B6" s="77" t="s">
        <v>135</v>
      </c>
      <c r="C6" s="78" t="s">
        <v>136</v>
      </c>
      <c r="D6" s="110">
        <f>90*10^-9</f>
        <v>9.0000000000000012E-8</v>
      </c>
      <c r="E6" s="111">
        <f>0.61*10^-6</f>
        <v>6.0999999999999998E-7</v>
      </c>
      <c r="F6" s="80">
        <f t="shared" ref="F6:F13" si="0">D6*E6</f>
        <v>5.4900000000000005E-14</v>
      </c>
      <c r="G6" s="112">
        <v>0.65400000000000003</v>
      </c>
      <c r="H6" s="113">
        <v>0.65400000000000003</v>
      </c>
      <c r="I6" s="114">
        <v>0.48399999999999999</v>
      </c>
      <c r="J6" s="110">
        <v>0.17000000000000004</v>
      </c>
      <c r="K6" s="83" t="s">
        <v>137</v>
      </c>
    </row>
    <row r="7" spans="1:12" x14ac:dyDescent="0.3">
      <c r="B7" s="77" t="s">
        <v>138</v>
      </c>
      <c r="C7" s="78" t="s">
        <v>136</v>
      </c>
      <c r="D7" s="106">
        <f>90*10^-9</f>
        <v>9.0000000000000012E-8</v>
      </c>
      <c r="E7" s="111">
        <f>0.61*10^-6</f>
        <v>6.0999999999999998E-7</v>
      </c>
      <c r="F7" s="80">
        <f t="shared" si="0"/>
        <v>5.4900000000000005E-14</v>
      </c>
      <c r="G7" s="112">
        <v>0.53100000000000003</v>
      </c>
      <c r="H7" s="113">
        <v>0.65400000000000003</v>
      </c>
      <c r="I7" s="114">
        <v>0.48499999999999999</v>
      </c>
      <c r="J7" s="106">
        <v>0.16900000000000004</v>
      </c>
      <c r="K7" s="83" t="s">
        <v>137</v>
      </c>
    </row>
    <row r="8" spans="1:12" x14ac:dyDescent="0.3">
      <c r="B8" s="77" t="s">
        <v>139</v>
      </c>
      <c r="C8" s="78" t="s">
        <v>136</v>
      </c>
      <c r="D8" s="106">
        <f>90*10^-9</f>
        <v>9.0000000000000012E-8</v>
      </c>
      <c r="E8" s="111">
        <f>267*10^-6</f>
        <v>2.6699999999999998E-4</v>
      </c>
      <c r="F8" s="80">
        <f t="shared" si="0"/>
        <v>2.4030000000000003E-11</v>
      </c>
      <c r="G8" s="112">
        <v>0.39500000000000002</v>
      </c>
      <c r="H8" s="113">
        <v>0.53100000000000003</v>
      </c>
      <c r="I8" s="114">
        <v>0.48699999999999999</v>
      </c>
      <c r="J8" s="106">
        <v>4.4000000000000039E-2</v>
      </c>
      <c r="K8" s="83" t="s">
        <v>137</v>
      </c>
    </row>
    <row r="9" spans="1:12" x14ac:dyDescent="0.3">
      <c r="B9" s="77" t="s">
        <v>140</v>
      </c>
      <c r="C9" s="78" t="s">
        <v>141</v>
      </c>
      <c r="D9" s="106">
        <f>90*10^-9</f>
        <v>9.0000000000000012E-8</v>
      </c>
      <c r="E9" s="111">
        <f>0.28*10^-6</f>
        <v>2.8000000000000002E-7</v>
      </c>
      <c r="F9" s="80">
        <f t="shared" si="0"/>
        <v>2.5200000000000006E-14</v>
      </c>
      <c r="G9" s="112">
        <v>0.34399999999999997</v>
      </c>
      <c r="H9" s="113">
        <v>0.60299999999999998</v>
      </c>
      <c r="I9" s="114">
        <v>0.46600000000000003</v>
      </c>
      <c r="J9" s="106">
        <v>0.13699999999999996</v>
      </c>
      <c r="K9" s="83" t="s">
        <v>137</v>
      </c>
    </row>
    <row r="10" spans="1:12" x14ac:dyDescent="0.3">
      <c r="B10" s="77" t="s">
        <v>142</v>
      </c>
      <c r="C10" s="78" t="s">
        <v>141</v>
      </c>
      <c r="D10" s="106">
        <f>90*10^-9</f>
        <v>9.0000000000000012E-8</v>
      </c>
      <c r="E10" s="111">
        <f>0.28*10^-6</f>
        <v>2.8000000000000002E-7</v>
      </c>
      <c r="F10" s="80">
        <f t="shared" si="0"/>
        <v>2.5200000000000006E-14</v>
      </c>
      <c r="G10" s="112">
        <v>0.46700000000000003</v>
      </c>
      <c r="H10" s="113">
        <v>0.59799999999999998</v>
      </c>
      <c r="I10" s="114">
        <v>0.46500000000000002</v>
      </c>
      <c r="J10" s="106">
        <v>0.13299999999999995</v>
      </c>
      <c r="K10" s="83" t="s">
        <v>137</v>
      </c>
    </row>
    <row r="11" spans="1:12" x14ac:dyDescent="0.3">
      <c r="B11" s="77" t="s">
        <v>143</v>
      </c>
      <c r="C11" s="78" t="s">
        <v>141</v>
      </c>
      <c r="D11" s="106">
        <f>270*10^-9</f>
        <v>2.7000000000000001E-7</v>
      </c>
      <c r="E11" s="115">
        <v>1.607E-6</v>
      </c>
      <c r="F11" s="80">
        <f t="shared" si="0"/>
        <v>4.3389000000000003E-13</v>
      </c>
      <c r="G11" s="116">
        <v>1</v>
      </c>
      <c r="H11" s="117">
        <v>0.61699999999999999</v>
      </c>
      <c r="I11" s="118">
        <v>0.46899999999999997</v>
      </c>
      <c r="J11" s="106">
        <v>0.14800000000000002</v>
      </c>
      <c r="K11" s="83" t="s">
        <v>137</v>
      </c>
    </row>
    <row r="12" spans="1:12" x14ac:dyDescent="0.3">
      <c r="B12" s="77" t="s">
        <v>144</v>
      </c>
      <c r="C12" s="78" t="s">
        <v>141</v>
      </c>
      <c r="D12" s="80">
        <f>270*10^-9</f>
        <v>2.7000000000000001E-7</v>
      </c>
      <c r="E12" s="115">
        <v>1.607E-6</v>
      </c>
      <c r="F12" s="80">
        <f t="shared" si="0"/>
        <v>4.3389000000000003E-13</v>
      </c>
      <c r="G12" s="116">
        <v>0.40200000000000002</v>
      </c>
      <c r="H12" s="117">
        <v>0.61699999999999999</v>
      </c>
      <c r="I12" s="118">
        <v>0.46899999999999997</v>
      </c>
      <c r="J12" s="106">
        <v>0.14800000000000002</v>
      </c>
      <c r="K12" s="83" t="s">
        <v>137</v>
      </c>
    </row>
    <row r="13" spans="1:12" ht="16.2" thickBot="1" x14ac:dyDescent="0.35">
      <c r="B13" s="86" t="s">
        <v>145</v>
      </c>
      <c r="C13" s="87" t="s">
        <v>141</v>
      </c>
      <c r="D13" s="88">
        <f>270*10^-9</f>
        <v>2.7000000000000001E-7</v>
      </c>
      <c r="E13" s="119">
        <v>1.607E-6</v>
      </c>
      <c r="F13" s="88">
        <f t="shared" si="0"/>
        <v>4.3389000000000003E-13</v>
      </c>
      <c r="G13" s="120">
        <v>0.61699999999999999</v>
      </c>
      <c r="H13" s="121">
        <v>0.61699999999999999</v>
      </c>
      <c r="I13" s="122">
        <v>0.46899999999999997</v>
      </c>
      <c r="J13" s="107">
        <v>0.14800000000000002</v>
      </c>
      <c r="K13" s="92" t="s">
        <v>137</v>
      </c>
    </row>
    <row r="14" spans="1:12" ht="16.2" thickBot="1" x14ac:dyDescent="0.35">
      <c r="F14" s="75" t="s">
        <v>167</v>
      </c>
    </row>
    <row r="15" spans="1:12" x14ac:dyDescent="0.3"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</row>
    <row r="16" spans="1:12" x14ac:dyDescent="0.3"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</row>
    <row r="17" spans="2:12" x14ac:dyDescent="0.3">
      <c r="B17" s="94" t="s">
        <v>147</v>
      </c>
      <c r="C17" s="95"/>
      <c r="D17" s="95"/>
      <c r="E17" s="95"/>
      <c r="F17" s="93"/>
      <c r="G17" s="93"/>
      <c r="H17" s="93"/>
      <c r="I17" s="93"/>
      <c r="K17" s="93"/>
      <c r="L17" s="93"/>
    </row>
    <row r="18" spans="2:12" ht="16.2" thickBot="1" x14ac:dyDescent="0.35">
      <c r="B18" s="96"/>
      <c r="C18" s="96"/>
      <c r="D18" s="96"/>
      <c r="E18" s="96"/>
    </row>
    <row r="19" spans="2:12" ht="16.2" thickBot="1" x14ac:dyDescent="0.35">
      <c r="B19" s="97" t="s">
        <v>148</v>
      </c>
      <c r="C19" s="108" t="s">
        <v>149</v>
      </c>
      <c r="D19" s="75" t="s">
        <v>150</v>
      </c>
      <c r="E19" s="98" t="s">
        <v>151</v>
      </c>
    </row>
    <row r="20" spans="2:12" x14ac:dyDescent="0.3">
      <c r="B20" s="77" t="s">
        <v>152</v>
      </c>
      <c r="C20" s="78">
        <v>2440</v>
      </c>
      <c r="D20" s="123" t="s">
        <v>158</v>
      </c>
      <c r="E20" s="101" t="s">
        <v>168</v>
      </c>
    </row>
    <row r="21" spans="2:12" x14ac:dyDescent="0.3">
      <c r="B21" s="77" t="s">
        <v>153</v>
      </c>
      <c r="C21" s="78">
        <v>0.02</v>
      </c>
      <c r="D21" s="124" t="s">
        <v>160</v>
      </c>
      <c r="E21" s="101" t="s">
        <v>161</v>
      </c>
    </row>
    <row r="22" spans="2:12" x14ac:dyDescent="0.3">
      <c r="B22" s="77" t="s">
        <v>154</v>
      </c>
      <c r="C22" s="125">
        <v>204000</v>
      </c>
      <c r="D22" s="80">
        <v>326700</v>
      </c>
      <c r="E22" s="101" t="s">
        <v>169</v>
      </c>
    </row>
    <row r="23" spans="2:12" x14ac:dyDescent="0.3">
      <c r="B23" s="77" t="s">
        <v>21</v>
      </c>
      <c r="C23" s="78">
        <v>48.8</v>
      </c>
      <c r="D23" s="109" t="s">
        <v>170</v>
      </c>
      <c r="E23" s="101" t="s">
        <v>171</v>
      </c>
    </row>
    <row r="24" spans="2:12" ht="16.2" thickBot="1" x14ac:dyDescent="0.35">
      <c r="B24" s="86"/>
      <c r="C24" s="87"/>
      <c r="D24" s="102"/>
      <c r="E24" s="103"/>
    </row>
  </sheetData>
  <mergeCells count="3">
    <mergeCell ref="B1:K2"/>
    <mergeCell ref="D4:F4"/>
    <mergeCell ref="B17:E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9409-677C-4DCA-AF0E-F2E2D2256796}">
  <dimension ref="A1:L24"/>
  <sheetViews>
    <sheetView workbookViewId="0">
      <selection activeCell="J20" sqref="J20"/>
    </sheetView>
  </sheetViews>
  <sheetFormatPr defaultRowHeight="15.6" x14ac:dyDescent="0.3"/>
  <cols>
    <col min="2" max="2" width="8.796875" style="64"/>
    <col min="3" max="3" width="14.8984375" style="65" bestFit="1" customWidth="1"/>
    <col min="4" max="4" width="15.69921875" style="65" bestFit="1" customWidth="1"/>
    <col min="5" max="5" width="23.796875" style="65" customWidth="1"/>
    <col min="6" max="6" width="21.19921875" style="65" customWidth="1"/>
    <col min="7" max="7" width="10.3984375" style="65" bestFit="1" customWidth="1"/>
    <col min="8" max="8" width="13.09765625" style="65" customWidth="1"/>
    <col min="9" max="9" width="8.796875" style="65"/>
    <col min="10" max="10" width="19.296875" style="65" customWidth="1"/>
    <col min="11" max="11" width="19.3984375" customWidth="1"/>
    <col min="12" max="12" width="12.796875" customWidth="1"/>
  </cols>
  <sheetData>
    <row r="1" spans="1:12" x14ac:dyDescent="0.3">
      <c r="B1" s="63" t="s">
        <v>172</v>
      </c>
      <c r="C1" s="63"/>
      <c r="D1" s="63"/>
      <c r="E1" s="63"/>
      <c r="F1" s="63"/>
      <c r="G1" s="63"/>
      <c r="H1" s="63"/>
      <c r="I1" s="63"/>
      <c r="J1" s="63"/>
      <c r="K1" s="63"/>
    </row>
    <row r="2" spans="1:12" x14ac:dyDescent="0.3"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2" ht="16.2" thickBot="1" x14ac:dyDescent="0.35"/>
    <row r="4" spans="1:12" ht="16.2" thickBot="1" x14ac:dyDescent="0.35">
      <c r="A4" s="64"/>
      <c r="B4" s="66" t="s">
        <v>123</v>
      </c>
      <c r="C4" s="67" t="s">
        <v>124</v>
      </c>
      <c r="D4" s="68" t="s">
        <v>125</v>
      </c>
      <c r="E4" s="69"/>
      <c r="F4" s="70"/>
      <c r="G4" s="71" t="s">
        <v>126</v>
      </c>
      <c r="H4" s="71" t="s">
        <v>127</v>
      </c>
      <c r="I4" s="71" t="s">
        <v>157</v>
      </c>
      <c r="J4" s="71" t="s">
        <v>129</v>
      </c>
      <c r="K4" s="105" t="s">
        <v>130</v>
      </c>
      <c r="L4" s="64"/>
    </row>
    <row r="5" spans="1:12" ht="16.2" thickBot="1" x14ac:dyDescent="0.35">
      <c r="A5" s="64"/>
      <c r="B5" s="72"/>
      <c r="C5" s="73"/>
      <c r="D5" s="71" t="s">
        <v>131</v>
      </c>
      <c r="E5" s="75" t="s">
        <v>132</v>
      </c>
      <c r="F5" s="75" t="s">
        <v>133</v>
      </c>
      <c r="G5" s="75" t="s">
        <v>134</v>
      </c>
      <c r="H5" s="75" t="s">
        <v>134</v>
      </c>
      <c r="I5" s="75" t="s">
        <v>134</v>
      </c>
      <c r="J5" s="76" t="s">
        <v>134</v>
      </c>
      <c r="K5" s="92"/>
      <c r="L5" s="64"/>
    </row>
    <row r="6" spans="1:12" x14ac:dyDescent="0.3">
      <c r="B6" s="77" t="s">
        <v>135</v>
      </c>
      <c r="C6" s="78" t="s">
        <v>136</v>
      </c>
      <c r="D6" s="110">
        <f>90*10^-9</f>
        <v>9.0000000000000012E-8</v>
      </c>
      <c r="E6" s="111">
        <f>0.61*10^-6</f>
        <v>6.0999999999999998E-7</v>
      </c>
      <c r="F6" s="80">
        <f t="shared" ref="F6:F13" si="0">D6*E6</f>
        <v>5.4900000000000005E-14</v>
      </c>
      <c r="G6" s="112">
        <v>0.65300000000000002</v>
      </c>
      <c r="H6" s="113">
        <v>0.65300000000000002</v>
      </c>
      <c r="I6" s="114">
        <v>0.48399999999999999</v>
      </c>
      <c r="J6" s="110">
        <v>0.16900000000000004</v>
      </c>
      <c r="K6" s="83" t="s">
        <v>137</v>
      </c>
    </row>
    <row r="7" spans="1:12" x14ac:dyDescent="0.3">
      <c r="B7" s="77" t="s">
        <v>138</v>
      </c>
      <c r="C7" s="78" t="s">
        <v>136</v>
      </c>
      <c r="D7" s="106">
        <f>90*10^-9</f>
        <v>9.0000000000000012E-8</v>
      </c>
      <c r="E7" s="111">
        <f>0.61*10^-6</f>
        <v>6.0999999999999998E-7</v>
      </c>
      <c r="F7" s="80">
        <f t="shared" si="0"/>
        <v>5.4900000000000005E-14</v>
      </c>
      <c r="G7" s="112">
        <v>0.64900000000000002</v>
      </c>
      <c r="H7" s="113">
        <v>0.65300000000000002</v>
      </c>
      <c r="I7" s="114">
        <v>0.48399999999999999</v>
      </c>
      <c r="J7" s="106">
        <v>0.16900000000000004</v>
      </c>
      <c r="K7" s="83" t="s">
        <v>137</v>
      </c>
    </row>
    <row r="8" spans="1:12" x14ac:dyDescent="0.3">
      <c r="B8" s="77" t="s">
        <v>139</v>
      </c>
      <c r="C8" s="78" t="s">
        <v>136</v>
      </c>
      <c r="D8" s="106">
        <f>90*10^-9</f>
        <v>9.0000000000000012E-8</v>
      </c>
      <c r="E8" s="111">
        <f>267*10^-6</f>
        <v>2.6699999999999998E-4</v>
      </c>
      <c r="F8" s="80">
        <f t="shared" si="0"/>
        <v>2.4030000000000003E-11</v>
      </c>
      <c r="G8" s="112">
        <v>0.4</v>
      </c>
      <c r="H8" s="113">
        <v>0.64900000000000002</v>
      </c>
      <c r="I8" s="114">
        <v>0.48699999999999999</v>
      </c>
      <c r="J8" s="106">
        <v>0.16200000000000003</v>
      </c>
      <c r="K8" s="83" t="s">
        <v>137</v>
      </c>
    </row>
    <row r="9" spans="1:12" x14ac:dyDescent="0.3">
      <c r="B9" s="77" t="s">
        <v>140</v>
      </c>
      <c r="C9" s="78" t="s">
        <v>141</v>
      </c>
      <c r="D9" s="106">
        <f>90*10^-9</f>
        <v>9.0000000000000012E-8</v>
      </c>
      <c r="E9" s="111">
        <f>0.28*10^-6</f>
        <v>2.8000000000000002E-7</v>
      </c>
      <c r="F9" s="80">
        <f t="shared" si="0"/>
        <v>2.5200000000000006E-14</v>
      </c>
      <c r="G9" s="112">
        <v>0.34899999999999998</v>
      </c>
      <c r="H9" s="113">
        <v>0.60199999999999998</v>
      </c>
      <c r="I9" s="114">
        <v>0.46600000000000003</v>
      </c>
      <c r="J9" s="106">
        <v>0.13599999999999995</v>
      </c>
      <c r="K9" s="83" t="s">
        <v>137</v>
      </c>
    </row>
    <row r="10" spans="1:12" x14ac:dyDescent="0.3">
      <c r="B10" s="77" t="s">
        <v>142</v>
      </c>
      <c r="C10" s="78" t="s">
        <v>141</v>
      </c>
      <c r="D10" s="106">
        <f>90*10^-9</f>
        <v>9.0000000000000012E-8</v>
      </c>
      <c r="E10" s="111">
        <f>0.28*10^-6</f>
        <v>2.8000000000000002E-7</v>
      </c>
      <c r="F10" s="80">
        <f t="shared" si="0"/>
        <v>2.5200000000000006E-14</v>
      </c>
      <c r="G10" s="112">
        <v>0.35299999999999998</v>
      </c>
      <c r="H10" s="113">
        <v>0.60199999999999998</v>
      </c>
      <c r="I10" s="114">
        <v>0.46600000000000003</v>
      </c>
      <c r="J10" s="106">
        <v>0.13599999999999995</v>
      </c>
      <c r="K10" s="83" t="s">
        <v>137</v>
      </c>
    </row>
    <row r="11" spans="1:12" x14ac:dyDescent="0.3">
      <c r="B11" s="77" t="s">
        <v>143</v>
      </c>
      <c r="C11" s="78" t="s">
        <v>141</v>
      </c>
      <c r="D11" s="106">
        <f>270*10^-9</f>
        <v>2.7000000000000001E-7</v>
      </c>
      <c r="E11" s="115">
        <v>1.607E-6</v>
      </c>
      <c r="F11" s="80">
        <f t="shared" si="0"/>
        <v>4.3389000000000003E-13</v>
      </c>
      <c r="G11" s="116">
        <v>1</v>
      </c>
      <c r="H11" s="117">
        <v>0.61699999999999999</v>
      </c>
      <c r="I11" s="118">
        <v>0.46899999999999997</v>
      </c>
      <c r="J11" s="106">
        <v>0.14800000000000002</v>
      </c>
      <c r="K11" s="83" t="s">
        <v>137</v>
      </c>
    </row>
    <row r="12" spans="1:12" x14ac:dyDescent="0.3">
      <c r="B12" s="77" t="s">
        <v>144</v>
      </c>
      <c r="C12" s="78" t="s">
        <v>141</v>
      </c>
      <c r="D12" s="80">
        <f>270*10^-9</f>
        <v>2.7000000000000001E-7</v>
      </c>
      <c r="E12" s="115">
        <v>1.607E-6</v>
      </c>
      <c r="F12" s="80">
        <f t="shared" si="0"/>
        <v>4.3389000000000003E-13</v>
      </c>
      <c r="G12" s="116">
        <v>0.39800000000000002</v>
      </c>
      <c r="H12" s="117">
        <v>0.61699999999999999</v>
      </c>
      <c r="I12" s="118">
        <v>0.46899999999999997</v>
      </c>
      <c r="J12" s="106">
        <v>0.14800000000000002</v>
      </c>
      <c r="K12" s="83" t="s">
        <v>137</v>
      </c>
    </row>
    <row r="13" spans="1:12" ht="16.2" thickBot="1" x14ac:dyDescent="0.35">
      <c r="B13" s="86" t="s">
        <v>145</v>
      </c>
      <c r="C13" s="87" t="s">
        <v>141</v>
      </c>
      <c r="D13" s="88">
        <f>270*10^-9</f>
        <v>2.7000000000000001E-7</v>
      </c>
      <c r="E13" s="119">
        <v>1.607E-6</v>
      </c>
      <c r="F13" s="88">
        <f t="shared" si="0"/>
        <v>4.3389000000000003E-13</v>
      </c>
      <c r="G13" s="120">
        <v>0.61699999999999999</v>
      </c>
      <c r="H13" s="121">
        <v>0.61699999999999999</v>
      </c>
      <c r="I13" s="122">
        <v>0.46899999999999997</v>
      </c>
      <c r="J13" s="107">
        <v>0.14800000000000002</v>
      </c>
      <c r="K13" s="92" t="s">
        <v>137</v>
      </c>
    </row>
    <row r="14" spans="1:12" ht="16.2" thickBot="1" x14ac:dyDescent="0.35">
      <c r="F14" s="75" t="s">
        <v>167</v>
      </c>
    </row>
    <row r="15" spans="1:12" x14ac:dyDescent="0.3"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</row>
    <row r="16" spans="1:12" x14ac:dyDescent="0.3"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</row>
    <row r="17" spans="2:12" x14ac:dyDescent="0.3">
      <c r="B17" s="94" t="s">
        <v>147</v>
      </c>
      <c r="C17" s="95"/>
      <c r="D17" s="95"/>
      <c r="E17" s="95"/>
      <c r="F17" s="93"/>
      <c r="G17" s="93"/>
      <c r="H17" s="93"/>
      <c r="I17" s="93"/>
      <c r="K17" s="93"/>
      <c r="L17" s="93"/>
    </row>
    <row r="18" spans="2:12" ht="16.2" thickBot="1" x14ac:dyDescent="0.35">
      <c r="B18" s="96"/>
      <c r="C18" s="96"/>
      <c r="D18" s="96"/>
      <c r="E18" s="96"/>
    </row>
    <row r="19" spans="2:12" ht="16.2" thickBot="1" x14ac:dyDescent="0.35">
      <c r="B19" s="97" t="s">
        <v>148</v>
      </c>
      <c r="C19" s="108" t="s">
        <v>149</v>
      </c>
      <c r="D19" s="71" t="s">
        <v>150</v>
      </c>
      <c r="E19" s="98" t="s">
        <v>151</v>
      </c>
    </row>
    <row r="20" spans="2:12" x14ac:dyDescent="0.3">
      <c r="B20" s="77" t="s">
        <v>152</v>
      </c>
      <c r="C20" s="78">
        <v>488</v>
      </c>
      <c r="D20" s="126" t="s">
        <v>173</v>
      </c>
      <c r="E20" s="101" t="s">
        <v>174</v>
      </c>
    </row>
    <row r="21" spans="2:12" x14ac:dyDescent="0.3">
      <c r="B21" s="77" t="s">
        <v>153</v>
      </c>
      <c r="C21" s="78">
        <v>0.1</v>
      </c>
      <c r="D21" s="124" t="s">
        <v>175</v>
      </c>
      <c r="E21" s="101" t="s">
        <v>176</v>
      </c>
    </row>
    <row r="22" spans="2:12" x14ac:dyDescent="0.3">
      <c r="B22" s="77" t="s">
        <v>154</v>
      </c>
      <c r="C22" s="125">
        <v>1020000</v>
      </c>
      <c r="D22" s="80">
        <v>1228000</v>
      </c>
      <c r="E22" s="101" t="s">
        <v>177</v>
      </c>
    </row>
    <row r="23" spans="2:12" x14ac:dyDescent="0.3">
      <c r="B23" s="77" t="s">
        <v>21</v>
      </c>
      <c r="C23" s="78">
        <v>48.8</v>
      </c>
      <c r="D23" s="85" t="s">
        <v>178</v>
      </c>
      <c r="E23" s="101" t="s">
        <v>179</v>
      </c>
    </row>
    <row r="24" spans="2:12" ht="16.2" thickBot="1" x14ac:dyDescent="0.35">
      <c r="B24" s="86"/>
      <c r="C24" s="87"/>
      <c r="D24" s="102"/>
      <c r="E24" s="103"/>
    </row>
  </sheetData>
  <mergeCells count="3">
    <mergeCell ref="B1:K2"/>
    <mergeCell ref="D4:F4"/>
    <mergeCell ref="B17:E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92ED-EE66-43FE-A8D8-4AB2D63FC242}">
  <dimension ref="A1:C17"/>
  <sheetViews>
    <sheetView workbookViewId="0">
      <selection activeCell="F12" sqref="F12"/>
    </sheetView>
  </sheetViews>
  <sheetFormatPr defaultRowHeight="15.6" x14ac:dyDescent="0.3"/>
  <cols>
    <col min="1" max="1" width="8.8984375" bestFit="1" customWidth="1"/>
    <col min="2" max="2" width="10.796875" bestFit="1" customWidth="1"/>
    <col min="3" max="3" width="16.296875" bestFit="1" customWidth="1"/>
  </cols>
  <sheetData>
    <row r="1" spans="1:3" x14ac:dyDescent="0.3">
      <c r="A1" t="s">
        <v>240</v>
      </c>
      <c r="B1">
        <v>2000</v>
      </c>
      <c r="C1" t="s">
        <v>241</v>
      </c>
    </row>
    <row r="2" spans="1:3" x14ac:dyDescent="0.3">
      <c r="A2" t="s">
        <v>89</v>
      </c>
      <c r="B2">
        <v>10</v>
      </c>
    </row>
    <row r="3" spans="1:3" x14ac:dyDescent="0.3">
      <c r="A3" t="s">
        <v>88</v>
      </c>
      <c r="B3">
        <f>10/1000</f>
        <v>0.01</v>
      </c>
    </row>
    <row r="4" spans="1:3" x14ac:dyDescent="0.3">
      <c r="A4" t="s">
        <v>24</v>
      </c>
      <c r="B4">
        <f>B2*B3</f>
        <v>0.1</v>
      </c>
    </row>
    <row r="5" spans="1:3" x14ac:dyDescent="0.3">
      <c r="A5" t="s">
        <v>242</v>
      </c>
      <c r="B5">
        <v>48.88</v>
      </c>
    </row>
    <row r="6" spans="1:3" x14ac:dyDescent="0.3">
      <c r="A6" t="s">
        <v>101</v>
      </c>
      <c r="B6">
        <f>B1/B5</f>
        <v>40.916530278232401</v>
      </c>
    </row>
    <row r="7" spans="1:3" x14ac:dyDescent="0.3">
      <c r="A7" t="s">
        <v>243</v>
      </c>
      <c r="B7">
        <f>B6*2</f>
        <v>81.833060556464801</v>
      </c>
    </row>
    <row r="8" spans="1:3" x14ac:dyDescent="0.3">
      <c r="A8" t="s">
        <v>244</v>
      </c>
      <c r="B8">
        <f>B5/B4</f>
        <v>488.8</v>
      </c>
    </row>
    <row r="9" spans="1:3" x14ac:dyDescent="0.3">
      <c r="A9" t="s">
        <v>96</v>
      </c>
      <c r="B9">
        <f>5.8/10^13</f>
        <v>5.7999999999999995E-13</v>
      </c>
      <c r="C9" t="s">
        <v>245</v>
      </c>
    </row>
    <row r="10" spans="1:3" x14ac:dyDescent="0.3">
      <c r="A10" t="s">
        <v>246</v>
      </c>
      <c r="B10">
        <v>10</v>
      </c>
    </row>
    <row r="11" spans="1:3" x14ac:dyDescent="0.3">
      <c r="A11" t="s">
        <v>24</v>
      </c>
    </row>
    <row r="12" spans="1:3" x14ac:dyDescent="0.3">
      <c r="A12" t="s">
        <v>247</v>
      </c>
      <c r="B12">
        <f>25/10^6</f>
        <v>2.5000000000000001E-5</v>
      </c>
    </row>
    <row r="13" spans="1:3" x14ac:dyDescent="0.3">
      <c r="A13" t="s">
        <v>248</v>
      </c>
      <c r="B13">
        <v>22.53</v>
      </c>
    </row>
    <row r="14" spans="1:3" x14ac:dyDescent="0.3">
      <c r="A14" t="s">
        <v>94</v>
      </c>
      <c r="B14">
        <f>B12/B13</f>
        <v>1.1096316023080337E-6</v>
      </c>
    </row>
    <row r="15" spans="1:3" x14ac:dyDescent="0.3">
      <c r="A15" t="s">
        <v>88</v>
      </c>
      <c r="B15">
        <f>25/10^6</f>
        <v>2.5000000000000001E-5</v>
      </c>
    </row>
    <row r="16" spans="1:3" x14ac:dyDescent="0.3">
      <c r="A16" t="s">
        <v>249</v>
      </c>
      <c r="B16">
        <v>60.29</v>
      </c>
      <c r="C16" t="s">
        <v>250</v>
      </c>
    </row>
    <row r="17" spans="1:2" x14ac:dyDescent="0.3">
      <c r="A17" t="s">
        <v>251</v>
      </c>
      <c r="B17">
        <f>B15/B16</f>
        <v>4.1466246475369053E-7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AB83-F23C-455A-B1C3-B763B452CB6E}">
  <dimension ref="A1:M17"/>
  <sheetViews>
    <sheetView workbookViewId="0">
      <selection activeCell="F15" sqref="F15"/>
    </sheetView>
  </sheetViews>
  <sheetFormatPr defaultRowHeight="15.6" x14ac:dyDescent="0.3"/>
  <sheetData>
    <row r="1" spans="1:13" x14ac:dyDescent="0.3">
      <c r="A1" t="s">
        <v>240</v>
      </c>
      <c r="B1">
        <v>10000</v>
      </c>
      <c r="C1" t="s">
        <v>241</v>
      </c>
    </row>
    <row r="2" spans="1:13" x14ac:dyDescent="0.3">
      <c r="A2" t="s">
        <v>89</v>
      </c>
      <c r="B2">
        <v>10</v>
      </c>
    </row>
    <row r="3" spans="1:13" x14ac:dyDescent="0.3">
      <c r="A3" t="s">
        <v>88</v>
      </c>
      <c r="B3">
        <f>10/1000</f>
        <v>0.01</v>
      </c>
    </row>
    <row r="4" spans="1:13" x14ac:dyDescent="0.3">
      <c r="A4" t="s">
        <v>24</v>
      </c>
      <c r="B4">
        <f>B2*B3</f>
        <v>0.1</v>
      </c>
    </row>
    <row r="5" spans="1:13" x14ac:dyDescent="0.3">
      <c r="A5" t="s">
        <v>242</v>
      </c>
      <c r="B5">
        <v>48.88</v>
      </c>
    </row>
    <row r="6" spans="1:13" x14ac:dyDescent="0.3">
      <c r="A6" t="s">
        <v>101</v>
      </c>
      <c r="B6">
        <f>B1/B5</f>
        <v>204.58265139116202</v>
      </c>
      <c r="L6" t="s">
        <v>252</v>
      </c>
      <c r="M6">
        <v>500</v>
      </c>
    </row>
    <row r="7" spans="1:13" x14ac:dyDescent="0.3">
      <c r="A7" t="s">
        <v>243</v>
      </c>
      <c r="B7">
        <f>B6*2</f>
        <v>409.16530278232403</v>
      </c>
      <c r="M7">
        <f>1/10^6</f>
        <v>9.9999999999999995E-7</v>
      </c>
    </row>
    <row r="8" spans="1:13" x14ac:dyDescent="0.3">
      <c r="A8" t="s">
        <v>244</v>
      </c>
      <c r="B8">
        <f>B5/B4</f>
        <v>488.8</v>
      </c>
      <c r="M8">
        <f>M7*M6</f>
        <v>5.0000000000000001E-4</v>
      </c>
    </row>
    <row r="9" spans="1:13" x14ac:dyDescent="0.3">
      <c r="A9" t="s">
        <v>96</v>
      </c>
      <c r="B9">
        <f>5.8/10^13</f>
        <v>5.7999999999999995E-13</v>
      </c>
      <c r="C9" t="s">
        <v>245</v>
      </c>
      <c r="L9" t="s">
        <v>94</v>
      </c>
      <c r="M9">
        <f>1/M8</f>
        <v>2000</v>
      </c>
    </row>
    <row r="10" spans="1:13" x14ac:dyDescent="0.3">
      <c r="A10" t="s">
        <v>246</v>
      </c>
      <c r="B10">
        <v>10</v>
      </c>
      <c r="L10" t="s">
        <v>253</v>
      </c>
      <c r="M10">
        <f>M9/(2*3.14)</f>
        <v>318.4713375796178</v>
      </c>
    </row>
    <row r="11" spans="1:13" x14ac:dyDescent="0.3">
      <c r="A11" t="s">
        <v>24</v>
      </c>
    </row>
    <row r="12" spans="1:13" x14ac:dyDescent="0.3">
      <c r="A12" t="s">
        <v>247</v>
      </c>
      <c r="B12">
        <f>25/10^6</f>
        <v>2.5000000000000001E-5</v>
      </c>
    </row>
    <row r="13" spans="1:13" x14ac:dyDescent="0.3">
      <c r="A13" t="s">
        <v>248</v>
      </c>
      <c r="B13">
        <v>22.53</v>
      </c>
    </row>
    <row r="14" spans="1:13" x14ac:dyDescent="0.3">
      <c r="A14" t="s">
        <v>94</v>
      </c>
      <c r="B14">
        <f>B12/B13</f>
        <v>1.1096316023080337E-6</v>
      </c>
    </row>
    <row r="15" spans="1:13" x14ac:dyDescent="0.3">
      <c r="A15" t="s">
        <v>88</v>
      </c>
      <c r="B15">
        <f>25/10^6</f>
        <v>2.5000000000000001E-5</v>
      </c>
    </row>
    <row r="16" spans="1:13" x14ac:dyDescent="0.3">
      <c r="A16" t="s">
        <v>249</v>
      </c>
      <c r="B16">
        <v>60.29</v>
      </c>
      <c r="C16" t="s">
        <v>250</v>
      </c>
    </row>
    <row r="17" spans="1:2" x14ac:dyDescent="0.3">
      <c r="A17" t="s">
        <v>251</v>
      </c>
      <c r="B17">
        <f>B15/B16</f>
        <v>4.1466246475369053E-7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A106-AC7D-421E-856C-6A881B1E1DBE}">
  <dimension ref="A1:P37"/>
  <sheetViews>
    <sheetView zoomScale="80" workbookViewId="0">
      <selection activeCell="L9" sqref="L9"/>
    </sheetView>
  </sheetViews>
  <sheetFormatPr defaultRowHeight="15.6" x14ac:dyDescent="0.3"/>
  <cols>
    <col min="1" max="1" width="20" customWidth="1"/>
    <col min="12" max="12" width="34.796875" bestFit="1" customWidth="1"/>
    <col min="13" max="13" width="9.59765625" bestFit="1" customWidth="1"/>
    <col min="14" max="14" width="10.69921875" bestFit="1" customWidth="1"/>
    <col min="16" max="16" width="9.59765625" bestFit="1" customWidth="1"/>
  </cols>
  <sheetData>
    <row r="1" spans="1:9" x14ac:dyDescent="0.3">
      <c r="A1" s="146" t="s">
        <v>254</v>
      </c>
      <c r="B1" s="147"/>
      <c r="C1" s="147"/>
      <c r="D1" s="147"/>
      <c r="E1" s="147"/>
      <c r="F1" s="147"/>
      <c r="G1" s="147"/>
      <c r="H1" s="147"/>
      <c r="I1" s="148"/>
    </row>
    <row r="2" spans="1:9" x14ac:dyDescent="0.3">
      <c r="A2" s="149"/>
      <c r="B2" s="150"/>
      <c r="C2" s="150"/>
      <c r="D2" s="150"/>
      <c r="E2" s="150"/>
      <c r="F2" s="150"/>
      <c r="G2" s="150"/>
      <c r="H2" s="150"/>
      <c r="I2" s="151"/>
    </row>
    <row r="3" spans="1:9" x14ac:dyDescent="0.3">
      <c r="A3" s="152"/>
      <c r="B3" s="145"/>
      <c r="C3" s="145"/>
      <c r="D3" s="145"/>
      <c r="E3" s="145"/>
      <c r="F3" s="145"/>
      <c r="G3" s="145"/>
      <c r="H3" s="145"/>
      <c r="I3" s="153"/>
    </row>
    <row r="4" spans="1:9" x14ac:dyDescent="0.3">
      <c r="A4" s="154" t="s">
        <v>180</v>
      </c>
      <c r="B4" s="127" t="s">
        <v>181</v>
      </c>
      <c r="C4" s="127" t="s">
        <v>182</v>
      </c>
      <c r="D4" s="127" t="s">
        <v>183</v>
      </c>
      <c r="E4" s="127" t="s">
        <v>184</v>
      </c>
      <c r="F4" s="127" t="s">
        <v>185</v>
      </c>
      <c r="G4" s="127" t="s">
        <v>186</v>
      </c>
      <c r="H4" s="127" t="s">
        <v>187</v>
      </c>
      <c r="I4" s="155" t="s">
        <v>188</v>
      </c>
    </row>
    <row r="5" spans="1:9" x14ac:dyDescent="0.3">
      <c r="A5" s="154" t="s">
        <v>189</v>
      </c>
      <c r="B5" s="127" t="s">
        <v>190</v>
      </c>
      <c r="C5" s="127" t="s">
        <v>190</v>
      </c>
      <c r="D5" s="127" t="s">
        <v>190</v>
      </c>
      <c r="E5" s="127" t="s">
        <v>191</v>
      </c>
      <c r="F5" s="127" t="s">
        <v>191</v>
      </c>
      <c r="G5" s="127" t="s">
        <v>191</v>
      </c>
      <c r="H5" s="127" t="s">
        <v>191</v>
      </c>
      <c r="I5" s="155" t="s">
        <v>191</v>
      </c>
    </row>
    <row r="6" spans="1:9" x14ac:dyDescent="0.3">
      <c r="A6" s="154" t="s">
        <v>192</v>
      </c>
      <c r="B6" s="113">
        <v>-2.4700000000000001E-5</v>
      </c>
      <c r="C6" s="113">
        <v>-2.4600000000000002E-5</v>
      </c>
      <c r="D6" s="113">
        <v>-1.01E-2</v>
      </c>
      <c r="E6" s="113">
        <v>2.4700000000000001E-5</v>
      </c>
      <c r="F6" s="113">
        <v>2.4700000000000001E-5</v>
      </c>
      <c r="G6" s="128">
        <v>5.0800000000000002E-5</v>
      </c>
      <c r="H6" s="128">
        <v>4.9400000000000001E-5</v>
      </c>
      <c r="I6" s="118">
        <v>5.0000000000000002E-5</v>
      </c>
    </row>
    <row r="7" spans="1:9" x14ac:dyDescent="0.3">
      <c r="A7" s="154" t="s">
        <v>193</v>
      </c>
      <c r="B7" s="113">
        <v>-0.65200000000000002</v>
      </c>
      <c r="C7" s="113">
        <v>-0.65200000000000002</v>
      </c>
      <c r="D7" s="113">
        <v>-0.64900000000000002</v>
      </c>
      <c r="E7" s="113">
        <v>0.61</v>
      </c>
      <c r="F7" s="113">
        <v>0.61</v>
      </c>
      <c r="G7" s="128">
        <v>0.61699999999999999</v>
      </c>
      <c r="H7" s="128">
        <v>0.61699999999999999</v>
      </c>
      <c r="I7" s="118">
        <v>0.61699999999999999</v>
      </c>
    </row>
    <row r="8" spans="1:9" x14ac:dyDescent="0.3">
      <c r="A8" s="154" t="s">
        <v>194</v>
      </c>
      <c r="B8" s="113">
        <v>-0.65200000000000002</v>
      </c>
      <c r="C8" s="113">
        <v>-0.64900000000000002</v>
      </c>
      <c r="D8" s="113">
        <v>-0.4</v>
      </c>
      <c r="E8" s="113">
        <v>0.35799999999999998</v>
      </c>
      <c r="F8" s="113">
        <v>0.36099999999999999</v>
      </c>
      <c r="G8" s="128">
        <v>1</v>
      </c>
      <c r="H8" s="128">
        <v>0.39</v>
      </c>
      <c r="I8" s="118">
        <v>0.61699999999999999</v>
      </c>
    </row>
    <row r="9" spans="1:9" x14ac:dyDescent="0.3">
      <c r="A9" s="154" t="s">
        <v>195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28">
        <v>0</v>
      </c>
      <c r="H9" s="128">
        <v>0</v>
      </c>
      <c r="I9" s="118">
        <v>0</v>
      </c>
    </row>
    <row r="10" spans="1:9" x14ac:dyDescent="0.3">
      <c r="A10" s="154" t="s">
        <v>196</v>
      </c>
      <c r="B10" s="113">
        <v>-0.48899999999999999</v>
      </c>
      <c r="C10" s="113">
        <v>-0.48899999999999999</v>
      </c>
      <c r="D10" s="113">
        <v>-0.48699999999999999</v>
      </c>
      <c r="E10" s="113">
        <v>0.46800000000000003</v>
      </c>
      <c r="F10" s="113">
        <v>0.46800000000000003</v>
      </c>
      <c r="G10" s="128">
        <v>0.46899999999999997</v>
      </c>
      <c r="H10" s="128">
        <v>0.46899999999999997</v>
      </c>
      <c r="I10" s="118">
        <v>0.46899999999999997</v>
      </c>
    </row>
    <row r="11" spans="1:9" x14ac:dyDescent="0.3">
      <c r="A11" s="154" t="s">
        <v>197</v>
      </c>
      <c r="B11" s="113">
        <v>-0.17799999999999999</v>
      </c>
      <c r="C11" s="113">
        <v>-0.17799999999999999</v>
      </c>
      <c r="D11" s="113">
        <v>-0.17699999999999999</v>
      </c>
      <c r="E11" s="113">
        <v>0.152</v>
      </c>
      <c r="F11" s="113">
        <v>0.152</v>
      </c>
      <c r="G11" s="128">
        <v>0.16200000000000001</v>
      </c>
      <c r="H11" s="128">
        <v>0.161</v>
      </c>
      <c r="I11" s="118">
        <v>0.161</v>
      </c>
    </row>
    <row r="12" spans="1:9" x14ac:dyDescent="0.3">
      <c r="A12" s="154" t="s">
        <v>198</v>
      </c>
      <c r="B12" s="113">
        <v>2.4800000000000001E-4</v>
      </c>
      <c r="C12" s="113">
        <v>2.4800000000000001E-4</v>
      </c>
      <c r="D12" s="113">
        <v>9.9099999999999994E-2</v>
      </c>
      <c r="E12" s="113">
        <v>2.4499999999999999E-4</v>
      </c>
      <c r="F12" s="113">
        <v>2.4600000000000002E-4</v>
      </c>
      <c r="G12" s="128">
        <v>5.0799999999999999E-4</v>
      </c>
      <c r="H12" s="128">
        <v>4.95E-4</v>
      </c>
      <c r="I12" s="118">
        <v>5.0100000000000003E-4</v>
      </c>
    </row>
    <row r="13" spans="1:9" x14ac:dyDescent="0.3">
      <c r="A13" s="154" t="s">
        <v>199</v>
      </c>
      <c r="B13" s="113">
        <v>2.4499999999999998E-6</v>
      </c>
      <c r="C13" s="113">
        <v>2.4499999999999998E-6</v>
      </c>
      <c r="D13" s="113">
        <v>2.4599999999999999E-3</v>
      </c>
      <c r="E13" s="113">
        <v>2.9699999999999999E-6</v>
      </c>
      <c r="F13" s="113">
        <v>2.96E-6</v>
      </c>
      <c r="G13" s="128">
        <v>2.1100000000000001E-6</v>
      </c>
      <c r="H13" s="128">
        <v>3.2899999999999998E-6</v>
      </c>
      <c r="I13" s="118">
        <v>2.2900000000000001E-6</v>
      </c>
    </row>
    <row r="14" spans="1:9" x14ac:dyDescent="0.3">
      <c r="A14" s="154" t="s">
        <v>200</v>
      </c>
      <c r="B14" s="113">
        <v>5.2500000000000002E-5</v>
      </c>
      <c r="C14" s="113">
        <v>5.2500000000000002E-5</v>
      </c>
      <c r="D14" s="113">
        <v>2.1000000000000001E-2</v>
      </c>
      <c r="E14" s="113">
        <v>5.7099999999999999E-5</v>
      </c>
      <c r="F14" s="113">
        <v>5.7200000000000001E-5</v>
      </c>
      <c r="G14" s="128">
        <v>1.1900000000000001E-4</v>
      </c>
      <c r="H14" s="128">
        <v>1.16E-4</v>
      </c>
      <c r="I14" s="118">
        <v>1.18E-4</v>
      </c>
    </row>
    <row r="15" spans="1:9" x14ac:dyDescent="0.3">
      <c r="A15" s="154" t="s">
        <v>201</v>
      </c>
      <c r="B15" s="113">
        <v>4.7000000000000004E-16</v>
      </c>
      <c r="C15" s="113">
        <v>4.7000000000000004E-16</v>
      </c>
      <c r="D15" s="113">
        <v>1.19E-13</v>
      </c>
      <c r="E15" s="113">
        <v>1.8700000000000001E-16</v>
      </c>
      <c r="F15" s="113">
        <v>1.8700000000000001E-16</v>
      </c>
      <c r="G15" s="128">
        <v>6.3900000000000003E-16</v>
      </c>
      <c r="H15" s="128">
        <v>7.2099999999999998E-16</v>
      </c>
      <c r="I15" s="118">
        <v>6.86E-16</v>
      </c>
    </row>
    <row r="16" spans="1:9" ht="16.2" thickBot="1" x14ac:dyDescent="0.35">
      <c r="A16" s="156" t="s">
        <v>202</v>
      </c>
      <c r="B16" s="157">
        <v>8.8700000000000002E-16</v>
      </c>
      <c r="C16" s="157">
        <v>8.8700000000000002E-16</v>
      </c>
      <c r="D16" s="157">
        <v>2.14E-13</v>
      </c>
      <c r="E16" s="157">
        <v>3.31E-16</v>
      </c>
      <c r="F16" s="157">
        <v>3.31E-16</v>
      </c>
      <c r="G16" s="158">
        <v>1.2900000000000001E-15</v>
      </c>
      <c r="H16" s="158">
        <v>1.2900000000000001E-15</v>
      </c>
      <c r="I16" s="122">
        <v>1.2900000000000001E-15</v>
      </c>
    </row>
    <row r="17" spans="1:16" ht="16.2" thickBot="1" x14ac:dyDescent="0.35">
      <c r="L17" t="s">
        <v>203</v>
      </c>
      <c r="M17" t="s">
        <v>204</v>
      </c>
      <c r="N17" t="s">
        <v>205</v>
      </c>
    </row>
    <row r="18" spans="1:16" ht="16.2" thickBot="1" x14ac:dyDescent="0.35">
      <c r="A18" s="108" t="s">
        <v>206</v>
      </c>
      <c r="B18" s="129">
        <f t="shared" ref="B18:I18" si="0">1/B13</f>
        <v>408163.26530612248</v>
      </c>
      <c r="C18" s="130">
        <f t="shared" si="0"/>
        <v>408163.26530612248</v>
      </c>
      <c r="D18" s="130">
        <f t="shared" si="0"/>
        <v>406.5040650406504</v>
      </c>
      <c r="E18" s="130">
        <f t="shared" si="0"/>
        <v>336700.33670033672</v>
      </c>
      <c r="F18" s="130">
        <f t="shared" si="0"/>
        <v>337837.83783783781</v>
      </c>
      <c r="G18" s="130">
        <f t="shared" si="0"/>
        <v>473933.6492890995</v>
      </c>
      <c r="H18" s="130">
        <f t="shared" si="0"/>
        <v>303951.36778115504</v>
      </c>
      <c r="I18" s="131">
        <f t="shared" si="0"/>
        <v>436681.22270742356</v>
      </c>
      <c r="L18">
        <v>1000</v>
      </c>
      <c r="M18">
        <f>2.55/10^11</f>
        <v>2.5499999999999999E-11</v>
      </c>
    </row>
    <row r="19" spans="1:16" x14ac:dyDescent="0.3">
      <c r="A19" s="132" t="s">
        <v>207</v>
      </c>
      <c r="B19" s="133">
        <f t="shared" ref="B19:I19" si="1">B12*B18</f>
        <v>101.22448979591839</v>
      </c>
      <c r="C19" s="4">
        <f t="shared" si="1"/>
        <v>101.22448979591839</v>
      </c>
      <c r="D19" s="4">
        <f t="shared" si="1"/>
        <v>40.284552845528452</v>
      </c>
      <c r="E19" s="4">
        <f t="shared" si="1"/>
        <v>82.491582491582491</v>
      </c>
      <c r="F19" s="4">
        <f t="shared" si="1"/>
        <v>83.108108108108112</v>
      </c>
      <c r="G19" s="4">
        <f t="shared" si="1"/>
        <v>240.75829383886253</v>
      </c>
      <c r="H19" s="4">
        <f t="shared" si="1"/>
        <v>150.45592705167175</v>
      </c>
      <c r="I19" s="111">
        <f t="shared" si="1"/>
        <v>218.77729257641923</v>
      </c>
      <c r="L19">
        <v>2000</v>
      </c>
      <c r="M19">
        <f>2.58/10^11</f>
        <v>2.5800000000000001E-11</v>
      </c>
      <c r="N19">
        <f>((M19-M18)/M18)*100</f>
        <v>1.1764705882353002</v>
      </c>
    </row>
    <row r="20" spans="1:16" x14ac:dyDescent="0.3">
      <c r="A20" s="132" t="s">
        <v>208</v>
      </c>
      <c r="B20" s="133">
        <f>135/10^9</f>
        <v>1.35E-7</v>
      </c>
      <c r="C20" s="133">
        <f>135/10^9</f>
        <v>1.35E-7</v>
      </c>
      <c r="D20" s="4">
        <f>90*10^-9</f>
        <v>9.0000000000000012E-8</v>
      </c>
      <c r="E20" s="4">
        <f>135/10^9</f>
        <v>1.35E-7</v>
      </c>
      <c r="F20" s="4">
        <f>135/10^9</f>
        <v>1.35E-7</v>
      </c>
      <c r="G20" s="4">
        <f>270*10^-9</f>
        <v>2.7000000000000001E-7</v>
      </c>
      <c r="H20" s="4">
        <f>270*10^-9</f>
        <v>2.7000000000000001E-7</v>
      </c>
      <c r="I20" s="82">
        <f>270*10^-9</f>
        <v>2.7000000000000001E-7</v>
      </c>
    </row>
    <row r="21" spans="1:16" x14ac:dyDescent="0.3">
      <c r="A21" s="132" t="s">
        <v>209</v>
      </c>
      <c r="B21" s="133">
        <f>1.19/10^6</f>
        <v>1.19E-6</v>
      </c>
      <c r="C21" s="133">
        <f>1.19/10^6</f>
        <v>1.19E-6</v>
      </c>
      <c r="D21" s="4">
        <f>267*10^-6</f>
        <v>2.6699999999999998E-4</v>
      </c>
      <c r="E21" s="4">
        <f>0.414/10^6</f>
        <v>4.1399999999999997E-7</v>
      </c>
      <c r="F21" s="4">
        <f>0.414/10^6</f>
        <v>4.1399999999999997E-7</v>
      </c>
      <c r="G21" s="134">
        <v>1.607E-6</v>
      </c>
      <c r="H21" s="134">
        <v>1.607E-6</v>
      </c>
      <c r="I21" s="101">
        <v>1.607E-6</v>
      </c>
    </row>
    <row r="22" spans="1:16" ht="16.2" thickBot="1" x14ac:dyDescent="0.35">
      <c r="A22" s="132" t="s">
        <v>210</v>
      </c>
      <c r="B22" s="133">
        <f t="shared" ref="B22:I22" si="2">B20*B21</f>
        <v>1.6065E-13</v>
      </c>
      <c r="C22" s="4">
        <f t="shared" si="2"/>
        <v>1.6065E-13</v>
      </c>
      <c r="D22" s="4">
        <f t="shared" si="2"/>
        <v>2.4030000000000003E-11</v>
      </c>
      <c r="E22" s="4">
        <f t="shared" si="2"/>
        <v>5.5889999999999996E-14</v>
      </c>
      <c r="F22" s="4">
        <f t="shared" si="2"/>
        <v>5.5889999999999996E-14</v>
      </c>
      <c r="G22" s="4">
        <f t="shared" si="2"/>
        <v>4.3389000000000003E-13</v>
      </c>
      <c r="H22" s="4">
        <f t="shared" si="2"/>
        <v>4.3389000000000003E-13</v>
      </c>
      <c r="I22" s="111">
        <f t="shared" si="2"/>
        <v>4.3389000000000003E-13</v>
      </c>
    </row>
    <row r="23" spans="1:16" ht="16.2" thickBot="1" x14ac:dyDescent="0.35">
      <c r="A23" s="135" t="s">
        <v>211</v>
      </c>
      <c r="B23" s="136">
        <f>B22+C22+D22+E22+F22+G22+H22+I22</f>
        <v>2.5764749999999999E-11</v>
      </c>
      <c r="C23" s="137"/>
      <c r="D23" s="137"/>
      <c r="E23" s="137"/>
      <c r="F23" s="137"/>
      <c r="G23" s="137"/>
      <c r="H23" s="137"/>
      <c r="I23" s="138"/>
      <c r="L23" s="139" t="s">
        <v>212</v>
      </c>
      <c r="M23" s="139" t="s">
        <v>213</v>
      </c>
      <c r="N23" s="139" t="s">
        <v>214</v>
      </c>
      <c r="O23" s="139" t="s">
        <v>215</v>
      </c>
      <c r="P23" s="139" t="s">
        <v>216</v>
      </c>
    </row>
    <row r="24" spans="1:16" x14ac:dyDescent="0.3">
      <c r="A24" s="132" t="s">
        <v>217</v>
      </c>
      <c r="B24" s="133">
        <f>-(B7)+B10</f>
        <v>0.16300000000000003</v>
      </c>
      <c r="C24" s="4">
        <f>-(C7)+C10</f>
        <v>0.16300000000000003</v>
      </c>
      <c r="D24" s="4">
        <f>-(D7)+D10</f>
        <v>0.16200000000000003</v>
      </c>
      <c r="E24" s="4">
        <f>E7-E10</f>
        <v>0.14199999999999996</v>
      </c>
      <c r="F24" s="4">
        <f>F7-F10</f>
        <v>0.14199999999999996</v>
      </c>
      <c r="G24" s="4">
        <f>G7-G10</f>
        <v>0.14800000000000002</v>
      </c>
      <c r="H24" s="4">
        <f>H7-H10</f>
        <v>0.14800000000000002</v>
      </c>
      <c r="I24" s="111">
        <f>I7-I10</f>
        <v>0.14800000000000002</v>
      </c>
      <c r="L24" s="139" t="s">
        <v>218</v>
      </c>
      <c r="M24" s="15">
        <f>2.55/10^11</f>
        <v>2.5499999999999999E-11</v>
      </c>
      <c r="N24" s="15">
        <f>2.58/10^11</f>
        <v>2.5800000000000001E-11</v>
      </c>
      <c r="O24" s="15" t="s">
        <v>182</v>
      </c>
      <c r="P24" s="15"/>
    </row>
    <row r="25" spans="1:16" x14ac:dyDescent="0.3">
      <c r="A25" s="132" t="s">
        <v>219</v>
      </c>
      <c r="B25" s="140" t="b">
        <f>-(B8)&gt;B24</f>
        <v>1</v>
      </c>
      <c r="C25" t="b">
        <f>-(C8)&gt;C24</f>
        <v>1</v>
      </c>
      <c r="D25" s="4" t="b">
        <f>-(D8)&gt;D24</f>
        <v>1</v>
      </c>
      <c r="E25" t="b">
        <f>E8&gt;E24</f>
        <v>1</v>
      </c>
      <c r="F25" t="b">
        <f>F8&gt;F24</f>
        <v>1</v>
      </c>
      <c r="G25" t="b">
        <f>G8&gt;G24</f>
        <v>1</v>
      </c>
      <c r="H25" t="b">
        <f>H8&gt;H24</f>
        <v>1</v>
      </c>
      <c r="I25" s="141" t="b">
        <f>I8&gt;I22</f>
        <v>1</v>
      </c>
      <c r="L25" s="139" t="s">
        <v>220</v>
      </c>
      <c r="M25" s="15">
        <f>-59.82</f>
        <v>-59.82</v>
      </c>
      <c r="N25" s="15">
        <v>-64.48</v>
      </c>
      <c r="O25" s="15" t="s">
        <v>221</v>
      </c>
      <c r="P25" s="15" t="s">
        <v>222</v>
      </c>
    </row>
    <row r="26" spans="1:16" x14ac:dyDescent="0.3">
      <c r="A26" s="132"/>
      <c r="B26" s="140"/>
      <c r="I26" s="141"/>
      <c r="L26" s="139" t="s">
        <v>223</v>
      </c>
      <c r="M26" s="15">
        <v>-49.8</v>
      </c>
      <c r="N26" s="15">
        <v>-52</v>
      </c>
      <c r="O26" s="15"/>
      <c r="P26" s="15" t="s">
        <v>222</v>
      </c>
    </row>
    <row r="27" spans="1:16" x14ac:dyDescent="0.3">
      <c r="A27" s="132"/>
      <c r="B27" s="140"/>
      <c r="I27" s="141"/>
      <c r="L27" s="139" t="s">
        <v>224</v>
      </c>
      <c r="M27" s="15">
        <v>62.4</v>
      </c>
      <c r="N27" s="15">
        <v>67.543999999999997</v>
      </c>
      <c r="O27" s="15"/>
      <c r="P27" s="15"/>
    </row>
    <row r="28" spans="1:16" x14ac:dyDescent="0.3">
      <c r="A28" s="132"/>
      <c r="B28" s="140"/>
      <c r="I28" s="141"/>
      <c r="L28" s="139" t="s">
        <v>225</v>
      </c>
      <c r="M28" s="15">
        <v>102.119</v>
      </c>
      <c r="N28" s="15" t="s">
        <v>226</v>
      </c>
      <c r="O28" s="15"/>
      <c r="P28" s="15"/>
    </row>
    <row r="29" spans="1:16" x14ac:dyDescent="0.3">
      <c r="A29" s="132"/>
      <c r="B29" s="140"/>
      <c r="I29" s="141"/>
      <c r="L29" s="139" t="s">
        <v>227</v>
      </c>
      <c r="M29" s="15">
        <f>3.23*10^6</f>
        <v>3230000</v>
      </c>
      <c r="N29" s="15">
        <f>1.7*10^6</f>
        <v>1700000</v>
      </c>
      <c r="O29" s="15"/>
      <c r="P29" s="15"/>
    </row>
    <row r="30" spans="1:16" ht="16.2" thickBot="1" x14ac:dyDescent="0.35">
      <c r="A30" s="74"/>
      <c r="B30" s="142"/>
      <c r="C30" s="143"/>
      <c r="D30" s="143"/>
      <c r="E30" s="143"/>
      <c r="F30" s="143"/>
      <c r="G30" s="143"/>
      <c r="H30" s="143"/>
      <c r="I30" s="144"/>
      <c r="L30" s="139" t="s">
        <v>228</v>
      </c>
      <c r="M30" s="15">
        <f>136.6*10^3</f>
        <v>136600</v>
      </c>
      <c r="N30" s="15">
        <f>257.8*10^3</f>
        <v>257800</v>
      </c>
      <c r="O30" s="15"/>
      <c r="P30" s="15"/>
    </row>
    <row r="31" spans="1:16" x14ac:dyDescent="0.3">
      <c r="L31" s="139" t="s">
        <v>229</v>
      </c>
      <c r="M31" s="15">
        <v>87.653999999999996</v>
      </c>
      <c r="N31" s="15">
        <v>81.86</v>
      </c>
      <c r="O31" s="15"/>
      <c r="P31" s="15" t="s">
        <v>230</v>
      </c>
    </row>
    <row r="32" spans="1:16" x14ac:dyDescent="0.3">
      <c r="A32" t="s">
        <v>4</v>
      </c>
      <c r="L32" s="139" t="s">
        <v>231</v>
      </c>
      <c r="M32" s="15">
        <v>58.49</v>
      </c>
      <c r="N32" s="15">
        <v>62.356000000000002</v>
      </c>
      <c r="O32" s="15"/>
      <c r="P32" s="15"/>
    </row>
    <row r="33" spans="1:16" x14ac:dyDescent="0.3">
      <c r="A33" t="s">
        <v>232</v>
      </c>
      <c r="B33">
        <v>62.631999999999998</v>
      </c>
      <c r="L33" s="139" t="s">
        <v>233</v>
      </c>
      <c r="M33" s="15">
        <v>411.36</v>
      </c>
      <c r="N33" s="15">
        <v>432.9</v>
      </c>
      <c r="O33" s="15" t="s">
        <v>234</v>
      </c>
      <c r="P33" s="15"/>
    </row>
    <row r="34" spans="1:16" x14ac:dyDescent="0.3">
      <c r="A34" t="s">
        <v>235</v>
      </c>
      <c r="L34" s="139" t="s">
        <v>236</v>
      </c>
      <c r="M34" s="15">
        <f>2.8*10^6</f>
        <v>2800000</v>
      </c>
      <c r="N34" s="15">
        <f>1.611*10^6</f>
        <v>1611000</v>
      </c>
      <c r="O34" s="15"/>
      <c r="P34" s="15"/>
    </row>
    <row r="35" spans="1:16" x14ac:dyDescent="0.3">
      <c r="A35" t="s">
        <v>237</v>
      </c>
      <c r="B35">
        <v>-51.8</v>
      </c>
      <c r="L35" s="139" t="s">
        <v>238</v>
      </c>
      <c r="M35" s="15">
        <f>346*10^3</f>
        <v>346000</v>
      </c>
      <c r="N35" s="15">
        <f>550*10^3</f>
        <v>550000</v>
      </c>
      <c r="O35" s="15"/>
      <c r="P35" s="15"/>
    </row>
    <row r="36" spans="1:16" x14ac:dyDescent="0.3">
      <c r="L36" s="139" t="s">
        <v>239</v>
      </c>
      <c r="M36" s="15">
        <v>83.3</v>
      </c>
      <c r="N36" s="15">
        <v>71.5</v>
      </c>
      <c r="O36" s="15"/>
      <c r="P36" s="15" t="s">
        <v>230</v>
      </c>
    </row>
    <row r="37" spans="1:16" x14ac:dyDescent="0.3">
      <c r="L37" s="139"/>
      <c r="M37" s="15"/>
      <c r="N37" s="15"/>
      <c r="O37" s="15"/>
      <c r="P37" s="15"/>
    </row>
  </sheetData>
  <mergeCells count="2">
    <mergeCell ref="A1:I3"/>
    <mergeCell ref="B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Calculations</vt:lpstr>
      <vt:lpstr>Calc_10mA_EXT</vt:lpstr>
      <vt:lpstr>Calc_2mA_EXT</vt:lpstr>
      <vt:lpstr>Calc_2mA_INT</vt:lpstr>
      <vt:lpstr>Calc_10mA_INT</vt:lpstr>
      <vt:lpstr>2000GAIN</vt:lpstr>
      <vt:lpstr>10000GAIN</vt:lpstr>
      <vt:lpstr>2000 (10mA)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Nikhil Bhusari</cp:lastModifiedBy>
  <dcterms:created xsi:type="dcterms:W3CDTF">2024-10-29T10:18:47Z</dcterms:created>
  <dcterms:modified xsi:type="dcterms:W3CDTF">2024-12-19T12:10:04Z</dcterms:modified>
</cp:coreProperties>
</file>