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<sst xmlns="http://schemas.openxmlformats.org/spreadsheetml/2006/main" count="99" uniqueCount="15">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</sst>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0" fillId="0" fontId="1" numFmtId="3" xfId="0" applyFont="1" applyNumberFormat="1"/>
    <xf borderId="0" fillId="2" fontId="3" numFmtId="0" xfId="0" applyFill="1" applyFont="1"/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tr">
        <f>IFERROR(__xludf.DUMMYFUNCTION("IMPORTHTML(""http://www.cricmetric.com/playerstats.py?player=V%20Kohli"",""table"",1)"),"Year")</f>
        <v>Year</v>
      </c>
      <c r="C1" s="1" t="str">
        <f>IFERROR(__xludf.DUMMYFUNCTION("""COMPUTED_VALUE"""),"Innings")</f>
        <v>Innings</v>
      </c>
      <c r="D1" s="1" t="str">
        <f>IFERROR(__xludf.DUMMYFUNCTION("""COMPUTED_VALUE"""),"Runs")</f>
        <v>Runs</v>
      </c>
      <c r="E1" s="1" t="str">
        <f>IFERROR(__xludf.DUMMYFUNCTION("""COMPUTED_VALUE"""),"Balls")</f>
        <v>Balls</v>
      </c>
      <c r="F1" s="1" t="str">
        <f>IFERROR(__xludf.DUMMYFUNCTION("""COMPUTED_VALUE"""),"Outs")</f>
        <v>Outs</v>
      </c>
      <c r="G1" s="1" t="str">
        <f>IFERROR(__xludf.DUMMYFUNCTION("""COMPUTED_VALUE"""),"Avg")</f>
        <v>Avg</v>
      </c>
      <c r="H1" s="1" t="str">
        <f>IFERROR(__xludf.DUMMYFUNCTION("""COMPUTED_VALUE"""),"SR")</f>
        <v>SR</v>
      </c>
      <c r="I1" s="1" t="str">
        <f>IFERROR(__xludf.DUMMYFUNCTION("""COMPUTED_VALUE"""),"HS")</f>
        <v>HS</v>
      </c>
      <c r="J1" s="1">
        <f>IFERROR(__xludf.DUMMYFUNCTION("""COMPUTED_VALUE"""),50.0)</f>
        <v>50</v>
      </c>
      <c r="K1" s="1">
        <f>IFERROR(__xludf.DUMMYFUNCTION("""COMPUTED_VALUE"""),100.0)</f>
        <v>100</v>
      </c>
      <c r="L1" s="1" t="str">
        <f>IFERROR(__xludf.DUMMYFUNCTION("""COMPUTED_VALUE"""),"4s")</f>
        <v>4s</v>
      </c>
      <c r="M1" s="1" t="str">
        <f>IFERROR(__xludf.DUMMYFUNCTION("""COMPUTED_VALUE"""),"6s")</f>
        <v>6s</v>
      </c>
      <c r="N1" s="1" t="str">
        <f>IFERROR(__xludf.DUMMYFUNCTION("""COMPUTED_VALUE"""),"Dot %")</f>
        <v>Dot %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3">
        <f>IFERROR(__xludf.DUMMYFUNCTION("""COMPUTED_VALUE"""),2011.0)</f>
        <v>2011</v>
      </c>
      <c r="C2" s="3">
        <f>IFERROR(__xludf.DUMMYFUNCTION("""COMPUTED_VALUE"""),9.0)</f>
        <v>9</v>
      </c>
      <c r="D2" s="3">
        <f>IFERROR(__xludf.DUMMYFUNCTION("""COMPUTED_VALUE"""),202.0)</f>
        <v>202</v>
      </c>
      <c r="E2" s="3">
        <f>IFERROR(__xludf.DUMMYFUNCTION("""COMPUTED_VALUE"""),473.0)</f>
        <v>473</v>
      </c>
      <c r="F2" s="3">
        <f>IFERROR(__xludf.DUMMYFUNCTION("""COMPUTED_VALUE"""),9.0)</f>
        <v>9</v>
      </c>
      <c r="G2" s="3">
        <f>IFERROR(__xludf.DUMMYFUNCTION("""COMPUTED_VALUE"""),22.4)</f>
        <v>22.4</v>
      </c>
      <c r="H2" s="3">
        <f>IFERROR(__xludf.DUMMYFUNCTION("""COMPUTED_VALUE"""),42.7)</f>
        <v>42.7</v>
      </c>
      <c r="I2" s="3">
        <f>IFERROR(__xludf.DUMMYFUNCTION("""COMPUTED_VALUE"""),63.0)</f>
        <v>63</v>
      </c>
      <c r="J2" s="3">
        <f>IFERROR(__xludf.DUMMYFUNCTION("""COMPUTED_VALUE"""),2.0)</f>
        <v>2</v>
      </c>
      <c r="K2" s="3">
        <f>IFERROR(__xludf.DUMMYFUNCTION("""COMPUTED_VALUE"""),0.0)</f>
        <v>0</v>
      </c>
      <c r="L2" s="3">
        <f>IFERROR(__xludf.DUMMYFUNCTION("""COMPUTED_VALUE"""),15.0)</f>
        <v>15</v>
      </c>
      <c r="M2" s="3">
        <f>IFERROR(__xludf.DUMMYFUNCTION("""COMPUTED_VALUE"""),2.0)</f>
        <v>2</v>
      </c>
      <c r="N2" s="3">
        <f>IFERROR(__xludf.DUMMYFUNCTION("""COMPUTED_VALUE"""),72.1)</f>
        <v>72.1</v>
      </c>
    </row>
    <row r="3">
      <c r="A3" s="2" t="s">
        <v>0</v>
      </c>
      <c r="B3" s="3">
        <f>IFERROR(__xludf.DUMMYFUNCTION("""COMPUTED_VALUE"""),2012.0)</f>
        <v>2012</v>
      </c>
      <c r="C3" s="3">
        <f>IFERROR(__xludf.DUMMYFUNCTION("""COMPUTED_VALUE"""),16.0)</f>
        <v>16</v>
      </c>
      <c r="D3" s="3">
        <f>IFERROR(__xludf.DUMMYFUNCTION("""COMPUTED_VALUE"""),689.0)</f>
        <v>689</v>
      </c>
      <c r="E3" s="4">
        <f>IFERROR(__xludf.DUMMYFUNCTION("""COMPUTED_VALUE"""),1474.0)</f>
        <v>1474</v>
      </c>
      <c r="F3" s="3">
        <f>IFERROR(__xludf.DUMMYFUNCTION("""COMPUTED_VALUE"""),14.0)</f>
        <v>14</v>
      </c>
      <c r="G3" s="3">
        <f>IFERROR(__xludf.DUMMYFUNCTION("""COMPUTED_VALUE"""),49.2)</f>
        <v>49.2</v>
      </c>
      <c r="H3" s="3">
        <f>IFERROR(__xludf.DUMMYFUNCTION("""COMPUTED_VALUE"""),46.7)</f>
        <v>46.7</v>
      </c>
      <c r="I3" s="3">
        <f>IFERROR(__xludf.DUMMYFUNCTION("""COMPUTED_VALUE"""),116.0)</f>
        <v>116</v>
      </c>
      <c r="J3" s="3">
        <f>IFERROR(__xludf.DUMMYFUNCTION("""COMPUTED_VALUE"""),3.0)</f>
        <v>3</v>
      </c>
      <c r="K3" s="3">
        <f>IFERROR(__xludf.DUMMYFUNCTION("""COMPUTED_VALUE"""),3.0)</f>
        <v>3</v>
      </c>
      <c r="L3" s="3">
        <f>IFERROR(__xludf.DUMMYFUNCTION("""COMPUTED_VALUE"""),89.0)</f>
        <v>89</v>
      </c>
      <c r="M3" s="3">
        <f>IFERROR(__xludf.DUMMYFUNCTION("""COMPUTED_VALUE"""),2.0)</f>
        <v>2</v>
      </c>
      <c r="N3" s="3">
        <f>IFERROR(__xludf.DUMMYFUNCTION("""COMPUTED_VALUE"""),77.9)</f>
        <v>77.9</v>
      </c>
    </row>
    <row r="4">
      <c r="A4" s="2" t="s">
        <v>0</v>
      </c>
      <c r="B4" s="3">
        <f>IFERROR(__xludf.DUMMYFUNCTION("""COMPUTED_VALUE"""),2013.0)</f>
        <v>2013</v>
      </c>
      <c r="C4" s="3">
        <f>IFERROR(__xludf.DUMMYFUNCTION("""COMPUTED_VALUE"""),12.0)</f>
        <v>12</v>
      </c>
      <c r="D4" s="3">
        <f>IFERROR(__xludf.DUMMYFUNCTION("""COMPUTED_VALUE"""),616.0)</f>
        <v>616</v>
      </c>
      <c r="E4" s="4">
        <f>IFERROR(__xludf.DUMMYFUNCTION("""COMPUTED_VALUE"""),1127.0)</f>
        <v>1127</v>
      </c>
      <c r="F4" s="3">
        <f>IFERROR(__xludf.DUMMYFUNCTION("""COMPUTED_VALUE"""),11.0)</f>
        <v>11</v>
      </c>
      <c r="G4" s="3">
        <f>IFERROR(__xludf.DUMMYFUNCTION("""COMPUTED_VALUE"""),56.0)</f>
        <v>56</v>
      </c>
      <c r="H4" s="3">
        <f>IFERROR(__xludf.DUMMYFUNCTION("""COMPUTED_VALUE"""),54.7)</f>
        <v>54.7</v>
      </c>
      <c r="I4" s="3">
        <f>IFERROR(__xludf.DUMMYFUNCTION("""COMPUTED_VALUE"""),119.0)</f>
        <v>119</v>
      </c>
      <c r="J4" s="3">
        <f>IFERROR(__xludf.DUMMYFUNCTION("""COMPUTED_VALUE"""),3.0)</f>
        <v>3</v>
      </c>
      <c r="K4" s="3">
        <f>IFERROR(__xludf.DUMMYFUNCTION("""COMPUTED_VALUE"""),2.0)</f>
        <v>2</v>
      </c>
      <c r="L4" s="3">
        <f>IFERROR(__xludf.DUMMYFUNCTION("""COMPUTED_VALUE"""),73.0)</f>
        <v>73</v>
      </c>
      <c r="M4" s="3">
        <f>IFERROR(__xludf.DUMMYFUNCTION("""COMPUTED_VALUE"""),2.0)</f>
        <v>2</v>
      </c>
      <c r="N4" s="3">
        <f>IFERROR(__xludf.DUMMYFUNCTION("""COMPUTED_VALUE"""),70.9)</f>
        <v>70.9</v>
      </c>
    </row>
    <row r="5">
      <c r="A5" s="2" t="s">
        <v>0</v>
      </c>
      <c r="B5" s="3">
        <f>IFERROR(__xludf.DUMMYFUNCTION("""COMPUTED_VALUE"""),2014.0)</f>
        <v>2014</v>
      </c>
      <c r="C5" s="3">
        <f>IFERROR(__xludf.DUMMYFUNCTION("""COMPUTED_VALUE"""),20.0)</f>
        <v>20</v>
      </c>
      <c r="D5" s="3">
        <f>IFERROR(__xludf.DUMMYFUNCTION("""COMPUTED_VALUE"""),847.0)</f>
        <v>847</v>
      </c>
      <c r="E5" s="4">
        <f>IFERROR(__xludf.DUMMYFUNCTION("""COMPUTED_VALUE"""),1399.0)</f>
        <v>1399</v>
      </c>
      <c r="F5" s="3">
        <f>IFERROR(__xludf.DUMMYFUNCTION("""COMPUTED_VALUE"""),19.0)</f>
        <v>19</v>
      </c>
      <c r="G5" s="3">
        <f>IFERROR(__xludf.DUMMYFUNCTION("""COMPUTED_VALUE"""),44.6)</f>
        <v>44.6</v>
      </c>
      <c r="H5" s="3">
        <f>IFERROR(__xludf.DUMMYFUNCTION("""COMPUTED_VALUE"""),60.5)</f>
        <v>60.5</v>
      </c>
      <c r="I5" s="3">
        <f>IFERROR(__xludf.DUMMYFUNCTION("""COMPUTED_VALUE"""),169.0)</f>
        <v>169</v>
      </c>
      <c r="J5" s="3">
        <f>IFERROR(__xludf.DUMMYFUNCTION("""COMPUTED_VALUE"""),2.0)</f>
        <v>2</v>
      </c>
      <c r="K5" s="3">
        <f>IFERROR(__xludf.DUMMYFUNCTION("""COMPUTED_VALUE"""),4.0)</f>
        <v>4</v>
      </c>
      <c r="L5" s="3">
        <f>IFERROR(__xludf.DUMMYFUNCTION("""COMPUTED_VALUE"""),101.0)</f>
        <v>101</v>
      </c>
      <c r="M5" s="3">
        <f>IFERROR(__xludf.DUMMYFUNCTION("""COMPUTED_VALUE"""),2.0)</f>
        <v>2</v>
      </c>
      <c r="N5" s="3">
        <f>IFERROR(__xludf.DUMMYFUNCTION("""COMPUTED_VALUE"""),69.4)</f>
        <v>69.4</v>
      </c>
    </row>
    <row r="6">
      <c r="A6" s="2" t="s">
        <v>0</v>
      </c>
      <c r="B6" s="3">
        <f>IFERROR(__xludf.DUMMYFUNCTION("""COMPUTED_VALUE"""),2015.0)</f>
        <v>2015</v>
      </c>
      <c r="C6" s="3">
        <f>IFERROR(__xludf.DUMMYFUNCTION("""COMPUTED_VALUE"""),15.0)</f>
        <v>15</v>
      </c>
      <c r="D6" s="3">
        <f>IFERROR(__xludf.DUMMYFUNCTION("""COMPUTED_VALUE"""),640.0)</f>
        <v>640</v>
      </c>
      <c r="E6" s="4">
        <f>IFERROR(__xludf.DUMMYFUNCTION("""COMPUTED_VALUE"""),1184.0)</f>
        <v>1184</v>
      </c>
      <c r="F6" s="3">
        <f>IFERROR(__xludf.DUMMYFUNCTION("""COMPUTED_VALUE"""),15.0)</f>
        <v>15</v>
      </c>
      <c r="G6" s="3">
        <f>IFERROR(__xludf.DUMMYFUNCTION("""COMPUTED_VALUE"""),42.7)</f>
        <v>42.7</v>
      </c>
      <c r="H6" s="3">
        <f>IFERROR(__xludf.DUMMYFUNCTION("""COMPUTED_VALUE"""),54.1)</f>
        <v>54.1</v>
      </c>
      <c r="I6" s="3">
        <f>IFERROR(__xludf.DUMMYFUNCTION("""COMPUTED_VALUE"""),147.0)</f>
        <v>147</v>
      </c>
      <c r="J6" s="3">
        <f>IFERROR(__xludf.DUMMYFUNCTION("""COMPUTED_VALUE"""),2.0)</f>
        <v>2</v>
      </c>
      <c r="K6" s="3">
        <f>IFERROR(__xludf.DUMMYFUNCTION("""COMPUTED_VALUE"""),2.0)</f>
        <v>2</v>
      </c>
      <c r="L6" s="3">
        <f>IFERROR(__xludf.DUMMYFUNCTION("""COMPUTED_VALUE"""),74.0)</f>
        <v>74</v>
      </c>
      <c r="M6" s="3">
        <f>IFERROR(__xludf.DUMMYFUNCTION("""COMPUTED_VALUE"""),1.0)</f>
        <v>1</v>
      </c>
      <c r="N6" s="3">
        <f>IFERROR(__xludf.DUMMYFUNCTION("""COMPUTED_VALUE"""),72.0)</f>
        <v>72</v>
      </c>
    </row>
    <row r="7">
      <c r="A7" s="2" t="s">
        <v>0</v>
      </c>
      <c r="B7" s="3">
        <f>IFERROR(__xludf.DUMMYFUNCTION("""COMPUTED_VALUE"""),2016.0)</f>
        <v>2016</v>
      </c>
      <c r="C7" s="3">
        <f>IFERROR(__xludf.DUMMYFUNCTION("""COMPUTED_VALUE"""),18.0)</f>
        <v>18</v>
      </c>
      <c r="D7" s="4">
        <f>IFERROR(__xludf.DUMMYFUNCTION("""COMPUTED_VALUE"""),1215.0)</f>
        <v>1215</v>
      </c>
      <c r="E7" s="4">
        <f>IFERROR(__xludf.DUMMYFUNCTION("""COMPUTED_VALUE"""),2011.0)</f>
        <v>2011</v>
      </c>
      <c r="F7" s="3">
        <f>IFERROR(__xludf.DUMMYFUNCTION("""COMPUTED_VALUE"""),16.0)</f>
        <v>16</v>
      </c>
      <c r="G7" s="3">
        <f>IFERROR(__xludf.DUMMYFUNCTION("""COMPUTED_VALUE"""),75.9)</f>
        <v>75.9</v>
      </c>
      <c r="H7" s="3">
        <f>IFERROR(__xludf.DUMMYFUNCTION("""COMPUTED_VALUE"""),60.4)</f>
        <v>60.4</v>
      </c>
      <c r="I7" s="3">
        <f>IFERROR(__xludf.DUMMYFUNCTION("""COMPUTED_VALUE"""),235.0)</f>
        <v>235</v>
      </c>
      <c r="J7" s="3">
        <f>IFERROR(__xludf.DUMMYFUNCTION("""COMPUTED_VALUE"""),2.0)</f>
        <v>2</v>
      </c>
      <c r="K7" s="3">
        <f>IFERROR(__xludf.DUMMYFUNCTION("""COMPUTED_VALUE"""),4.0)</f>
        <v>4</v>
      </c>
      <c r="L7" s="3">
        <f>IFERROR(__xludf.DUMMYFUNCTION("""COMPUTED_VALUE"""),134.0)</f>
        <v>134</v>
      </c>
      <c r="M7" s="3">
        <f>IFERROR(__xludf.DUMMYFUNCTION("""COMPUTED_VALUE"""),2.0)</f>
        <v>2</v>
      </c>
      <c r="N7" s="3">
        <f>IFERROR(__xludf.DUMMYFUNCTION("""COMPUTED_VALUE"""),65.1)</f>
        <v>65.1</v>
      </c>
    </row>
    <row r="8">
      <c r="A8" s="2" t="s">
        <v>0</v>
      </c>
      <c r="B8" s="3">
        <f>IFERROR(__xludf.DUMMYFUNCTION("""COMPUTED_VALUE"""),2017.0)</f>
        <v>2017</v>
      </c>
      <c r="C8" s="3">
        <f>IFERROR(__xludf.DUMMYFUNCTION("""COMPUTED_VALUE"""),16.0)</f>
        <v>16</v>
      </c>
      <c r="D8" s="4">
        <f>IFERROR(__xludf.DUMMYFUNCTION("""COMPUTED_VALUE"""),1059.0)</f>
        <v>1059</v>
      </c>
      <c r="E8" s="4">
        <f>IFERROR(__xludf.DUMMYFUNCTION("""COMPUTED_VALUE"""),1389.0)</f>
        <v>1389</v>
      </c>
      <c r="F8" s="3">
        <f>IFERROR(__xludf.DUMMYFUNCTION("""COMPUTED_VALUE"""),14.0)</f>
        <v>14</v>
      </c>
      <c r="G8" s="3">
        <f>IFERROR(__xludf.DUMMYFUNCTION("""COMPUTED_VALUE"""),75.6)</f>
        <v>75.6</v>
      </c>
      <c r="H8" s="3">
        <f>IFERROR(__xludf.DUMMYFUNCTION("""COMPUTED_VALUE"""),76.2)</f>
        <v>76.2</v>
      </c>
      <c r="I8" s="3">
        <f>IFERROR(__xludf.DUMMYFUNCTION("""COMPUTED_VALUE"""),243.0)</f>
        <v>243</v>
      </c>
      <c r="J8" s="3">
        <f>IFERROR(__xludf.DUMMYFUNCTION("""COMPUTED_VALUE"""),1.0)</f>
        <v>1</v>
      </c>
      <c r="K8" s="3">
        <f>IFERROR(__xludf.DUMMYFUNCTION("""COMPUTED_VALUE"""),5.0)</f>
        <v>5</v>
      </c>
      <c r="L8" s="3">
        <f>IFERROR(__xludf.DUMMYFUNCTION("""COMPUTED_VALUE"""),98.0)</f>
        <v>98</v>
      </c>
      <c r="M8" s="3">
        <f>IFERROR(__xludf.DUMMYFUNCTION("""COMPUTED_VALUE"""),6.0)</f>
        <v>6</v>
      </c>
      <c r="N8" s="3">
        <f>IFERROR(__xludf.DUMMYFUNCTION("""COMPUTED_VALUE"""),54.2)</f>
        <v>54.2</v>
      </c>
    </row>
    <row r="9">
      <c r="A9" s="2" t="s">
        <v>0</v>
      </c>
      <c r="B9" s="3">
        <f>IFERROR(__xludf.DUMMYFUNCTION("""COMPUTED_VALUE"""),2018.0)</f>
        <v>2018</v>
      </c>
      <c r="C9" s="3">
        <f>IFERROR(__xludf.DUMMYFUNCTION("""COMPUTED_VALUE"""),24.0)</f>
        <v>24</v>
      </c>
      <c r="D9" s="4">
        <f>IFERROR(__xludf.DUMMYFUNCTION("""COMPUTED_VALUE"""),1307.0)</f>
        <v>1307</v>
      </c>
      <c r="E9" s="4">
        <f>IFERROR(__xludf.DUMMYFUNCTION("""COMPUTED_VALUE"""),2414.0)</f>
        <v>2414</v>
      </c>
      <c r="F9" s="3">
        <f>IFERROR(__xludf.DUMMYFUNCTION("""COMPUTED_VALUE"""),24.0)</f>
        <v>24</v>
      </c>
      <c r="G9" s="3">
        <f>IFERROR(__xludf.DUMMYFUNCTION("""COMPUTED_VALUE"""),54.5)</f>
        <v>54.5</v>
      </c>
      <c r="H9" s="3">
        <f>IFERROR(__xludf.DUMMYFUNCTION("""COMPUTED_VALUE"""),54.1)</f>
        <v>54.1</v>
      </c>
      <c r="I9" s="3">
        <f>IFERROR(__xludf.DUMMYFUNCTION("""COMPUTED_VALUE"""),153.0)</f>
        <v>153</v>
      </c>
      <c r="J9" s="3">
        <f>IFERROR(__xludf.DUMMYFUNCTION("""COMPUTED_VALUE"""),5.0)</f>
        <v>5</v>
      </c>
      <c r="K9" s="3">
        <f>IFERROR(__xludf.DUMMYFUNCTION("""COMPUTED_VALUE"""),5.0)</f>
        <v>5</v>
      </c>
      <c r="L9" s="3">
        <f>IFERROR(__xludf.DUMMYFUNCTION("""COMPUTED_VALUE"""),142.0)</f>
        <v>142</v>
      </c>
      <c r="M9" s="3">
        <f>IFERROR(__xludf.DUMMYFUNCTION("""COMPUTED_VALUE"""),2.0)</f>
        <v>2</v>
      </c>
      <c r="N9" s="3">
        <f>IFERROR(__xludf.DUMMYFUNCTION("""COMPUTED_VALUE"""),70.5)</f>
        <v>70.5</v>
      </c>
    </row>
    <row r="10">
      <c r="A10" s="2" t="s">
        <v>0</v>
      </c>
      <c r="B10" s="3">
        <f>IFERROR(__xludf.DUMMYFUNCTION("""COMPUTED_VALUE"""),2019.0)</f>
        <v>2019</v>
      </c>
      <c r="C10" s="3">
        <f>IFERROR(__xludf.DUMMYFUNCTION("""COMPUTED_VALUE"""),11.0)</f>
        <v>11</v>
      </c>
      <c r="D10" s="3">
        <f>IFERROR(__xludf.DUMMYFUNCTION("""COMPUTED_VALUE"""),608.0)</f>
        <v>608</v>
      </c>
      <c r="E10" s="3">
        <f>IFERROR(__xludf.DUMMYFUNCTION("""COMPUTED_VALUE"""),967.0)</f>
        <v>967</v>
      </c>
      <c r="F10" s="3">
        <f>IFERROR(__xludf.DUMMYFUNCTION("""COMPUTED_VALUE"""),9.0)</f>
        <v>9</v>
      </c>
      <c r="G10" s="3">
        <f>IFERROR(__xludf.DUMMYFUNCTION("""COMPUTED_VALUE"""),67.6)</f>
        <v>67.6</v>
      </c>
      <c r="H10" s="3">
        <f>IFERROR(__xludf.DUMMYFUNCTION("""COMPUTED_VALUE"""),62.9)</f>
        <v>62.9</v>
      </c>
      <c r="I10" s="3">
        <f>IFERROR(__xludf.DUMMYFUNCTION("""COMPUTED_VALUE"""),254.0)</f>
        <v>254</v>
      </c>
      <c r="J10" s="3">
        <f>IFERROR(__xludf.DUMMYFUNCTION("""COMPUTED_VALUE"""),2.0)</f>
        <v>2</v>
      </c>
      <c r="K10" s="3">
        <f>IFERROR(__xludf.DUMMYFUNCTION("""COMPUTED_VALUE"""),2.0)</f>
        <v>2</v>
      </c>
      <c r="L10" s="3">
        <f>IFERROR(__xludf.DUMMYFUNCTION("""COMPUTED_VALUE"""),78.0)</f>
        <v>78</v>
      </c>
      <c r="M10" s="3">
        <f>IFERROR(__xludf.DUMMYFUNCTION("""COMPUTED_VALUE"""),3.0)</f>
        <v>3</v>
      </c>
      <c r="N10" s="3">
        <f>IFERROR(__xludf.DUMMYFUNCTION("""COMPUTED_VALUE"""),68.4)</f>
        <v>68.4</v>
      </c>
    </row>
    <row r="11">
      <c r="A11" s="2" t="s">
        <v>0</v>
      </c>
      <c r="B11" s="3">
        <f>IFERROR(__xludf.DUMMYFUNCTION("""COMPUTED_VALUE"""),2020.0)</f>
        <v>2020</v>
      </c>
      <c r="C11" s="3">
        <f>IFERROR(__xludf.DUMMYFUNCTION("""COMPUTED_VALUE"""),6.0)</f>
        <v>6</v>
      </c>
      <c r="D11" s="3">
        <f>IFERROR(__xludf.DUMMYFUNCTION("""COMPUTED_VALUE"""),116.0)</f>
        <v>116</v>
      </c>
      <c r="E11" s="3">
        <f>IFERROR(__xludf.DUMMYFUNCTION("""COMPUTED_VALUE"""),283.0)</f>
        <v>283</v>
      </c>
      <c r="F11" s="3">
        <f>IFERROR(__xludf.DUMMYFUNCTION("""COMPUTED_VALUE"""),6.0)</f>
        <v>6</v>
      </c>
      <c r="G11" s="3">
        <f>IFERROR(__xludf.DUMMYFUNCTION("""COMPUTED_VALUE"""),19.3)</f>
        <v>19.3</v>
      </c>
      <c r="H11" s="3">
        <f>IFERROR(__xludf.DUMMYFUNCTION("""COMPUTED_VALUE"""),41.0)</f>
        <v>41</v>
      </c>
      <c r="I11" s="3">
        <f>IFERROR(__xludf.DUMMYFUNCTION("""COMPUTED_VALUE"""),74.0)</f>
        <v>74</v>
      </c>
      <c r="J11" s="3">
        <f>IFERROR(__xludf.DUMMYFUNCTION("""COMPUTED_VALUE"""),1.0)</f>
        <v>1</v>
      </c>
      <c r="K11" s="3">
        <f>IFERROR(__xludf.DUMMYFUNCTION("""COMPUTED_VALUE"""),0.0)</f>
        <v>0</v>
      </c>
      <c r="L11" s="3">
        <f>IFERROR(__xludf.DUMMYFUNCTION("""COMPUTED_VALUE"""),15.0)</f>
        <v>15</v>
      </c>
      <c r="M11" s="3">
        <f>IFERROR(__xludf.DUMMYFUNCTION("""COMPUTED_VALUE"""),0.0)</f>
        <v>0</v>
      </c>
      <c r="N11" s="3">
        <f>IFERROR(__xludf.DUMMYFUNCTION("""COMPUTED_VALUE"""),79.9)</f>
        <v>79.9</v>
      </c>
    </row>
    <row r="12">
      <c r="A12" s="2" t="s">
        <v>0</v>
      </c>
      <c r="B12" s="3">
        <f>IFERROR(__xludf.DUMMYFUNCTION("""COMPUTED_VALUE"""),2021.0)</f>
        <v>2021</v>
      </c>
      <c r="C12" s="3">
        <f>IFERROR(__xludf.DUMMYFUNCTION("""COMPUTED_VALUE"""),19.0)</f>
        <v>19</v>
      </c>
      <c r="D12" s="3">
        <f>IFERROR(__xludf.DUMMYFUNCTION("""COMPUTED_VALUE"""),536.0)</f>
        <v>536</v>
      </c>
      <c r="E12" s="4">
        <f>IFERROR(__xludf.DUMMYFUNCTION("""COMPUTED_VALUE"""),1216.0)</f>
        <v>1216</v>
      </c>
      <c r="F12" s="3">
        <f>IFERROR(__xludf.DUMMYFUNCTION("""COMPUTED_VALUE"""),19.0)</f>
        <v>19</v>
      </c>
      <c r="G12" s="3">
        <f>IFERROR(__xludf.DUMMYFUNCTION("""COMPUTED_VALUE"""),28.2)</f>
        <v>28.2</v>
      </c>
      <c r="H12" s="3">
        <f>IFERROR(__xludf.DUMMYFUNCTION("""COMPUTED_VALUE"""),44.1)</f>
        <v>44.1</v>
      </c>
      <c r="I12" s="3">
        <f>IFERROR(__xludf.DUMMYFUNCTION("""COMPUTED_VALUE"""),72.0)</f>
        <v>72</v>
      </c>
      <c r="J12" s="3">
        <f>IFERROR(__xludf.DUMMYFUNCTION("""COMPUTED_VALUE"""),4.0)</f>
        <v>4</v>
      </c>
      <c r="K12" s="3">
        <f>IFERROR(__xludf.DUMMYFUNCTION("""COMPUTED_VALUE"""),0.0)</f>
        <v>0</v>
      </c>
      <c r="L12" s="3">
        <f>IFERROR(__xludf.DUMMYFUNCTION("""COMPUTED_VALUE"""),60.0)</f>
        <v>60</v>
      </c>
      <c r="M12" s="3">
        <f>IFERROR(__xludf.DUMMYFUNCTION("""COMPUTED_VALUE"""),1.0)</f>
        <v>1</v>
      </c>
      <c r="N12" s="3">
        <f>IFERROR(__xludf.DUMMYFUNCTION("""COMPUTED_VALUE"""),77.1)</f>
        <v>77.1</v>
      </c>
    </row>
    <row r="13">
      <c r="A13" s="2" t="s">
        <v>0</v>
      </c>
      <c r="B13" s="3">
        <f>IFERROR(__xludf.DUMMYFUNCTION("""COMPUTED_VALUE"""),2022.0)</f>
        <v>2022</v>
      </c>
      <c r="C13" s="3">
        <f>IFERROR(__xludf.DUMMYFUNCTION("""COMPUTED_VALUE"""),11.0)</f>
        <v>11</v>
      </c>
      <c r="D13" s="3">
        <f>IFERROR(__xludf.DUMMYFUNCTION("""COMPUTED_VALUE"""),265.0)</f>
        <v>265</v>
      </c>
      <c r="E13" s="3">
        <f>IFERROR(__xludf.DUMMYFUNCTION("""COMPUTED_VALUE"""),672.0)</f>
        <v>672</v>
      </c>
      <c r="F13" s="3">
        <f>IFERROR(__xludf.DUMMYFUNCTION("""COMPUTED_VALUE"""),10.0)</f>
        <v>10</v>
      </c>
      <c r="G13" s="3">
        <f>IFERROR(__xludf.DUMMYFUNCTION("""COMPUTED_VALUE"""),26.5)</f>
        <v>26.5</v>
      </c>
      <c r="H13" s="3">
        <f>IFERROR(__xludf.DUMMYFUNCTION("""COMPUTED_VALUE"""),39.4)</f>
        <v>39.4</v>
      </c>
      <c r="I13" s="3">
        <f>IFERROR(__xludf.DUMMYFUNCTION("""COMPUTED_VALUE"""),79.0)</f>
        <v>79</v>
      </c>
      <c r="J13" s="3">
        <f>IFERROR(__xludf.DUMMYFUNCTION("""COMPUTED_VALUE"""),1.0)</f>
        <v>1</v>
      </c>
      <c r="K13" s="3">
        <f>IFERROR(__xludf.DUMMYFUNCTION("""COMPUTED_VALUE"""),0.0)</f>
        <v>0</v>
      </c>
      <c r="L13" s="3">
        <f>IFERROR(__xludf.DUMMYFUNCTION("""COMPUTED_VALUE"""),33.0)</f>
        <v>33</v>
      </c>
      <c r="M13" s="3">
        <f>IFERROR(__xludf.DUMMYFUNCTION("""COMPUTED_VALUE"""),1.0)</f>
        <v>1</v>
      </c>
      <c r="N13" s="3">
        <f>IFERROR(__xludf.DUMMYFUNCTION("""COMPUTED_VALUE"""),79.2)</f>
        <v>79.2</v>
      </c>
    </row>
    <row r="14">
      <c r="A14" s="2" t="s">
        <v>0</v>
      </c>
      <c r="B14" s="3">
        <f>IFERROR(__xludf.DUMMYFUNCTION("""COMPUTED_VALUE"""),2023.0)</f>
        <v>2023</v>
      </c>
      <c r="C14" s="3">
        <f>IFERROR(__xludf.DUMMYFUNCTION("""COMPUTED_VALUE"""),12.0)</f>
        <v>12</v>
      </c>
      <c r="D14" s="3">
        <f>IFERROR(__xludf.DUMMYFUNCTION("""COMPUTED_VALUE"""),671.0)</f>
        <v>671</v>
      </c>
      <c r="E14" s="4">
        <f>IFERROR(__xludf.DUMMYFUNCTION("""COMPUTED_VALUE"""),1226.0)</f>
        <v>1226</v>
      </c>
      <c r="F14" s="3">
        <f>IFERROR(__xludf.DUMMYFUNCTION("""COMPUTED_VALUE"""),12.0)</f>
        <v>12</v>
      </c>
      <c r="G14" s="3">
        <f>IFERROR(__xludf.DUMMYFUNCTION("""COMPUTED_VALUE"""),55.9)</f>
        <v>55.9</v>
      </c>
      <c r="H14" s="3">
        <f>IFERROR(__xludf.DUMMYFUNCTION("""COMPUTED_VALUE"""),54.7)</f>
        <v>54.7</v>
      </c>
      <c r="I14" s="3">
        <f>IFERROR(__xludf.DUMMYFUNCTION("""COMPUTED_VALUE"""),186.0)</f>
        <v>186</v>
      </c>
      <c r="J14" s="3">
        <f>IFERROR(__xludf.DUMMYFUNCTION("""COMPUTED_VALUE"""),2.0)</f>
        <v>2</v>
      </c>
      <c r="K14" s="3">
        <f>IFERROR(__xludf.DUMMYFUNCTION("""COMPUTED_VALUE"""),2.0)</f>
        <v>2</v>
      </c>
      <c r="L14" s="3">
        <f>IFERROR(__xludf.DUMMYFUNCTION("""COMPUTED_VALUE"""),70.0)</f>
        <v>70</v>
      </c>
      <c r="M14" s="3">
        <f>IFERROR(__xludf.DUMMYFUNCTION("""COMPUTED_VALUE"""),1.0)</f>
        <v>1</v>
      </c>
      <c r="N14" s="3">
        <f>IFERROR(__xludf.DUMMYFUNCTION("""COMPUTED_VALUE"""),68.6)</f>
        <v>68.6</v>
      </c>
    </row>
    <row r="15">
      <c r="A15" s="2" t="s">
        <v>0</v>
      </c>
      <c r="B15" s="3">
        <f>IFERROR(__xludf.DUMMYFUNCTION("""COMPUTED_VALUE"""),2024.0)</f>
        <v>2024</v>
      </c>
      <c r="C15" s="3">
        <f>IFERROR(__xludf.DUMMYFUNCTION("""COMPUTED_VALUE"""),2.0)</f>
        <v>2</v>
      </c>
      <c r="D15" s="3">
        <f>IFERROR(__xludf.DUMMYFUNCTION("""COMPUTED_VALUE"""),58.0)</f>
        <v>58</v>
      </c>
      <c r="E15" s="3">
        <f>IFERROR(__xludf.DUMMYFUNCTION("""COMPUTED_VALUE"""),70.0)</f>
        <v>70</v>
      </c>
      <c r="F15" s="3">
        <f>IFERROR(__xludf.DUMMYFUNCTION("""COMPUTED_VALUE"""),2.0)</f>
        <v>2</v>
      </c>
      <c r="G15" s="3">
        <f>IFERROR(__xludf.DUMMYFUNCTION("""COMPUTED_VALUE"""),29.0)</f>
        <v>29</v>
      </c>
      <c r="H15" s="3">
        <f>IFERROR(__xludf.DUMMYFUNCTION("""COMPUTED_VALUE"""),82.9)</f>
        <v>82.9</v>
      </c>
      <c r="I15" s="3">
        <f>IFERROR(__xludf.DUMMYFUNCTION("""COMPUTED_VALUE"""),46.0)</f>
        <v>46</v>
      </c>
      <c r="J15" s="3">
        <f>IFERROR(__xludf.DUMMYFUNCTION("""COMPUTED_VALUE"""),0.0)</f>
        <v>0</v>
      </c>
      <c r="K15" s="3">
        <f>IFERROR(__xludf.DUMMYFUNCTION("""COMPUTED_VALUE"""),0.0)</f>
        <v>0</v>
      </c>
      <c r="L15" s="3">
        <f>IFERROR(__xludf.DUMMYFUNCTION("""COMPUTED_VALUE"""),8.0)</f>
        <v>8</v>
      </c>
      <c r="M15" s="3">
        <f>IFERROR(__xludf.DUMMYFUNCTION("""COMPUTED_VALUE"""),1.0)</f>
        <v>1</v>
      </c>
      <c r="N15" s="3">
        <f>IFERROR(__xludf.DUMMYFUNCTION("""COMPUTED_VALUE"""),64.3)</f>
        <v>64.3</v>
      </c>
    </row>
    <row r="16">
      <c r="A16" s="1"/>
      <c r="B16" s="1" t="str">
        <f>IFERROR(__xludf.DUMMYFUNCTION("""COMPUTED_VALUE"""),"Total")</f>
        <v>Total</v>
      </c>
      <c r="C16" s="1">
        <f>IFERROR(__xludf.DUMMYFUNCTION("""COMPUTED_VALUE"""),191.0)</f>
        <v>191</v>
      </c>
      <c r="D16" s="5">
        <f>IFERROR(__xludf.DUMMYFUNCTION("""COMPUTED_VALUE"""),8829.0)</f>
        <v>8829</v>
      </c>
      <c r="E16" s="5">
        <f>IFERROR(__xludf.DUMMYFUNCTION("""COMPUTED_VALUE"""),15905.0)</f>
        <v>15905</v>
      </c>
      <c r="F16" s="1">
        <f>IFERROR(__xludf.DUMMYFUNCTION("""COMPUTED_VALUE"""),180.0)</f>
        <v>180</v>
      </c>
      <c r="G16" s="1">
        <f>IFERROR(__xludf.DUMMYFUNCTION("""COMPUTED_VALUE"""),49.0)</f>
        <v>49</v>
      </c>
      <c r="H16" s="1">
        <f>IFERROR(__xludf.DUMMYFUNCTION("""COMPUTED_VALUE"""),55.5)</f>
        <v>55.5</v>
      </c>
      <c r="I16" s="1">
        <f>IFERROR(__xludf.DUMMYFUNCTION("""COMPUTED_VALUE"""),254.0)</f>
        <v>254</v>
      </c>
      <c r="J16" s="1">
        <f>IFERROR(__xludf.DUMMYFUNCTION("""COMPUTED_VALUE"""),30.0)</f>
        <v>30</v>
      </c>
      <c r="K16" s="1">
        <f>IFERROR(__xludf.DUMMYFUNCTION("""COMPUTED_VALUE"""),29.0)</f>
        <v>29</v>
      </c>
      <c r="L16" s="1">
        <f>IFERROR(__xludf.DUMMYFUNCTION("""COMPUTED_VALUE"""),990.0)</f>
        <v>990</v>
      </c>
      <c r="M16" s="1">
        <f>IFERROR(__xludf.DUMMYFUNCTION("""COMPUTED_VALUE"""),26.0)</f>
        <v>26</v>
      </c>
      <c r="N16" s="1">
        <f>IFERROR(__xludf.DUMMYFUNCTION("""COMPUTED_VALUE"""),69.9)</f>
        <v>69.9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8">
      <c r="A18" s="1"/>
      <c r="B18" s="1" t="str">
        <f>IFERROR(__xludf.DUMMYFUNCTION("IMPORTHTML(""http://www.cricmetric.com/playerstats.py?player=V%20Kohli"",""table"",3)"),"Year")</f>
        <v>Year</v>
      </c>
      <c r="C18" s="1" t="str">
        <f>IFERROR(__xludf.DUMMYFUNCTION("""COMPUTED_VALUE"""),"Innings")</f>
        <v>Innings</v>
      </c>
      <c r="D18" s="1" t="str">
        <f>IFERROR(__xludf.DUMMYFUNCTION("""COMPUTED_VALUE"""),"Runs")</f>
        <v>Runs</v>
      </c>
      <c r="E18" s="1" t="str">
        <f>IFERROR(__xludf.DUMMYFUNCTION("""COMPUTED_VALUE"""),"Balls")</f>
        <v>Balls</v>
      </c>
      <c r="F18" s="1" t="str">
        <f>IFERROR(__xludf.DUMMYFUNCTION("""COMPUTED_VALUE"""),"Outs")</f>
        <v>Outs</v>
      </c>
      <c r="G18" s="1" t="str">
        <f>IFERROR(__xludf.DUMMYFUNCTION("""COMPUTED_VALUE"""),"Avg")</f>
        <v>Avg</v>
      </c>
      <c r="H18" s="1" t="str">
        <f>IFERROR(__xludf.DUMMYFUNCTION("""COMPUTED_VALUE"""),"SR")</f>
        <v>SR</v>
      </c>
      <c r="I18" s="1" t="str">
        <f>IFERROR(__xludf.DUMMYFUNCTION("""COMPUTED_VALUE"""),"HS")</f>
        <v>HS</v>
      </c>
      <c r="J18" s="1">
        <f>IFERROR(__xludf.DUMMYFUNCTION("""COMPUTED_VALUE"""),50.0)</f>
        <v>50</v>
      </c>
      <c r="K18" s="1">
        <f>IFERROR(__xludf.DUMMYFUNCTION("""COMPUTED_VALUE"""),100.0)</f>
        <v>100</v>
      </c>
      <c r="L18" s="1" t="str">
        <f>IFERROR(__xludf.DUMMYFUNCTION("""COMPUTED_VALUE"""),"4s")</f>
        <v>4s</v>
      </c>
      <c r="M18" s="1" t="str">
        <f>IFERROR(__xludf.DUMMYFUNCTION("""COMPUTED_VALUE"""),"6s")</f>
        <v>6s</v>
      </c>
      <c r="N18" s="1" t="str">
        <f>IFERROR(__xludf.DUMMYFUNCTION("""COMPUTED_VALUE"""),"Dot %")</f>
        <v>Dot %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 t="s">
        <v>1</v>
      </c>
      <c r="B19" s="3">
        <f>IFERROR(__xludf.DUMMYFUNCTION("""COMPUTED_VALUE"""),2008.0)</f>
        <v>2008</v>
      </c>
      <c r="C19" s="3">
        <f>IFERROR(__xludf.DUMMYFUNCTION("""COMPUTED_VALUE"""),5.0)</f>
        <v>5</v>
      </c>
      <c r="D19" s="3">
        <f>IFERROR(__xludf.DUMMYFUNCTION("""COMPUTED_VALUE"""),159.0)</f>
        <v>159</v>
      </c>
      <c r="E19" s="3">
        <f>IFERROR(__xludf.DUMMYFUNCTION("""COMPUTED_VALUE"""),239.0)</f>
        <v>239</v>
      </c>
      <c r="F19" s="3">
        <f>IFERROR(__xludf.DUMMYFUNCTION("""COMPUTED_VALUE"""),5.0)</f>
        <v>5</v>
      </c>
      <c r="G19" s="3">
        <f>IFERROR(__xludf.DUMMYFUNCTION("""COMPUTED_VALUE"""),31.8)</f>
        <v>31.8</v>
      </c>
      <c r="H19" s="3">
        <f>IFERROR(__xludf.DUMMYFUNCTION("""COMPUTED_VALUE"""),66.5)</f>
        <v>66.5</v>
      </c>
      <c r="I19" s="3">
        <f>IFERROR(__xludf.DUMMYFUNCTION("""COMPUTED_VALUE"""),54.0)</f>
        <v>54</v>
      </c>
      <c r="J19" s="3">
        <f>IFERROR(__xludf.DUMMYFUNCTION("""COMPUTED_VALUE"""),1.0)</f>
        <v>1</v>
      </c>
      <c r="K19" s="3">
        <f>IFERROR(__xludf.DUMMYFUNCTION("""COMPUTED_VALUE"""),0.0)</f>
        <v>0</v>
      </c>
      <c r="L19" s="3">
        <f>IFERROR(__xludf.DUMMYFUNCTION("""COMPUTED_VALUE"""),21.0)</f>
        <v>21</v>
      </c>
      <c r="M19" s="3">
        <f>IFERROR(__xludf.DUMMYFUNCTION("""COMPUTED_VALUE"""),1.0)</f>
        <v>1</v>
      </c>
      <c r="N19" s="3">
        <f>IFERROR(__xludf.DUMMYFUNCTION("""COMPUTED_VALUE"""),71.5)</f>
        <v>71.5</v>
      </c>
    </row>
    <row r="20">
      <c r="A20" s="2" t="s">
        <v>1</v>
      </c>
      <c r="B20" s="3">
        <f>IFERROR(__xludf.DUMMYFUNCTION("""COMPUTED_VALUE"""),2009.0)</f>
        <v>2009</v>
      </c>
      <c r="C20" s="3">
        <f>IFERROR(__xludf.DUMMYFUNCTION("""COMPUTED_VALUE"""),8.0)</f>
        <v>8</v>
      </c>
      <c r="D20" s="3">
        <f>IFERROR(__xludf.DUMMYFUNCTION("""COMPUTED_VALUE"""),325.0)</f>
        <v>325</v>
      </c>
      <c r="E20" s="3">
        <f>IFERROR(__xludf.DUMMYFUNCTION("""COMPUTED_VALUE"""),385.0)</f>
        <v>385</v>
      </c>
      <c r="F20" s="3">
        <f>IFERROR(__xludf.DUMMYFUNCTION("""COMPUTED_VALUE"""),6.0)</f>
        <v>6</v>
      </c>
      <c r="G20" s="3">
        <f>IFERROR(__xludf.DUMMYFUNCTION("""COMPUTED_VALUE"""),54.2)</f>
        <v>54.2</v>
      </c>
      <c r="H20" s="3">
        <f>IFERROR(__xludf.DUMMYFUNCTION("""COMPUTED_VALUE"""),84.4)</f>
        <v>84.4</v>
      </c>
      <c r="I20" s="3">
        <f>IFERROR(__xludf.DUMMYFUNCTION("""COMPUTED_VALUE"""),107.0)</f>
        <v>107</v>
      </c>
      <c r="J20" s="3">
        <f>IFERROR(__xludf.DUMMYFUNCTION("""COMPUTED_VALUE"""),2.0)</f>
        <v>2</v>
      </c>
      <c r="K20" s="3">
        <f>IFERROR(__xludf.DUMMYFUNCTION("""COMPUTED_VALUE"""),1.0)</f>
        <v>1</v>
      </c>
      <c r="L20" s="3">
        <f>IFERROR(__xludf.DUMMYFUNCTION("""COMPUTED_VALUE"""),36.0)</f>
        <v>36</v>
      </c>
      <c r="M20" s="3">
        <f>IFERROR(__xludf.DUMMYFUNCTION("""COMPUTED_VALUE"""),3.0)</f>
        <v>3</v>
      </c>
      <c r="N20" s="3">
        <f>IFERROR(__xludf.DUMMYFUNCTION("""COMPUTED_VALUE"""),51.7)</f>
        <v>51.7</v>
      </c>
    </row>
    <row r="21">
      <c r="A21" s="2" t="s">
        <v>1</v>
      </c>
      <c r="B21" s="3">
        <f>IFERROR(__xludf.DUMMYFUNCTION("""COMPUTED_VALUE"""),2010.0)</f>
        <v>2010</v>
      </c>
      <c r="C21" s="3">
        <f>IFERROR(__xludf.DUMMYFUNCTION("""COMPUTED_VALUE"""),23.0)</f>
        <v>23</v>
      </c>
      <c r="D21" s="3">
        <f>IFERROR(__xludf.DUMMYFUNCTION("""COMPUTED_VALUE"""),995.0)</f>
        <v>995</v>
      </c>
      <c r="E21" s="4">
        <f>IFERROR(__xludf.DUMMYFUNCTION("""COMPUTED_VALUE"""),1169.0)</f>
        <v>1169</v>
      </c>
      <c r="F21" s="3">
        <f>IFERROR(__xludf.DUMMYFUNCTION("""COMPUTED_VALUE"""),20.0)</f>
        <v>20</v>
      </c>
      <c r="G21" s="3">
        <f>IFERROR(__xludf.DUMMYFUNCTION("""COMPUTED_VALUE"""),49.8)</f>
        <v>49.8</v>
      </c>
      <c r="H21" s="3">
        <f>IFERROR(__xludf.DUMMYFUNCTION("""COMPUTED_VALUE"""),85.1)</f>
        <v>85.1</v>
      </c>
      <c r="I21" s="3">
        <f>IFERROR(__xludf.DUMMYFUNCTION("""COMPUTED_VALUE"""),118.0)</f>
        <v>118</v>
      </c>
      <c r="J21" s="3">
        <f>IFERROR(__xludf.DUMMYFUNCTION("""COMPUTED_VALUE"""),7.0)</f>
        <v>7</v>
      </c>
      <c r="K21" s="3">
        <f>IFERROR(__xludf.DUMMYFUNCTION("""COMPUTED_VALUE"""),3.0)</f>
        <v>3</v>
      </c>
      <c r="L21" s="3">
        <f>IFERROR(__xludf.DUMMYFUNCTION("""COMPUTED_VALUE"""),90.0)</f>
        <v>90</v>
      </c>
      <c r="M21" s="3">
        <f>IFERROR(__xludf.DUMMYFUNCTION("""COMPUTED_VALUE"""),4.0)</f>
        <v>4</v>
      </c>
      <c r="N21" s="3">
        <f>IFERROR(__xludf.DUMMYFUNCTION("""COMPUTED_VALUE"""),48.3)</f>
        <v>48.3</v>
      </c>
    </row>
    <row r="22">
      <c r="A22" s="2" t="s">
        <v>1</v>
      </c>
      <c r="B22" s="3">
        <f>IFERROR(__xludf.DUMMYFUNCTION("""COMPUTED_VALUE"""),2011.0)</f>
        <v>2011</v>
      </c>
      <c r="C22" s="3">
        <f>IFERROR(__xludf.DUMMYFUNCTION("""COMPUTED_VALUE"""),34.0)</f>
        <v>34</v>
      </c>
      <c r="D22" s="4">
        <f>IFERROR(__xludf.DUMMYFUNCTION("""COMPUTED_VALUE"""),1381.0)</f>
        <v>1381</v>
      </c>
      <c r="E22" s="4">
        <f>IFERROR(__xludf.DUMMYFUNCTION("""COMPUTED_VALUE"""),1614.0)</f>
        <v>1614</v>
      </c>
      <c r="F22" s="3">
        <f>IFERROR(__xludf.DUMMYFUNCTION("""COMPUTED_VALUE"""),29.0)</f>
        <v>29</v>
      </c>
      <c r="G22" s="3">
        <f>IFERROR(__xludf.DUMMYFUNCTION("""COMPUTED_VALUE"""),47.6)</f>
        <v>47.6</v>
      </c>
      <c r="H22" s="3">
        <f>IFERROR(__xludf.DUMMYFUNCTION("""COMPUTED_VALUE"""),85.6)</f>
        <v>85.6</v>
      </c>
      <c r="I22" s="3">
        <f>IFERROR(__xludf.DUMMYFUNCTION("""COMPUTED_VALUE"""),117.0)</f>
        <v>117</v>
      </c>
      <c r="J22" s="3">
        <f>IFERROR(__xludf.DUMMYFUNCTION("""COMPUTED_VALUE"""),8.0)</f>
        <v>8</v>
      </c>
      <c r="K22" s="3">
        <f>IFERROR(__xludf.DUMMYFUNCTION("""COMPUTED_VALUE"""),4.0)</f>
        <v>4</v>
      </c>
      <c r="L22" s="3">
        <f>IFERROR(__xludf.DUMMYFUNCTION("""COMPUTED_VALUE"""),127.0)</f>
        <v>127</v>
      </c>
      <c r="M22" s="3">
        <f>IFERROR(__xludf.DUMMYFUNCTION("""COMPUTED_VALUE"""),7.0)</f>
        <v>7</v>
      </c>
      <c r="N22" s="3">
        <f>IFERROR(__xludf.DUMMYFUNCTION("""COMPUTED_VALUE"""),46.8)</f>
        <v>46.8</v>
      </c>
    </row>
    <row r="23">
      <c r="A23" s="2" t="s">
        <v>1</v>
      </c>
      <c r="B23" s="3">
        <f>IFERROR(__xludf.DUMMYFUNCTION("""COMPUTED_VALUE"""),2012.0)</f>
        <v>2012</v>
      </c>
      <c r="C23" s="3">
        <f>IFERROR(__xludf.DUMMYFUNCTION("""COMPUTED_VALUE"""),17.0)</f>
        <v>17</v>
      </c>
      <c r="D23" s="4">
        <f>IFERROR(__xludf.DUMMYFUNCTION("""COMPUTED_VALUE"""),1026.0)</f>
        <v>1026</v>
      </c>
      <c r="E23" s="4">
        <f>IFERROR(__xludf.DUMMYFUNCTION("""COMPUTED_VALUE"""),1094.0)</f>
        <v>1094</v>
      </c>
      <c r="F23" s="3">
        <f>IFERROR(__xludf.DUMMYFUNCTION("""COMPUTED_VALUE"""),15.0)</f>
        <v>15</v>
      </c>
      <c r="G23" s="3">
        <f>IFERROR(__xludf.DUMMYFUNCTION("""COMPUTED_VALUE"""),68.4)</f>
        <v>68.4</v>
      </c>
      <c r="H23" s="3">
        <f>IFERROR(__xludf.DUMMYFUNCTION("""COMPUTED_VALUE"""),93.8)</f>
        <v>93.8</v>
      </c>
      <c r="I23" s="3">
        <f>IFERROR(__xludf.DUMMYFUNCTION("""COMPUTED_VALUE"""),183.0)</f>
        <v>183</v>
      </c>
      <c r="J23" s="3">
        <f>IFERROR(__xludf.DUMMYFUNCTION("""COMPUTED_VALUE"""),3.0)</f>
        <v>3</v>
      </c>
      <c r="K23" s="3">
        <f>IFERROR(__xludf.DUMMYFUNCTION("""COMPUTED_VALUE"""),5.0)</f>
        <v>5</v>
      </c>
      <c r="L23" s="3">
        <f>IFERROR(__xludf.DUMMYFUNCTION("""COMPUTED_VALUE"""),92.0)</f>
        <v>92</v>
      </c>
      <c r="M23" s="3">
        <f>IFERROR(__xludf.DUMMYFUNCTION("""COMPUTED_VALUE"""),7.0)</f>
        <v>7</v>
      </c>
      <c r="N23" s="3">
        <f>IFERROR(__xludf.DUMMYFUNCTION("""COMPUTED_VALUE"""),43.6)</f>
        <v>43.6</v>
      </c>
    </row>
    <row r="24">
      <c r="A24" s="2" t="s">
        <v>1</v>
      </c>
      <c r="B24" s="3">
        <f>IFERROR(__xludf.DUMMYFUNCTION("""COMPUTED_VALUE"""),2013.0)</f>
        <v>2013</v>
      </c>
      <c r="C24" s="3">
        <f>IFERROR(__xludf.DUMMYFUNCTION("""COMPUTED_VALUE"""),30.0)</f>
        <v>30</v>
      </c>
      <c r="D24" s="4">
        <f>IFERROR(__xludf.DUMMYFUNCTION("""COMPUTED_VALUE"""),1268.0)</f>
        <v>1268</v>
      </c>
      <c r="E24" s="4">
        <f>IFERROR(__xludf.DUMMYFUNCTION("""COMPUTED_VALUE"""),1300.0)</f>
        <v>1300</v>
      </c>
      <c r="F24" s="3">
        <f>IFERROR(__xludf.DUMMYFUNCTION("""COMPUTED_VALUE"""),24.0)</f>
        <v>24</v>
      </c>
      <c r="G24" s="3">
        <f>IFERROR(__xludf.DUMMYFUNCTION("""COMPUTED_VALUE"""),52.8)</f>
        <v>52.8</v>
      </c>
      <c r="H24" s="3">
        <f>IFERROR(__xludf.DUMMYFUNCTION("""COMPUTED_VALUE"""),97.5)</f>
        <v>97.5</v>
      </c>
      <c r="I24" s="3">
        <f>IFERROR(__xludf.DUMMYFUNCTION("""COMPUTED_VALUE"""),115.0)</f>
        <v>115</v>
      </c>
      <c r="J24" s="3">
        <f>IFERROR(__xludf.DUMMYFUNCTION("""COMPUTED_VALUE"""),7.0)</f>
        <v>7</v>
      </c>
      <c r="K24" s="3">
        <f>IFERROR(__xludf.DUMMYFUNCTION("""COMPUTED_VALUE"""),4.0)</f>
        <v>4</v>
      </c>
      <c r="L24" s="3">
        <f>IFERROR(__xludf.DUMMYFUNCTION("""COMPUTED_VALUE"""),138.0)</f>
        <v>138</v>
      </c>
      <c r="M24" s="3">
        <f>IFERROR(__xludf.DUMMYFUNCTION("""COMPUTED_VALUE"""),20.0)</f>
        <v>20</v>
      </c>
      <c r="N24" s="3">
        <f>IFERROR(__xludf.DUMMYFUNCTION("""COMPUTED_VALUE"""),48.1)</f>
        <v>48.1</v>
      </c>
    </row>
    <row r="25">
      <c r="A25" s="2" t="s">
        <v>1</v>
      </c>
      <c r="B25" s="3">
        <f>IFERROR(__xludf.DUMMYFUNCTION("""COMPUTED_VALUE"""),2014.0)</f>
        <v>2014</v>
      </c>
      <c r="C25" s="3">
        <f>IFERROR(__xludf.DUMMYFUNCTION("""COMPUTED_VALUE"""),20.0)</f>
        <v>20</v>
      </c>
      <c r="D25" s="4">
        <f>IFERROR(__xludf.DUMMYFUNCTION("""COMPUTED_VALUE"""),1054.0)</f>
        <v>1054</v>
      </c>
      <c r="E25" s="4">
        <f>IFERROR(__xludf.DUMMYFUNCTION("""COMPUTED_VALUE"""),1058.0)</f>
        <v>1058</v>
      </c>
      <c r="F25" s="3">
        <f>IFERROR(__xludf.DUMMYFUNCTION("""COMPUTED_VALUE"""),18.0)</f>
        <v>18</v>
      </c>
      <c r="G25" s="3">
        <f>IFERROR(__xludf.DUMMYFUNCTION("""COMPUTED_VALUE"""),58.6)</f>
        <v>58.6</v>
      </c>
      <c r="H25" s="3">
        <f>IFERROR(__xludf.DUMMYFUNCTION("""COMPUTED_VALUE"""),99.6)</f>
        <v>99.6</v>
      </c>
      <c r="I25" s="3">
        <f>IFERROR(__xludf.DUMMYFUNCTION("""COMPUTED_VALUE"""),139.0)</f>
        <v>139</v>
      </c>
      <c r="J25" s="3">
        <f>IFERROR(__xludf.DUMMYFUNCTION("""COMPUTED_VALUE"""),5.0)</f>
        <v>5</v>
      </c>
      <c r="K25" s="3">
        <f>IFERROR(__xludf.DUMMYFUNCTION("""COMPUTED_VALUE"""),4.0)</f>
        <v>4</v>
      </c>
      <c r="L25" s="3">
        <f>IFERROR(__xludf.DUMMYFUNCTION("""COMPUTED_VALUE"""),94.0)</f>
        <v>94</v>
      </c>
      <c r="M25" s="3">
        <f>IFERROR(__xludf.DUMMYFUNCTION("""COMPUTED_VALUE"""),20.0)</f>
        <v>20</v>
      </c>
      <c r="N25" s="3">
        <f>IFERROR(__xludf.DUMMYFUNCTION("""COMPUTED_VALUE"""),43.6)</f>
        <v>43.6</v>
      </c>
    </row>
    <row r="26">
      <c r="A26" s="2" t="s">
        <v>1</v>
      </c>
      <c r="B26" s="3">
        <f>IFERROR(__xludf.DUMMYFUNCTION("""COMPUTED_VALUE"""),2015.0)</f>
        <v>2015</v>
      </c>
      <c r="C26" s="3">
        <f>IFERROR(__xludf.DUMMYFUNCTION("""COMPUTED_VALUE"""),20.0)</f>
        <v>20</v>
      </c>
      <c r="D26" s="3">
        <f>IFERROR(__xludf.DUMMYFUNCTION("""COMPUTED_VALUE"""),623.0)</f>
        <v>623</v>
      </c>
      <c r="E26" s="3">
        <f>IFERROR(__xludf.DUMMYFUNCTION("""COMPUTED_VALUE"""),773.0)</f>
        <v>773</v>
      </c>
      <c r="F26" s="3">
        <f>IFERROR(__xludf.DUMMYFUNCTION("""COMPUTED_VALUE"""),17.0)</f>
        <v>17</v>
      </c>
      <c r="G26" s="3">
        <f>IFERROR(__xludf.DUMMYFUNCTION("""COMPUTED_VALUE"""),36.6)</f>
        <v>36.6</v>
      </c>
      <c r="H26" s="3">
        <f>IFERROR(__xludf.DUMMYFUNCTION("""COMPUTED_VALUE"""),80.6)</f>
        <v>80.6</v>
      </c>
      <c r="I26" s="3">
        <f>IFERROR(__xludf.DUMMYFUNCTION("""COMPUTED_VALUE"""),138.0)</f>
        <v>138</v>
      </c>
      <c r="J26" s="3">
        <f>IFERROR(__xludf.DUMMYFUNCTION("""COMPUTED_VALUE"""),1.0)</f>
        <v>1</v>
      </c>
      <c r="K26" s="3">
        <f>IFERROR(__xludf.DUMMYFUNCTION("""COMPUTED_VALUE"""),2.0)</f>
        <v>2</v>
      </c>
      <c r="L26" s="3">
        <f>IFERROR(__xludf.DUMMYFUNCTION("""COMPUTED_VALUE"""),44.0)</f>
        <v>44</v>
      </c>
      <c r="M26" s="3">
        <f>IFERROR(__xludf.DUMMYFUNCTION("""COMPUTED_VALUE"""),8.0)</f>
        <v>8</v>
      </c>
      <c r="N26" s="3">
        <f>IFERROR(__xludf.DUMMYFUNCTION("""COMPUTED_VALUE"""),49.0)</f>
        <v>49</v>
      </c>
    </row>
    <row r="27">
      <c r="A27" s="2" t="s">
        <v>1</v>
      </c>
      <c r="B27" s="3">
        <f>IFERROR(__xludf.DUMMYFUNCTION("""COMPUTED_VALUE"""),2016.0)</f>
        <v>2016</v>
      </c>
      <c r="C27" s="3">
        <f>IFERROR(__xludf.DUMMYFUNCTION("""COMPUTED_VALUE"""),10.0)</f>
        <v>10</v>
      </c>
      <c r="D27" s="3">
        <f>IFERROR(__xludf.DUMMYFUNCTION("""COMPUTED_VALUE"""),739.0)</f>
        <v>739</v>
      </c>
      <c r="E27" s="3">
        <f>IFERROR(__xludf.DUMMYFUNCTION("""COMPUTED_VALUE"""),739.0)</f>
        <v>739</v>
      </c>
      <c r="F27" s="3">
        <f>IFERROR(__xludf.DUMMYFUNCTION("""COMPUTED_VALUE"""),8.0)</f>
        <v>8</v>
      </c>
      <c r="G27" s="3">
        <f>IFERROR(__xludf.DUMMYFUNCTION("""COMPUTED_VALUE"""),92.4)</f>
        <v>92.4</v>
      </c>
      <c r="H27" s="3">
        <f>IFERROR(__xludf.DUMMYFUNCTION("""COMPUTED_VALUE"""),100.0)</f>
        <v>100</v>
      </c>
      <c r="I27" s="3">
        <f>IFERROR(__xludf.DUMMYFUNCTION("""COMPUTED_VALUE"""),154.0)</f>
        <v>154</v>
      </c>
      <c r="J27" s="3">
        <f>IFERROR(__xludf.DUMMYFUNCTION("""COMPUTED_VALUE"""),4.0)</f>
        <v>4</v>
      </c>
      <c r="K27" s="3">
        <f>IFERROR(__xludf.DUMMYFUNCTION("""COMPUTED_VALUE"""),3.0)</f>
        <v>3</v>
      </c>
      <c r="L27" s="3">
        <f>IFERROR(__xludf.DUMMYFUNCTION("""COMPUTED_VALUE"""),62.0)</f>
        <v>62</v>
      </c>
      <c r="M27" s="3">
        <f>IFERROR(__xludf.DUMMYFUNCTION("""COMPUTED_VALUE"""),8.0)</f>
        <v>8</v>
      </c>
      <c r="N27" s="3">
        <f>IFERROR(__xludf.DUMMYFUNCTION("""COMPUTED_VALUE"""),40.2)</f>
        <v>40.2</v>
      </c>
    </row>
    <row r="28">
      <c r="A28" s="2" t="s">
        <v>1</v>
      </c>
      <c r="B28" s="3">
        <f>IFERROR(__xludf.DUMMYFUNCTION("""COMPUTED_VALUE"""),2017.0)</f>
        <v>2017</v>
      </c>
      <c r="C28" s="3">
        <f>IFERROR(__xludf.DUMMYFUNCTION("""COMPUTED_VALUE"""),26.0)</f>
        <v>26</v>
      </c>
      <c r="D28" s="4">
        <f>IFERROR(__xludf.DUMMYFUNCTION("""COMPUTED_VALUE"""),1460.0)</f>
        <v>1460</v>
      </c>
      <c r="E28" s="4">
        <f>IFERROR(__xludf.DUMMYFUNCTION("""COMPUTED_VALUE"""),1473.0)</f>
        <v>1473</v>
      </c>
      <c r="F28" s="3">
        <f>IFERROR(__xludf.DUMMYFUNCTION("""COMPUTED_VALUE"""),19.0)</f>
        <v>19</v>
      </c>
      <c r="G28" s="3">
        <f>IFERROR(__xludf.DUMMYFUNCTION("""COMPUTED_VALUE"""),76.8)</f>
        <v>76.8</v>
      </c>
      <c r="H28" s="3">
        <f>IFERROR(__xludf.DUMMYFUNCTION("""COMPUTED_VALUE"""),99.1)</f>
        <v>99.1</v>
      </c>
      <c r="I28" s="3">
        <f>IFERROR(__xludf.DUMMYFUNCTION("""COMPUTED_VALUE"""),131.0)</f>
        <v>131</v>
      </c>
      <c r="J28" s="3">
        <f>IFERROR(__xludf.DUMMYFUNCTION("""COMPUTED_VALUE"""),7.0)</f>
        <v>7</v>
      </c>
      <c r="K28" s="3">
        <f>IFERROR(__xludf.DUMMYFUNCTION("""COMPUTED_VALUE"""),6.0)</f>
        <v>6</v>
      </c>
      <c r="L28" s="3">
        <f>IFERROR(__xludf.DUMMYFUNCTION("""COMPUTED_VALUE"""),136.0)</f>
        <v>136</v>
      </c>
      <c r="M28" s="3">
        <f>IFERROR(__xludf.DUMMYFUNCTION("""COMPUTED_VALUE"""),22.0)</f>
        <v>22</v>
      </c>
      <c r="N28" s="3">
        <f>IFERROR(__xludf.DUMMYFUNCTION("""COMPUTED_VALUE"""),42.8)</f>
        <v>42.8</v>
      </c>
    </row>
    <row r="29">
      <c r="A29" s="2" t="s">
        <v>1</v>
      </c>
      <c r="B29" s="3">
        <f>IFERROR(__xludf.DUMMYFUNCTION("""COMPUTED_VALUE"""),2018.0)</f>
        <v>2018</v>
      </c>
      <c r="C29" s="3">
        <f>IFERROR(__xludf.DUMMYFUNCTION("""COMPUTED_VALUE"""),14.0)</f>
        <v>14</v>
      </c>
      <c r="D29" s="4">
        <f>IFERROR(__xludf.DUMMYFUNCTION("""COMPUTED_VALUE"""),1202.0)</f>
        <v>1202</v>
      </c>
      <c r="E29" s="4">
        <f>IFERROR(__xludf.DUMMYFUNCTION("""COMPUTED_VALUE"""),1172.0)</f>
        <v>1172</v>
      </c>
      <c r="F29" s="3">
        <f>IFERROR(__xludf.DUMMYFUNCTION("""COMPUTED_VALUE"""),9.0)</f>
        <v>9</v>
      </c>
      <c r="G29" s="3">
        <f>IFERROR(__xludf.DUMMYFUNCTION("""COMPUTED_VALUE"""),133.6)</f>
        <v>133.6</v>
      </c>
      <c r="H29" s="3">
        <f>IFERROR(__xludf.DUMMYFUNCTION("""COMPUTED_VALUE"""),102.6)</f>
        <v>102.6</v>
      </c>
      <c r="I29" s="3">
        <f>IFERROR(__xludf.DUMMYFUNCTION("""COMPUTED_VALUE"""),160.0)</f>
        <v>160</v>
      </c>
      <c r="J29" s="3">
        <f>IFERROR(__xludf.DUMMYFUNCTION("""COMPUTED_VALUE"""),3.0)</f>
        <v>3</v>
      </c>
      <c r="K29" s="3">
        <f>IFERROR(__xludf.DUMMYFUNCTION("""COMPUTED_VALUE"""),6.0)</f>
        <v>6</v>
      </c>
      <c r="L29" s="3">
        <f>IFERROR(__xludf.DUMMYFUNCTION("""COMPUTED_VALUE"""),123.0)</f>
        <v>123</v>
      </c>
      <c r="M29" s="3">
        <f>IFERROR(__xludf.DUMMYFUNCTION("""COMPUTED_VALUE"""),13.0)</f>
        <v>13</v>
      </c>
      <c r="N29" s="3">
        <f>IFERROR(__xludf.DUMMYFUNCTION("""COMPUTED_VALUE"""),41.7)</f>
        <v>41.7</v>
      </c>
    </row>
    <row r="30">
      <c r="A30" s="2" t="s">
        <v>1</v>
      </c>
      <c r="B30" s="3">
        <f>IFERROR(__xludf.DUMMYFUNCTION("""COMPUTED_VALUE"""),2019.0)</f>
        <v>2019</v>
      </c>
      <c r="C30" s="3">
        <f>IFERROR(__xludf.DUMMYFUNCTION("""COMPUTED_VALUE"""),25.0)</f>
        <v>25</v>
      </c>
      <c r="D30" s="4">
        <f>IFERROR(__xludf.DUMMYFUNCTION("""COMPUTED_VALUE"""),1377.0)</f>
        <v>1377</v>
      </c>
      <c r="E30" s="4">
        <f>IFERROR(__xludf.DUMMYFUNCTION("""COMPUTED_VALUE"""),1429.0)</f>
        <v>1429</v>
      </c>
      <c r="F30" s="3">
        <f>IFERROR(__xludf.DUMMYFUNCTION("""COMPUTED_VALUE"""),23.0)</f>
        <v>23</v>
      </c>
      <c r="G30" s="3">
        <f>IFERROR(__xludf.DUMMYFUNCTION("""COMPUTED_VALUE"""),59.9)</f>
        <v>59.9</v>
      </c>
      <c r="H30" s="3">
        <f>IFERROR(__xludf.DUMMYFUNCTION("""COMPUTED_VALUE"""),96.4)</f>
        <v>96.4</v>
      </c>
      <c r="I30" s="3">
        <f>IFERROR(__xludf.DUMMYFUNCTION("""COMPUTED_VALUE"""),123.0)</f>
        <v>123</v>
      </c>
      <c r="J30" s="3">
        <f>IFERROR(__xludf.DUMMYFUNCTION("""COMPUTED_VALUE"""),7.0)</f>
        <v>7</v>
      </c>
      <c r="K30" s="3">
        <f>IFERROR(__xludf.DUMMYFUNCTION("""COMPUTED_VALUE"""),5.0)</f>
        <v>5</v>
      </c>
      <c r="L30" s="3">
        <f>IFERROR(__xludf.DUMMYFUNCTION("""COMPUTED_VALUE"""),133.0)</f>
        <v>133</v>
      </c>
      <c r="M30" s="3">
        <f>IFERROR(__xludf.DUMMYFUNCTION("""COMPUTED_VALUE"""),8.0)</f>
        <v>8</v>
      </c>
      <c r="N30" s="3">
        <f>IFERROR(__xludf.DUMMYFUNCTION("""COMPUTED_VALUE"""),41.8)</f>
        <v>41.8</v>
      </c>
    </row>
    <row r="31">
      <c r="A31" s="2" t="s">
        <v>1</v>
      </c>
      <c r="B31" s="3">
        <f>IFERROR(__xludf.DUMMYFUNCTION("""COMPUTED_VALUE"""),2020.0)</f>
        <v>2020</v>
      </c>
      <c r="C31" s="3">
        <f>IFERROR(__xludf.DUMMYFUNCTION("""COMPUTED_VALUE"""),9.0)</f>
        <v>9</v>
      </c>
      <c r="D31" s="3">
        <f>IFERROR(__xludf.DUMMYFUNCTION("""COMPUTED_VALUE"""),431.0)</f>
        <v>431</v>
      </c>
      <c r="E31" s="3">
        <f>IFERROR(__xludf.DUMMYFUNCTION("""COMPUTED_VALUE"""),467.0)</f>
        <v>467</v>
      </c>
      <c r="F31" s="3">
        <f>IFERROR(__xludf.DUMMYFUNCTION("""COMPUTED_VALUE"""),9.0)</f>
        <v>9</v>
      </c>
      <c r="G31" s="3">
        <f>IFERROR(__xludf.DUMMYFUNCTION("""COMPUTED_VALUE"""),47.9)</f>
        <v>47.9</v>
      </c>
      <c r="H31" s="3">
        <f>IFERROR(__xludf.DUMMYFUNCTION("""COMPUTED_VALUE"""),92.3)</f>
        <v>92.3</v>
      </c>
      <c r="I31" s="3">
        <f>IFERROR(__xludf.DUMMYFUNCTION("""COMPUTED_VALUE"""),89.0)</f>
        <v>89</v>
      </c>
      <c r="J31" s="3">
        <f>IFERROR(__xludf.DUMMYFUNCTION("""COMPUTED_VALUE"""),5.0)</f>
        <v>5</v>
      </c>
      <c r="K31" s="3">
        <f>IFERROR(__xludf.DUMMYFUNCTION("""COMPUTED_VALUE"""),0.0)</f>
        <v>0</v>
      </c>
      <c r="L31" s="3">
        <f>IFERROR(__xludf.DUMMYFUNCTION("""COMPUTED_VALUE"""),35.0)</f>
        <v>35</v>
      </c>
      <c r="M31" s="3">
        <f>IFERROR(__xludf.DUMMYFUNCTION("""COMPUTED_VALUE"""),5.0)</f>
        <v>5</v>
      </c>
      <c r="N31" s="3">
        <f>IFERROR(__xludf.DUMMYFUNCTION("""COMPUTED_VALUE"""),41.1)</f>
        <v>41.1</v>
      </c>
    </row>
    <row r="32">
      <c r="A32" s="2" t="s">
        <v>1</v>
      </c>
      <c r="B32" s="3">
        <f>IFERROR(__xludf.DUMMYFUNCTION("""COMPUTED_VALUE"""),2021.0)</f>
        <v>2021</v>
      </c>
      <c r="C32" s="3">
        <f>IFERROR(__xludf.DUMMYFUNCTION("""COMPUTED_VALUE"""),3.0)</f>
        <v>3</v>
      </c>
      <c r="D32" s="3">
        <f>IFERROR(__xludf.DUMMYFUNCTION("""COMPUTED_VALUE"""),129.0)</f>
        <v>129</v>
      </c>
      <c r="E32" s="3">
        <f>IFERROR(__xludf.DUMMYFUNCTION("""COMPUTED_VALUE"""),149.0)</f>
        <v>149</v>
      </c>
      <c r="F32" s="3">
        <f>IFERROR(__xludf.DUMMYFUNCTION("""COMPUTED_VALUE"""),3.0)</f>
        <v>3</v>
      </c>
      <c r="G32" s="3">
        <f>IFERROR(__xludf.DUMMYFUNCTION("""COMPUTED_VALUE"""),43.0)</f>
        <v>43</v>
      </c>
      <c r="H32" s="3">
        <f>IFERROR(__xludf.DUMMYFUNCTION("""COMPUTED_VALUE"""),86.6)</f>
        <v>86.6</v>
      </c>
      <c r="I32" s="3">
        <f>IFERROR(__xludf.DUMMYFUNCTION("""COMPUTED_VALUE"""),66.0)</f>
        <v>66</v>
      </c>
      <c r="J32" s="3">
        <f>IFERROR(__xludf.DUMMYFUNCTION("""COMPUTED_VALUE"""),2.0)</f>
        <v>2</v>
      </c>
      <c r="K32" s="3">
        <f>IFERROR(__xludf.DUMMYFUNCTION("""COMPUTED_VALUE"""),0.0)</f>
        <v>0</v>
      </c>
      <c r="L32" s="3">
        <f>IFERROR(__xludf.DUMMYFUNCTION("""COMPUTED_VALUE"""),10.0)</f>
        <v>10</v>
      </c>
      <c r="M32" s="3">
        <f>IFERROR(__xludf.DUMMYFUNCTION("""COMPUTED_VALUE"""),1.0)</f>
        <v>1</v>
      </c>
      <c r="N32" s="3">
        <f>IFERROR(__xludf.DUMMYFUNCTION("""COMPUTED_VALUE"""),41.6)</f>
        <v>41.6</v>
      </c>
    </row>
    <row r="33">
      <c r="A33" s="2" t="s">
        <v>1</v>
      </c>
      <c r="B33" s="3">
        <f>IFERROR(__xludf.DUMMYFUNCTION("""COMPUTED_VALUE"""),2022.0)</f>
        <v>2022</v>
      </c>
      <c r="C33" s="3">
        <f>IFERROR(__xludf.DUMMYFUNCTION("""COMPUTED_VALUE"""),11.0)</f>
        <v>11</v>
      </c>
      <c r="D33" s="3">
        <f>IFERROR(__xludf.DUMMYFUNCTION("""COMPUTED_VALUE"""),302.0)</f>
        <v>302</v>
      </c>
      <c r="E33" s="3">
        <f>IFERROR(__xludf.DUMMYFUNCTION("""COMPUTED_VALUE"""),347.0)</f>
        <v>347</v>
      </c>
      <c r="F33" s="3">
        <f>IFERROR(__xludf.DUMMYFUNCTION("""COMPUTED_VALUE"""),11.0)</f>
        <v>11</v>
      </c>
      <c r="G33" s="3">
        <f>IFERROR(__xludf.DUMMYFUNCTION("""COMPUTED_VALUE"""),27.5)</f>
        <v>27.5</v>
      </c>
      <c r="H33" s="3">
        <f>IFERROR(__xludf.DUMMYFUNCTION("""COMPUTED_VALUE"""),87.0)</f>
        <v>87</v>
      </c>
      <c r="I33" s="3">
        <f>IFERROR(__xludf.DUMMYFUNCTION("""COMPUTED_VALUE"""),113.0)</f>
        <v>113</v>
      </c>
      <c r="J33" s="3">
        <f>IFERROR(__xludf.DUMMYFUNCTION("""COMPUTED_VALUE"""),2.0)</f>
        <v>2</v>
      </c>
      <c r="K33" s="3">
        <f>IFERROR(__xludf.DUMMYFUNCTION("""COMPUTED_VALUE"""),1.0)</f>
        <v>1</v>
      </c>
      <c r="L33" s="3">
        <f>IFERROR(__xludf.DUMMYFUNCTION("""COMPUTED_VALUE"""),32.0)</f>
        <v>32</v>
      </c>
      <c r="M33" s="3">
        <f>IFERROR(__xludf.DUMMYFUNCTION("""COMPUTED_VALUE"""),2.0)</f>
        <v>2</v>
      </c>
      <c r="N33" s="3">
        <f>IFERROR(__xludf.DUMMYFUNCTION("""COMPUTED_VALUE"""),48.1)</f>
        <v>48.1</v>
      </c>
    </row>
    <row r="34">
      <c r="A34" s="2" t="s">
        <v>1</v>
      </c>
      <c r="B34" s="3">
        <f>IFERROR(__xludf.DUMMYFUNCTION("""COMPUTED_VALUE"""),2023.0)</f>
        <v>2023</v>
      </c>
      <c r="C34" s="3">
        <f>IFERROR(__xludf.DUMMYFUNCTION("""COMPUTED_VALUE"""),24.0)</f>
        <v>24</v>
      </c>
      <c r="D34" s="4">
        <f>IFERROR(__xludf.DUMMYFUNCTION("""COMPUTED_VALUE"""),1377.0)</f>
        <v>1377</v>
      </c>
      <c r="E34" s="4">
        <f>IFERROR(__xludf.DUMMYFUNCTION("""COMPUTED_VALUE"""),1389.0)</f>
        <v>1389</v>
      </c>
      <c r="F34" s="3">
        <f>IFERROR(__xludf.DUMMYFUNCTION("""COMPUTED_VALUE"""),19.0)</f>
        <v>19</v>
      </c>
      <c r="G34" s="3">
        <f>IFERROR(__xludf.DUMMYFUNCTION("""COMPUTED_VALUE"""),72.5)</f>
        <v>72.5</v>
      </c>
      <c r="H34" s="3">
        <f>IFERROR(__xludf.DUMMYFUNCTION("""COMPUTED_VALUE"""),99.1)</f>
        <v>99.1</v>
      </c>
      <c r="I34" s="3">
        <f>IFERROR(__xludf.DUMMYFUNCTION("""COMPUTED_VALUE"""),166.0)</f>
        <v>166</v>
      </c>
      <c r="J34" s="3">
        <f>IFERROR(__xludf.DUMMYFUNCTION("""COMPUTED_VALUE"""),8.0)</f>
        <v>8</v>
      </c>
      <c r="K34" s="3">
        <f>IFERROR(__xludf.DUMMYFUNCTION("""COMPUTED_VALUE"""),6.0)</f>
        <v>6</v>
      </c>
      <c r="L34" s="3">
        <f>IFERROR(__xludf.DUMMYFUNCTION("""COMPUTED_VALUE"""),122.0)</f>
        <v>122</v>
      </c>
      <c r="M34" s="3">
        <f>IFERROR(__xludf.DUMMYFUNCTION("""COMPUTED_VALUE"""),24.0)</f>
        <v>24</v>
      </c>
      <c r="N34" s="3">
        <f>IFERROR(__xludf.DUMMYFUNCTION("""COMPUTED_VALUE"""),42.0)</f>
        <v>42</v>
      </c>
    </row>
    <row r="35">
      <c r="A35" s="2" t="s">
        <v>1</v>
      </c>
      <c r="B35" s="3" t="str">
        <f>IFERROR(__xludf.DUMMYFUNCTION("""COMPUTED_VALUE"""),"Total")</f>
        <v>Total</v>
      </c>
      <c r="C35" s="3">
        <f>IFERROR(__xludf.DUMMYFUNCTION("""COMPUTED_VALUE"""),279.0)</f>
        <v>279</v>
      </c>
      <c r="D35" s="4">
        <f>IFERROR(__xludf.DUMMYFUNCTION("""COMPUTED_VALUE"""),13848.0)</f>
        <v>13848</v>
      </c>
      <c r="E35" s="4">
        <f>IFERROR(__xludf.DUMMYFUNCTION("""COMPUTED_VALUE"""),14797.0)</f>
        <v>14797</v>
      </c>
      <c r="F35" s="3">
        <f>IFERROR(__xludf.DUMMYFUNCTION("""COMPUTED_VALUE"""),235.0)</f>
        <v>235</v>
      </c>
      <c r="G35" s="3">
        <f>IFERROR(__xludf.DUMMYFUNCTION("""COMPUTED_VALUE"""),58.9)</f>
        <v>58.9</v>
      </c>
      <c r="H35" s="3">
        <f>IFERROR(__xludf.DUMMYFUNCTION("""COMPUTED_VALUE"""),93.6)</f>
        <v>93.6</v>
      </c>
      <c r="I35" s="3">
        <f>IFERROR(__xludf.DUMMYFUNCTION("""COMPUTED_VALUE"""),183.0)</f>
        <v>183</v>
      </c>
      <c r="J35" s="3">
        <f>IFERROR(__xludf.DUMMYFUNCTION("""COMPUTED_VALUE"""),72.0)</f>
        <v>72</v>
      </c>
      <c r="K35" s="3">
        <f>IFERROR(__xludf.DUMMYFUNCTION("""COMPUTED_VALUE"""),50.0)</f>
        <v>50</v>
      </c>
      <c r="L35" s="4">
        <f>IFERROR(__xludf.DUMMYFUNCTION("""COMPUTED_VALUE"""),1295.0)</f>
        <v>1295</v>
      </c>
      <c r="M35" s="3">
        <f>IFERROR(__xludf.DUMMYFUNCTION("""COMPUTED_VALUE"""),153.0)</f>
        <v>153</v>
      </c>
      <c r="N35" s="3">
        <f>IFERROR(__xludf.DUMMYFUNCTION("""COMPUTED_VALUE"""),45.0)</f>
        <v>45</v>
      </c>
    </row>
    <row r="37">
      <c r="A37" s="6"/>
      <c r="B37" s="6" t="str">
        <f>IFERROR(__xludf.DUMMYFUNCTION("IMPORTHTML(""http://www.cricmetric.com/playerstats.py?player=V%20Kohli"",""table"",5)"),"Year")</f>
        <v>Year</v>
      </c>
      <c r="C37" s="1" t="str">
        <f>IFERROR(__xludf.DUMMYFUNCTION("""COMPUTED_VALUE"""),"Innings")</f>
        <v>Innings</v>
      </c>
      <c r="D37" s="1" t="str">
        <f>IFERROR(__xludf.DUMMYFUNCTION("""COMPUTED_VALUE"""),"Runs")</f>
        <v>Runs</v>
      </c>
      <c r="E37" s="1" t="str">
        <f>IFERROR(__xludf.DUMMYFUNCTION("""COMPUTED_VALUE"""),"Balls")</f>
        <v>Balls</v>
      </c>
      <c r="F37" s="1" t="str">
        <f>IFERROR(__xludf.DUMMYFUNCTION("""COMPUTED_VALUE"""),"Outs")</f>
        <v>Outs</v>
      </c>
      <c r="G37" s="1" t="str">
        <f>IFERROR(__xludf.DUMMYFUNCTION("""COMPUTED_VALUE"""),"Avg")</f>
        <v>Avg</v>
      </c>
      <c r="H37" s="1" t="str">
        <f>IFERROR(__xludf.DUMMYFUNCTION("""COMPUTED_VALUE"""),"SR")</f>
        <v>SR</v>
      </c>
      <c r="I37" s="1" t="str">
        <f>IFERROR(__xludf.DUMMYFUNCTION("""COMPUTED_VALUE"""),"HS")</f>
        <v>HS</v>
      </c>
      <c r="J37" s="1">
        <f>IFERROR(__xludf.DUMMYFUNCTION("""COMPUTED_VALUE"""),50.0)</f>
        <v>50</v>
      </c>
      <c r="K37" s="1">
        <f>IFERROR(__xludf.DUMMYFUNCTION("""COMPUTED_VALUE"""),100.0)</f>
        <v>100</v>
      </c>
      <c r="L37" s="1" t="str">
        <f>IFERROR(__xludf.DUMMYFUNCTION("""COMPUTED_VALUE"""),"4s")</f>
        <v>4s</v>
      </c>
      <c r="M37" s="1" t="str">
        <f>IFERROR(__xludf.DUMMYFUNCTION("""COMPUTED_VALUE"""),"6s")</f>
        <v>6s</v>
      </c>
      <c r="N37" s="1" t="str">
        <f>IFERROR(__xludf.DUMMYFUNCTION("""COMPUTED_VALUE"""),"Dot %")</f>
        <v>Dot %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" t="s">
        <v>2</v>
      </c>
      <c r="B38" s="3">
        <f>IFERROR(__xludf.DUMMYFUNCTION("""COMPUTED_VALUE"""),2010.0)</f>
        <v>2010</v>
      </c>
      <c r="C38" s="3">
        <f>IFERROR(__xludf.DUMMYFUNCTION("""COMPUTED_VALUE"""),1.0)</f>
        <v>1</v>
      </c>
      <c r="D38" s="3">
        <f>IFERROR(__xludf.DUMMYFUNCTION("""COMPUTED_VALUE"""),26.0)</f>
        <v>26</v>
      </c>
      <c r="E38" s="3">
        <f>IFERROR(__xludf.DUMMYFUNCTION("""COMPUTED_VALUE"""),21.0)</f>
        <v>21</v>
      </c>
      <c r="F38" s="3">
        <f>IFERROR(__xludf.DUMMYFUNCTION("""COMPUTED_VALUE"""),0.0)</f>
        <v>0</v>
      </c>
      <c r="G38" s="3" t="str">
        <f>IFERROR(__xludf.DUMMYFUNCTION("""COMPUTED_VALUE"""),"-")</f>
        <v>-</v>
      </c>
      <c r="H38" s="3">
        <f>IFERROR(__xludf.DUMMYFUNCTION("""COMPUTED_VALUE"""),123.8)</f>
        <v>123.8</v>
      </c>
      <c r="I38" s="3">
        <f>IFERROR(__xludf.DUMMYFUNCTION("""COMPUTED_VALUE"""),26.0)</f>
        <v>26</v>
      </c>
      <c r="J38" s="3">
        <f>IFERROR(__xludf.DUMMYFUNCTION("""COMPUTED_VALUE"""),0.0)</f>
        <v>0</v>
      </c>
      <c r="K38" s="3">
        <f>IFERROR(__xludf.DUMMYFUNCTION("""COMPUTED_VALUE"""),0.0)</f>
        <v>0</v>
      </c>
      <c r="L38" s="3">
        <f>IFERROR(__xludf.DUMMYFUNCTION("""COMPUTED_VALUE"""),3.0)</f>
        <v>3</v>
      </c>
      <c r="M38" s="3">
        <f>IFERROR(__xludf.DUMMYFUNCTION("""COMPUTED_VALUE"""),1.0)</f>
        <v>1</v>
      </c>
      <c r="N38" s="3">
        <f>IFERROR(__xludf.DUMMYFUNCTION("""COMPUTED_VALUE"""),42.9)</f>
        <v>42.9</v>
      </c>
    </row>
    <row r="39">
      <c r="A39" s="2" t="s">
        <v>2</v>
      </c>
      <c r="B39" s="3">
        <f>IFERROR(__xludf.DUMMYFUNCTION("""COMPUTED_VALUE"""),2011.0)</f>
        <v>2011</v>
      </c>
      <c r="C39" s="3">
        <f>IFERROR(__xludf.DUMMYFUNCTION("""COMPUTED_VALUE"""),4.0)</f>
        <v>4</v>
      </c>
      <c r="D39" s="3">
        <f>IFERROR(__xludf.DUMMYFUNCTION("""COMPUTED_VALUE"""),61.0)</f>
        <v>61</v>
      </c>
      <c r="E39" s="3">
        <f>IFERROR(__xludf.DUMMYFUNCTION("""COMPUTED_VALUE"""),52.0)</f>
        <v>52</v>
      </c>
      <c r="F39" s="3">
        <f>IFERROR(__xludf.DUMMYFUNCTION("""COMPUTED_VALUE"""),4.0)</f>
        <v>4</v>
      </c>
      <c r="G39" s="3">
        <f>IFERROR(__xludf.DUMMYFUNCTION("""COMPUTED_VALUE"""),15.2)</f>
        <v>15.2</v>
      </c>
      <c r="H39" s="3">
        <f>IFERROR(__xludf.DUMMYFUNCTION("""COMPUTED_VALUE"""),117.3)</f>
        <v>117.3</v>
      </c>
      <c r="I39" s="3">
        <f>IFERROR(__xludf.DUMMYFUNCTION("""COMPUTED_VALUE"""),28.0)</f>
        <v>28</v>
      </c>
      <c r="J39" s="3">
        <f>IFERROR(__xludf.DUMMYFUNCTION("""COMPUTED_VALUE"""),0.0)</f>
        <v>0</v>
      </c>
      <c r="K39" s="3">
        <f>IFERROR(__xludf.DUMMYFUNCTION("""COMPUTED_VALUE"""),0.0)</f>
        <v>0</v>
      </c>
      <c r="L39" s="3">
        <f>IFERROR(__xludf.DUMMYFUNCTION("""COMPUTED_VALUE"""),10.0)</f>
        <v>10</v>
      </c>
      <c r="M39" s="3">
        <f>IFERROR(__xludf.DUMMYFUNCTION("""COMPUTED_VALUE"""),0.0)</f>
        <v>0</v>
      </c>
      <c r="N39" s="3">
        <f>IFERROR(__xludf.DUMMYFUNCTION("""COMPUTED_VALUE"""),42.3)</f>
        <v>42.3</v>
      </c>
    </row>
    <row r="40">
      <c r="A40" s="2" t="s">
        <v>2</v>
      </c>
      <c r="B40" s="3">
        <f>IFERROR(__xludf.DUMMYFUNCTION("""COMPUTED_VALUE"""),2012.0)</f>
        <v>2012</v>
      </c>
      <c r="C40" s="3">
        <f>IFERROR(__xludf.DUMMYFUNCTION("""COMPUTED_VALUE"""),13.0)</f>
        <v>13</v>
      </c>
      <c r="D40" s="3">
        <f>IFERROR(__xludf.DUMMYFUNCTION("""COMPUTED_VALUE"""),471.0)</f>
        <v>471</v>
      </c>
      <c r="E40" s="3">
        <f>IFERROR(__xludf.DUMMYFUNCTION("""COMPUTED_VALUE"""),355.0)</f>
        <v>355</v>
      </c>
      <c r="F40" s="3">
        <f>IFERROR(__xludf.DUMMYFUNCTION("""COMPUTED_VALUE"""),12.0)</f>
        <v>12</v>
      </c>
      <c r="G40" s="3">
        <f>IFERROR(__xludf.DUMMYFUNCTION("""COMPUTED_VALUE"""),39.2)</f>
        <v>39.2</v>
      </c>
      <c r="H40" s="3">
        <f>IFERROR(__xludf.DUMMYFUNCTION("""COMPUTED_VALUE"""),132.7)</f>
        <v>132.7</v>
      </c>
      <c r="I40" s="3">
        <f>IFERROR(__xludf.DUMMYFUNCTION("""COMPUTED_VALUE"""),78.0)</f>
        <v>78</v>
      </c>
      <c r="J40" s="3">
        <f>IFERROR(__xludf.DUMMYFUNCTION("""COMPUTED_VALUE"""),4.0)</f>
        <v>4</v>
      </c>
      <c r="K40" s="3">
        <f>IFERROR(__xludf.DUMMYFUNCTION("""COMPUTED_VALUE"""),0.0)</f>
        <v>0</v>
      </c>
      <c r="L40" s="3">
        <f>IFERROR(__xludf.DUMMYFUNCTION("""COMPUTED_VALUE"""),57.0)</f>
        <v>57</v>
      </c>
      <c r="M40" s="3">
        <f>IFERROR(__xludf.DUMMYFUNCTION("""COMPUTED_VALUE"""),7.0)</f>
        <v>7</v>
      </c>
      <c r="N40" s="3">
        <f>IFERROR(__xludf.DUMMYFUNCTION("""COMPUTED_VALUE"""),30.7)</f>
        <v>30.7</v>
      </c>
    </row>
    <row r="41">
      <c r="A41" s="2" t="s">
        <v>2</v>
      </c>
      <c r="B41" s="3">
        <f>IFERROR(__xludf.DUMMYFUNCTION("""COMPUTED_VALUE"""),2013.0)</f>
        <v>2013</v>
      </c>
      <c r="C41" s="3">
        <f>IFERROR(__xludf.DUMMYFUNCTION("""COMPUTED_VALUE"""),1.0)</f>
        <v>1</v>
      </c>
      <c r="D41" s="3">
        <f>IFERROR(__xludf.DUMMYFUNCTION("""COMPUTED_VALUE"""),29.0)</f>
        <v>29</v>
      </c>
      <c r="E41" s="3">
        <f>IFERROR(__xludf.DUMMYFUNCTION("""COMPUTED_VALUE"""),22.0)</f>
        <v>22</v>
      </c>
      <c r="F41" s="3">
        <f>IFERROR(__xludf.DUMMYFUNCTION("""COMPUTED_VALUE"""),1.0)</f>
        <v>1</v>
      </c>
      <c r="G41" s="3">
        <f>IFERROR(__xludf.DUMMYFUNCTION("""COMPUTED_VALUE"""),29.0)</f>
        <v>29</v>
      </c>
      <c r="H41" s="3">
        <f>IFERROR(__xludf.DUMMYFUNCTION("""COMPUTED_VALUE"""),131.8)</f>
        <v>131.8</v>
      </c>
      <c r="I41" s="3">
        <f>IFERROR(__xludf.DUMMYFUNCTION("""COMPUTED_VALUE"""),29.0)</f>
        <v>29</v>
      </c>
      <c r="J41" s="3">
        <f>IFERROR(__xludf.DUMMYFUNCTION("""COMPUTED_VALUE"""),0.0)</f>
        <v>0</v>
      </c>
      <c r="K41" s="3">
        <f>IFERROR(__xludf.DUMMYFUNCTION("""COMPUTED_VALUE"""),0.0)</f>
        <v>0</v>
      </c>
      <c r="L41" s="3">
        <f>IFERROR(__xludf.DUMMYFUNCTION("""COMPUTED_VALUE"""),2.0)</f>
        <v>2</v>
      </c>
      <c r="M41" s="3">
        <f>IFERROR(__xludf.DUMMYFUNCTION("""COMPUTED_VALUE"""),1.0)</f>
        <v>1</v>
      </c>
      <c r="N41" s="3">
        <f>IFERROR(__xludf.DUMMYFUNCTION("""COMPUTED_VALUE"""),31.8)</f>
        <v>31.8</v>
      </c>
    </row>
    <row r="42">
      <c r="A42" s="2" t="s">
        <v>2</v>
      </c>
      <c r="B42" s="3">
        <f>IFERROR(__xludf.DUMMYFUNCTION("""COMPUTED_VALUE"""),2014.0)</f>
        <v>2014</v>
      </c>
      <c r="C42" s="3">
        <f>IFERROR(__xludf.DUMMYFUNCTION("""COMPUTED_VALUE"""),7.0)</f>
        <v>7</v>
      </c>
      <c r="D42" s="3">
        <f>IFERROR(__xludf.DUMMYFUNCTION("""COMPUTED_VALUE"""),385.0)</f>
        <v>385</v>
      </c>
      <c r="E42" s="3">
        <f>IFERROR(__xludf.DUMMYFUNCTION("""COMPUTED_VALUE"""),288.0)</f>
        <v>288</v>
      </c>
      <c r="F42" s="3">
        <f>IFERROR(__xludf.DUMMYFUNCTION("""COMPUTED_VALUE"""),4.0)</f>
        <v>4</v>
      </c>
      <c r="G42" s="3">
        <f>IFERROR(__xludf.DUMMYFUNCTION("""COMPUTED_VALUE"""),96.2)</f>
        <v>96.2</v>
      </c>
      <c r="H42" s="3">
        <f>IFERROR(__xludf.DUMMYFUNCTION("""COMPUTED_VALUE"""),133.7)</f>
        <v>133.7</v>
      </c>
      <c r="I42" s="3">
        <f>IFERROR(__xludf.DUMMYFUNCTION("""COMPUTED_VALUE"""),77.0)</f>
        <v>77</v>
      </c>
      <c r="J42" s="3">
        <f>IFERROR(__xludf.DUMMYFUNCTION("""COMPUTED_VALUE"""),5.0)</f>
        <v>5</v>
      </c>
      <c r="K42" s="3">
        <f>IFERROR(__xludf.DUMMYFUNCTION("""COMPUTED_VALUE"""),0.0)</f>
        <v>0</v>
      </c>
      <c r="L42" s="3">
        <f>IFERROR(__xludf.DUMMYFUNCTION("""COMPUTED_VALUE"""),33.0)</f>
        <v>33</v>
      </c>
      <c r="M42" s="3">
        <f>IFERROR(__xludf.DUMMYFUNCTION("""COMPUTED_VALUE"""),11.0)</f>
        <v>11</v>
      </c>
      <c r="N42" s="3">
        <f>IFERROR(__xludf.DUMMYFUNCTION("""COMPUTED_VALUE"""),26.7)</f>
        <v>26.7</v>
      </c>
    </row>
    <row r="43">
      <c r="A43" s="2" t="s">
        <v>2</v>
      </c>
      <c r="B43" s="3">
        <f>IFERROR(__xludf.DUMMYFUNCTION("""COMPUTED_VALUE"""),2015.0)</f>
        <v>2015</v>
      </c>
      <c r="C43" s="3">
        <f>IFERROR(__xludf.DUMMYFUNCTION("""COMPUTED_VALUE"""),2.0)</f>
        <v>2</v>
      </c>
      <c r="D43" s="3">
        <f>IFERROR(__xludf.DUMMYFUNCTION("""COMPUTED_VALUE"""),44.0)</f>
        <v>44</v>
      </c>
      <c r="E43" s="3">
        <f>IFERROR(__xludf.DUMMYFUNCTION("""COMPUTED_VALUE"""),28.0)</f>
        <v>28</v>
      </c>
      <c r="F43" s="3">
        <f>IFERROR(__xludf.DUMMYFUNCTION("""COMPUTED_VALUE"""),2.0)</f>
        <v>2</v>
      </c>
      <c r="G43" s="3">
        <f>IFERROR(__xludf.DUMMYFUNCTION("""COMPUTED_VALUE"""),22.0)</f>
        <v>22</v>
      </c>
      <c r="H43" s="3">
        <f>IFERROR(__xludf.DUMMYFUNCTION("""COMPUTED_VALUE"""),157.1)</f>
        <v>157.1</v>
      </c>
      <c r="I43" s="3">
        <f>IFERROR(__xludf.DUMMYFUNCTION("""COMPUTED_VALUE"""),43.0)</f>
        <v>43</v>
      </c>
      <c r="J43" s="3">
        <f>IFERROR(__xludf.DUMMYFUNCTION("""COMPUTED_VALUE"""),0.0)</f>
        <v>0</v>
      </c>
      <c r="K43" s="3">
        <f>IFERROR(__xludf.DUMMYFUNCTION("""COMPUTED_VALUE"""),0.0)</f>
        <v>0</v>
      </c>
      <c r="L43" s="3">
        <f>IFERROR(__xludf.DUMMYFUNCTION("""COMPUTED_VALUE"""),1.0)</f>
        <v>1</v>
      </c>
      <c r="M43" s="3">
        <f>IFERROR(__xludf.DUMMYFUNCTION("""COMPUTED_VALUE"""),3.0)</f>
        <v>3</v>
      </c>
      <c r="N43" s="3">
        <f>IFERROR(__xludf.DUMMYFUNCTION("""COMPUTED_VALUE"""),7.1)</f>
        <v>7.1</v>
      </c>
    </row>
    <row r="44">
      <c r="A44" s="2" t="s">
        <v>2</v>
      </c>
      <c r="B44" s="3">
        <f>IFERROR(__xludf.DUMMYFUNCTION("""COMPUTED_VALUE"""),2016.0)</f>
        <v>2016</v>
      </c>
      <c r="C44" s="3">
        <f>IFERROR(__xludf.DUMMYFUNCTION("""COMPUTED_VALUE"""),13.0)</f>
        <v>13</v>
      </c>
      <c r="D44" s="3">
        <f>IFERROR(__xludf.DUMMYFUNCTION("""COMPUTED_VALUE"""),641.0)</f>
        <v>641</v>
      </c>
      <c r="E44" s="3">
        <f>IFERROR(__xludf.DUMMYFUNCTION("""COMPUTED_VALUE"""),457.0)</f>
        <v>457</v>
      </c>
      <c r="F44" s="3">
        <f>IFERROR(__xludf.DUMMYFUNCTION("""COMPUTED_VALUE"""),6.0)</f>
        <v>6</v>
      </c>
      <c r="G44" s="3">
        <f>IFERROR(__xludf.DUMMYFUNCTION("""COMPUTED_VALUE"""),106.8)</f>
        <v>106.8</v>
      </c>
      <c r="H44" s="3">
        <f>IFERROR(__xludf.DUMMYFUNCTION("""COMPUTED_VALUE"""),140.3)</f>
        <v>140.3</v>
      </c>
      <c r="I44" s="3">
        <f>IFERROR(__xludf.DUMMYFUNCTION("""COMPUTED_VALUE"""),90.0)</f>
        <v>90</v>
      </c>
      <c r="J44" s="3">
        <f>IFERROR(__xludf.DUMMYFUNCTION("""COMPUTED_VALUE"""),7.0)</f>
        <v>7</v>
      </c>
      <c r="K44" s="3">
        <f>IFERROR(__xludf.DUMMYFUNCTION("""COMPUTED_VALUE"""),0.0)</f>
        <v>0</v>
      </c>
      <c r="L44" s="3">
        <f>IFERROR(__xludf.DUMMYFUNCTION("""COMPUTED_VALUE"""),70.0)</f>
        <v>70</v>
      </c>
      <c r="M44" s="3">
        <f>IFERROR(__xludf.DUMMYFUNCTION("""COMPUTED_VALUE"""),9.0)</f>
        <v>9</v>
      </c>
      <c r="N44" s="3">
        <f>IFERROR(__xludf.DUMMYFUNCTION("""COMPUTED_VALUE"""),29.1)</f>
        <v>29.1</v>
      </c>
    </row>
    <row r="45">
      <c r="A45" s="2" t="s">
        <v>2</v>
      </c>
      <c r="B45" s="3">
        <f>IFERROR(__xludf.DUMMYFUNCTION("""COMPUTED_VALUE"""),2017.0)</f>
        <v>2017</v>
      </c>
      <c r="C45" s="3">
        <f>IFERROR(__xludf.DUMMYFUNCTION("""COMPUTED_VALUE"""),10.0)</f>
        <v>10</v>
      </c>
      <c r="D45" s="3">
        <f>IFERROR(__xludf.DUMMYFUNCTION("""COMPUTED_VALUE"""),299.0)</f>
        <v>299</v>
      </c>
      <c r="E45" s="3">
        <f>IFERROR(__xludf.DUMMYFUNCTION("""COMPUTED_VALUE"""),196.0)</f>
        <v>196</v>
      </c>
      <c r="F45" s="3">
        <f>IFERROR(__xludf.DUMMYFUNCTION("""COMPUTED_VALUE"""),8.0)</f>
        <v>8</v>
      </c>
      <c r="G45" s="3">
        <f>IFERROR(__xludf.DUMMYFUNCTION("""COMPUTED_VALUE"""),37.4)</f>
        <v>37.4</v>
      </c>
      <c r="H45" s="3">
        <f>IFERROR(__xludf.DUMMYFUNCTION("""COMPUTED_VALUE"""),152.6)</f>
        <v>152.6</v>
      </c>
      <c r="I45" s="3">
        <f>IFERROR(__xludf.DUMMYFUNCTION("""COMPUTED_VALUE"""),82.0)</f>
        <v>82</v>
      </c>
      <c r="J45" s="3">
        <f>IFERROR(__xludf.DUMMYFUNCTION("""COMPUTED_VALUE"""),2.0)</f>
        <v>2</v>
      </c>
      <c r="K45" s="3">
        <f>IFERROR(__xludf.DUMMYFUNCTION("""COMPUTED_VALUE"""),0.0)</f>
        <v>0</v>
      </c>
      <c r="L45" s="3">
        <f>IFERROR(__xludf.DUMMYFUNCTION("""COMPUTED_VALUE"""),32.0)</f>
        <v>32</v>
      </c>
      <c r="M45" s="3">
        <f>IFERROR(__xludf.DUMMYFUNCTION("""COMPUTED_VALUE"""),8.0)</f>
        <v>8</v>
      </c>
      <c r="N45" s="3">
        <f>IFERROR(__xludf.DUMMYFUNCTION("""COMPUTED_VALUE"""),24.5)</f>
        <v>24.5</v>
      </c>
    </row>
    <row r="46">
      <c r="A46" s="2" t="s">
        <v>2</v>
      </c>
      <c r="B46" s="3">
        <f>IFERROR(__xludf.DUMMYFUNCTION("""COMPUTED_VALUE"""),2018.0)</f>
        <v>2018</v>
      </c>
      <c r="C46" s="3">
        <f>IFERROR(__xludf.DUMMYFUNCTION("""COMPUTED_VALUE"""),9.0)</f>
        <v>9</v>
      </c>
      <c r="D46" s="3">
        <f>IFERROR(__xludf.DUMMYFUNCTION("""COMPUTED_VALUE"""),211.0)</f>
        <v>211</v>
      </c>
      <c r="E46" s="3">
        <f>IFERROR(__xludf.DUMMYFUNCTION("""COMPUTED_VALUE"""),173.0)</f>
        <v>173</v>
      </c>
      <c r="F46" s="3">
        <f>IFERROR(__xludf.DUMMYFUNCTION("""COMPUTED_VALUE"""),7.0)</f>
        <v>7</v>
      </c>
      <c r="G46" s="3">
        <f>IFERROR(__xludf.DUMMYFUNCTION("""COMPUTED_VALUE"""),30.1)</f>
        <v>30.1</v>
      </c>
      <c r="H46" s="3">
        <f>IFERROR(__xludf.DUMMYFUNCTION("""COMPUTED_VALUE"""),122.0)</f>
        <v>122</v>
      </c>
      <c r="I46" s="3">
        <f>IFERROR(__xludf.DUMMYFUNCTION("""COMPUTED_VALUE"""),61.0)</f>
        <v>61</v>
      </c>
      <c r="J46" s="3">
        <f>IFERROR(__xludf.DUMMYFUNCTION("""COMPUTED_VALUE"""),1.0)</f>
        <v>1</v>
      </c>
      <c r="K46" s="3">
        <f>IFERROR(__xludf.DUMMYFUNCTION("""COMPUTED_VALUE"""),0.0)</f>
        <v>0</v>
      </c>
      <c r="L46" s="3">
        <f>IFERROR(__xludf.DUMMYFUNCTION("""COMPUTED_VALUE"""),10.0)</f>
        <v>10</v>
      </c>
      <c r="M46" s="3">
        <f>IFERROR(__xludf.DUMMYFUNCTION("""COMPUTED_VALUE"""),8.0)</f>
        <v>8</v>
      </c>
      <c r="N46" s="3">
        <f>IFERROR(__xludf.DUMMYFUNCTION("""COMPUTED_VALUE"""),33.5)</f>
        <v>33.5</v>
      </c>
    </row>
    <row r="47">
      <c r="A47" s="2" t="s">
        <v>2</v>
      </c>
      <c r="B47" s="3">
        <f>IFERROR(__xludf.DUMMYFUNCTION("""COMPUTED_VALUE"""),2019.0)</f>
        <v>2019</v>
      </c>
      <c r="C47" s="3">
        <f>IFERROR(__xludf.DUMMYFUNCTION("""COMPUTED_VALUE"""),10.0)</f>
        <v>10</v>
      </c>
      <c r="D47" s="3">
        <f>IFERROR(__xludf.DUMMYFUNCTION("""COMPUTED_VALUE"""),466.0)</f>
        <v>466</v>
      </c>
      <c r="E47" s="3">
        <f>IFERROR(__xludf.DUMMYFUNCTION("""COMPUTED_VALUE"""),315.0)</f>
        <v>315</v>
      </c>
      <c r="F47" s="3">
        <f>IFERROR(__xludf.DUMMYFUNCTION("""COMPUTED_VALUE"""),6.0)</f>
        <v>6</v>
      </c>
      <c r="G47" s="3">
        <f>IFERROR(__xludf.DUMMYFUNCTION("""COMPUTED_VALUE"""),77.7)</f>
        <v>77.7</v>
      </c>
      <c r="H47" s="3">
        <f>IFERROR(__xludf.DUMMYFUNCTION("""COMPUTED_VALUE"""),147.9)</f>
        <v>147.9</v>
      </c>
      <c r="I47" s="3">
        <f>IFERROR(__xludf.DUMMYFUNCTION("""COMPUTED_VALUE"""),94.0)</f>
        <v>94</v>
      </c>
      <c r="J47" s="3">
        <f>IFERROR(__xludf.DUMMYFUNCTION("""COMPUTED_VALUE"""),5.0)</f>
        <v>5</v>
      </c>
      <c r="K47" s="3">
        <f>IFERROR(__xludf.DUMMYFUNCTION("""COMPUTED_VALUE"""),0.0)</f>
        <v>0</v>
      </c>
      <c r="L47" s="3">
        <f>IFERROR(__xludf.DUMMYFUNCTION("""COMPUTED_VALUE"""),29.0)</f>
        <v>29</v>
      </c>
      <c r="M47" s="3">
        <f>IFERROR(__xludf.DUMMYFUNCTION("""COMPUTED_VALUE"""),23.0)</f>
        <v>23</v>
      </c>
      <c r="N47" s="3">
        <f>IFERROR(__xludf.DUMMYFUNCTION("""COMPUTED_VALUE"""),24.4)</f>
        <v>24.4</v>
      </c>
    </row>
    <row r="48">
      <c r="A48" s="2" t="s">
        <v>2</v>
      </c>
      <c r="B48" s="3">
        <f>IFERROR(__xludf.DUMMYFUNCTION("""COMPUTED_VALUE"""),2020.0)</f>
        <v>2020</v>
      </c>
      <c r="C48" s="3">
        <f>IFERROR(__xludf.DUMMYFUNCTION("""COMPUTED_VALUE"""),9.0)</f>
        <v>9</v>
      </c>
      <c r="D48" s="3">
        <f>IFERROR(__xludf.DUMMYFUNCTION("""COMPUTED_VALUE"""),295.0)</f>
        <v>295</v>
      </c>
      <c r="E48" s="3">
        <f>IFERROR(__xludf.DUMMYFUNCTION("""COMPUTED_VALUE"""),208.0)</f>
        <v>208</v>
      </c>
      <c r="F48" s="3">
        <f>IFERROR(__xludf.DUMMYFUNCTION("""COMPUTED_VALUE"""),8.0)</f>
        <v>8</v>
      </c>
      <c r="G48" s="3">
        <f>IFERROR(__xludf.DUMMYFUNCTION("""COMPUTED_VALUE"""),36.9)</f>
        <v>36.9</v>
      </c>
      <c r="H48" s="3">
        <f>IFERROR(__xludf.DUMMYFUNCTION("""COMPUTED_VALUE"""),141.8)</f>
        <v>141.8</v>
      </c>
      <c r="I48" s="3">
        <f>IFERROR(__xludf.DUMMYFUNCTION("""COMPUTED_VALUE"""),85.0)</f>
        <v>85</v>
      </c>
      <c r="J48" s="3">
        <f>IFERROR(__xludf.DUMMYFUNCTION("""COMPUTED_VALUE"""),1.0)</f>
        <v>1</v>
      </c>
      <c r="K48" s="3">
        <f>IFERROR(__xludf.DUMMYFUNCTION("""COMPUTED_VALUE"""),0.0)</f>
        <v>0</v>
      </c>
      <c r="L48" s="3">
        <f>IFERROR(__xludf.DUMMYFUNCTION("""COMPUTED_VALUE"""),18.0)</f>
        <v>18</v>
      </c>
      <c r="M48" s="3">
        <f>IFERROR(__xludf.DUMMYFUNCTION("""COMPUTED_VALUE"""),10.0)</f>
        <v>10</v>
      </c>
      <c r="N48" s="3">
        <f>IFERROR(__xludf.DUMMYFUNCTION("""COMPUTED_VALUE"""),20.7)</f>
        <v>20.7</v>
      </c>
    </row>
    <row r="49">
      <c r="A49" s="2" t="s">
        <v>2</v>
      </c>
      <c r="B49" s="3">
        <f>IFERROR(__xludf.DUMMYFUNCTION("""COMPUTED_VALUE"""),2021.0)</f>
        <v>2021</v>
      </c>
      <c r="C49" s="3">
        <f>IFERROR(__xludf.DUMMYFUNCTION("""COMPUTED_VALUE"""),8.0)</f>
        <v>8</v>
      </c>
      <c r="D49" s="3">
        <f>IFERROR(__xludf.DUMMYFUNCTION("""COMPUTED_VALUE"""),299.0)</f>
        <v>299</v>
      </c>
      <c r="E49" s="3">
        <f>IFERROR(__xludf.DUMMYFUNCTION("""COMPUTED_VALUE"""),225.0)</f>
        <v>225</v>
      </c>
      <c r="F49" s="3">
        <f>IFERROR(__xludf.DUMMYFUNCTION("""COMPUTED_VALUE"""),4.0)</f>
        <v>4</v>
      </c>
      <c r="G49" s="3">
        <f>IFERROR(__xludf.DUMMYFUNCTION("""COMPUTED_VALUE"""),74.8)</f>
        <v>74.8</v>
      </c>
      <c r="H49" s="3">
        <f>IFERROR(__xludf.DUMMYFUNCTION("""COMPUTED_VALUE"""),132.9)</f>
        <v>132.9</v>
      </c>
      <c r="I49" s="3">
        <f>IFERROR(__xludf.DUMMYFUNCTION("""COMPUTED_VALUE"""),80.0)</f>
        <v>80</v>
      </c>
      <c r="J49" s="3">
        <f>IFERROR(__xludf.DUMMYFUNCTION("""COMPUTED_VALUE"""),4.0)</f>
        <v>4</v>
      </c>
      <c r="K49" s="3">
        <f>IFERROR(__xludf.DUMMYFUNCTION("""COMPUTED_VALUE"""),0.0)</f>
        <v>0</v>
      </c>
      <c r="L49" s="3">
        <f>IFERROR(__xludf.DUMMYFUNCTION("""COMPUTED_VALUE"""),25.0)</f>
        <v>25</v>
      </c>
      <c r="M49" s="3">
        <f>IFERROR(__xludf.DUMMYFUNCTION("""COMPUTED_VALUE"""),10.0)</f>
        <v>10</v>
      </c>
      <c r="N49" s="3">
        <f>IFERROR(__xludf.DUMMYFUNCTION("""COMPUTED_VALUE"""),30.2)</f>
        <v>30.2</v>
      </c>
    </row>
    <row r="50">
      <c r="A50" s="2" t="s">
        <v>2</v>
      </c>
      <c r="B50" s="3">
        <f>IFERROR(__xludf.DUMMYFUNCTION("""COMPUTED_VALUE"""),2022.0)</f>
        <v>2022</v>
      </c>
      <c r="C50" s="3">
        <f>IFERROR(__xludf.DUMMYFUNCTION("""COMPUTED_VALUE"""),20.0)</f>
        <v>20</v>
      </c>
      <c r="D50" s="3">
        <f>IFERROR(__xludf.DUMMYFUNCTION("""COMPUTED_VALUE"""),781.0)</f>
        <v>781</v>
      </c>
      <c r="E50" s="3">
        <f>IFERROR(__xludf.DUMMYFUNCTION("""COMPUTED_VALUE"""),565.0)</f>
        <v>565</v>
      </c>
      <c r="F50" s="3">
        <f>IFERROR(__xludf.DUMMYFUNCTION("""COMPUTED_VALUE"""),14.0)</f>
        <v>14</v>
      </c>
      <c r="G50" s="3">
        <f>IFERROR(__xludf.DUMMYFUNCTION("""COMPUTED_VALUE"""),55.8)</f>
        <v>55.8</v>
      </c>
      <c r="H50" s="3">
        <f>IFERROR(__xludf.DUMMYFUNCTION("""COMPUTED_VALUE"""),138.2)</f>
        <v>138.2</v>
      </c>
      <c r="I50" s="3">
        <f>IFERROR(__xludf.DUMMYFUNCTION("""COMPUTED_VALUE"""),122.0)</f>
        <v>122</v>
      </c>
      <c r="J50" s="3">
        <f>IFERROR(__xludf.DUMMYFUNCTION("""COMPUTED_VALUE"""),8.0)</f>
        <v>8</v>
      </c>
      <c r="K50" s="3">
        <f>IFERROR(__xludf.DUMMYFUNCTION("""COMPUTED_VALUE"""),1.0)</f>
        <v>1</v>
      </c>
      <c r="L50" s="3">
        <f>IFERROR(__xludf.DUMMYFUNCTION("""COMPUTED_VALUE"""),66.0)</f>
        <v>66</v>
      </c>
      <c r="M50" s="3">
        <f>IFERROR(__xludf.DUMMYFUNCTION("""COMPUTED_VALUE"""),26.0)</f>
        <v>26</v>
      </c>
      <c r="N50" s="3">
        <f>IFERROR(__xludf.DUMMYFUNCTION("""COMPUTED_VALUE"""),29.0)</f>
        <v>29</v>
      </c>
    </row>
    <row r="51">
      <c r="A51" s="2" t="s">
        <v>2</v>
      </c>
      <c r="B51" s="3">
        <f>IFERROR(__xludf.DUMMYFUNCTION("""COMPUTED_VALUE"""),2024.0)</f>
        <v>2024</v>
      </c>
      <c r="C51" s="3">
        <f>IFERROR(__xludf.DUMMYFUNCTION("""COMPUTED_VALUE"""),10.0)</f>
        <v>10</v>
      </c>
      <c r="D51" s="3">
        <f>IFERROR(__xludf.DUMMYFUNCTION("""COMPUTED_VALUE"""),180.0)</f>
        <v>180</v>
      </c>
      <c r="E51" s="3">
        <f>IFERROR(__xludf.DUMMYFUNCTION("""COMPUTED_VALUE"""),151.0)</f>
        <v>151</v>
      </c>
      <c r="F51" s="3">
        <f>IFERROR(__xludf.DUMMYFUNCTION("""COMPUTED_VALUE"""),10.0)</f>
        <v>10</v>
      </c>
      <c r="G51" s="3">
        <f>IFERROR(__xludf.DUMMYFUNCTION("""COMPUTED_VALUE"""),18.0)</f>
        <v>18</v>
      </c>
      <c r="H51" s="3">
        <f>IFERROR(__xludf.DUMMYFUNCTION("""COMPUTED_VALUE"""),119.2)</f>
        <v>119.2</v>
      </c>
      <c r="I51" s="3">
        <f>IFERROR(__xludf.DUMMYFUNCTION("""COMPUTED_VALUE"""),76.0)</f>
        <v>76</v>
      </c>
      <c r="J51" s="3">
        <f>IFERROR(__xludf.DUMMYFUNCTION("""COMPUTED_VALUE"""),1.0)</f>
        <v>1</v>
      </c>
      <c r="K51" s="3">
        <f>IFERROR(__xludf.DUMMYFUNCTION("""COMPUTED_VALUE"""),0.0)</f>
        <v>0</v>
      </c>
      <c r="L51" s="3">
        <f>IFERROR(__xludf.DUMMYFUNCTION("""COMPUTED_VALUE"""),13.0)</f>
        <v>13</v>
      </c>
      <c r="M51" s="3">
        <f>IFERROR(__xludf.DUMMYFUNCTION("""COMPUTED_VALUE"""),7.0)</f>
        <v>7</v>
      </c>
      <c r="N51" s="3">
        <f>IFERROR(__xludf.DUMMYFUNCTION("""COMPUTED_VALUE"""),39.7)</f>
        <v>39.7</v>
      </c>
    </row>
    <row r="52">
      <c r="A52" s="1"/>
      <c r="B52" s="1" t="str">
        <f>IFERROR(__xludf.DUMMYFUNCTION("""COMPUTED_VALUE"""),"Total")</f>
        <v>Total</v>
      </c>
      <c r="C52" s="1">
        <f>IFERROR(__xludf.DUMMYFUNCTION("""COMPUTED_VALUE"""),117.0)</f>
        <v>117</v>
      </c>
      <c r="D52" s="5">
        <f>IFERROR(__xludf.DUMMYFUNCTION("""COMPUTED_VALUE"""),4188.0)</f>
        <v>4188</v>
      </c>
      <c r="E52" s="5">
        <f>IFERROR(__xludf.DUMMYFUNCTION("""COMPUTED_VALUE"""),3056.0)</f>
        <v>3056</v>
      </c>
      <c r="F52" s="1">
        <f>IFERROR(__xludf.DUMMYFUNCTION("""COMPUTED_VALUE"""),86.0)</f>
        <v>86</v>
      </c>
      <c r="G52" s="1">
        <f>IFERROR(__xludf.DUMMYFUNCTION("""COMPUTED_VALUE"""),48.7)</f>
        <v>48.7</v>
      </c>
      <c r="H52" s="1">
        <f>IFERROR(__xludf.DUMMYFUNCTION("""COMPUTED_VALUE"""),137.0)</f>
        <v>137</v>
      </c>
      <c r="I52" s="1">
        <f>IFERROR(__xludf.DUMMYFUNCTION("""COMPUTED_VALUE"""),122.0)</f>
        <v>122</v>
      </c>
      <c r="J52" s="1">
        <f>IFERROR(__xludf.DUMMYFUNCTION("""COMPUTED_VALUE"""),38.0)</f>
        <v>38</v>
      </c>
      <c r="K52" s="1">
        <f>IFERROR(__xludf.DUMMYFUNCTION("""COMPUTED_VALUE"""),1.0)</f>
        <v>1</v>
      </c>
      <c r="L52" s="1">
        <f>IFERROR(__xludf.DUMMYFUNCTION("""COMPUTED_VALUE"""),369.0)</f>
        <v>369</v>
      </c>
      <c r="M52" s="1">
        <f>IFERROR(__xludf.DUMMYFUNCTION("""COMPUTED_VALUE"""),124.0)</f>
        <v>124</v>
      </c>
      <c r="N52" s="1">
        <f>IFERROR(__xludf.DUMMYFUNCTION("""COMPUTED_VALUE"""),28.7)</f>
        <v>28.7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</v>
      </c>
      <c r="B1" s="8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>
        <v>50.0</v>
      </c>
      <c r="K1" s="7">
        <v>100.0</v>
      </c>
      <c r="L1" s="7" t="s">
        <v>12</v>
      </c>
      <c r="M1" s="7" t="s">
        <v>13</v>
      </c>
      <c r="N1" s="7" t="s">
        <v>14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>
        <v>2011.0</v>
      </c>
      <c r="B2" s="9" t="s">
        <v>0</v>
      </c>
      <c r="C2" s="10">
        <v>9.0</v>
      </c>
      <c r="D2" s="10">
        <v>202.0</v>
      </c>
      <c r="E2" s="10">
        <v>473.0</v>
      </c>
      <c r="F2" s="10">
        <v>9.0</v>
      </c>
      <c r="G2" s="10">
        <v>22.4</v>
      </c>
      <c r="H2" s="10">
        <v>42.7</v>
      </c>
      <c r="I2" s="10">
        <v>63.0</v>
      </c>
      <c r="J2" s="10">
        <v>2.0</v>
      </c>
      <c r="K2" s="10">
        <v>0.0</v>
      </c>
      <c r="L2" s="10">
        <v>15.0</v>
      </c>
      <c r="M2" s="10">
        <v>2.0</v>
      </c>
      <c r="N2" s="10">
        <v>72.1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0">
        <v>2012.0</v>
      </c>
      <c r="B3" s="9" t="s">
        <v>0</v>
      </c>
      <c r="C3" s="10">
        <v>16.0</v>
      </c>
      <c r="D3" s="10">
        <v>689.0</v>
      </c>
      <c r="E3" s="11">
        <v>1474.0</v>
      </c>
      <c r="F3" s="10">
        <v>14.0</v>
      </c>
      <c r="G3" s="10">
        <v>49.2</v>
      </c>
      <c r="H3" s="10">
        <v>46.7</v>
      </c>
      <c r="I3" s="10">
        <v>116.0</v>
      </c>
      <c r="J3" s="10">
        <v>3.0</v>
      </c>
      <c r="K3" s="10">
        <v>3.0</v>
      </c>
      <c r="L3" s="10">
        <v>89.0</v>
      </c>
      <c r="M3" s="10">
        <v>2.0</v>
      </c>
      <c r="N3" s="10">
        <v>77.9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0">
        <v>2013.0</v>
      </c>
      <c r="B4" s="9" t="s">
        <v>0</v>
      </c>
      <c r="C4" s="10">
        <v>12.0</v>
      </c>
      <c r="D4" s="10">
        <v>616.0</v>
      </c>
      <c r="E4" s="11">
        <v>1127.0</v>
      </c>
      <c r="F4" s="10">
        <v>11.0</v>
      </c>
      <c r="G4" s="10">
        <v>56.0</v>
      </c>
      <c r="H4" s="10">
        <v>54.7</v>
      </c>
      <c r="I4" s="10">
        <v>119.0</v>
      </c>
      <c r="J4" s="10">
        <v>3.0</v>
      </c>
      <c r="K4" s="10">
        <v>2.0</v>
      </c>
      <c r="L4" s="10">
        <v>73.0</v>
      </c>
      <c r="M4" s="10">
        <v>2.0</v>
      </c>
      <c r="N4" s="10">
        <v>70.9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0">
        <v>2014.0</v>
      </c>
      <c r="B5" s="9" t="s">
        <v>0</v>
      </c>
      <c r="C5" s="10">
        <v>20.0</v>
      </c>
      <c r="D5" s="10">
        <v>847.0</v>
      </c>
      <c r="E5" s="11">
        <v>1399.0</v>
      </c>
      <c r="F5" s="10">
        <v>19.0</v>
      </c>
      <c r="G5" s="10">
        <v>44.6</v>
      </c>
      <c r="H5" s="10">
        <v>60.5</v>
      </c>
      <c r="I5" s="10">
        <v>169.0</v>
      </c>
      <c r="J5" s="10">
        <v>2.0</v>
      </c>
      <c r="K5" s="10">
        <v>4.0</v>
      </c>
      <c r="L5" s="10">
        <v>101.0</v>
      </c>
      <c r="M5" s="10">
        <v>2.0</v>
      </c>
      <c r="N5" s="10">
        <v>69.4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0">
        <v>2015.0</v>
      </c>
      <c r="B6" s="9" t="s">
        <v>0</v>
      </c>
      <c r="C6" s="10">
        <v>15.0</v>
      </c>
      <c r="D6" s="10">
        <v>640.0</v>
      </c>
      <c r="E6" s="11">
        <v>1184.0</v>
      </c>
      <c r="F6" s="10">
        <v>15.0</v>
      </c>
      <c r="G6" s="10">
        <v>42.7</v>
      </c>
      <c r="H6" s="10">
        <v>54.1</v>
      </c>
      <c r="I6" s="10">
        <v>147.0</v>
      </c>
      <c r="J6" s="10">
        <v>2.0</v>
      </c>
      <c r="K6" s="10">
        <v>2.0</v>
      </c>
      <c r="L6" s="10">
        <v>74.0</v>
      </c>
      <c r="M6" s="10">
        <v>1.0</v>
      </c>
      <c r="N6" s="10">
        <v>72.0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0">
        <v>2016.0</v>
      </c>
      <c r="B7" s="9" t="s">
        <v>0</v>
      </c>
      <c r="C7" s="10">
        <v>18.0</v>
      </c>
      <c r="D7" s="11">
        <v>1215.0</v>
      </c>
      <c r="E7" s="11">
        <v>2011.0</v>
      </c>
      <c r="F7" s="10">
        <v>16.0</v>
      </c>
      <c r="G7" s="10">
        <v>75.9</v>
      </c>
      <c r="H7" s="10">
        <v>60.4</v>
      </c>
      <c r="I7" s="10">
        <v>235.0</v>
      </c>
      <c r="J7" s="10">
        <v>2.0</v>
      </c>
      <c r="K7" s="10">
        <v>4.0</v>
      </c>
      <c r="L7" s="10">
        <v>134.0</v>
      </c>
      <c r="M7" s="10">
        <v>2.0</v>
      </c>
      <c r="N7" s="10">
        <v>65.1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0">
        <v>2017.0</v>
      </c>
      <c r="B8" s="9" t="s">
        <v>0</v>
      </c>
      <c r="C8" s="10">
        <v>16.0</v>
      </c>
      <c r="D8" s="11">
        <v>1059.0</v>
      </c>
      <c r="E8" s="11">
        <v>1389.0</v>
      </c>
      <c r="F8" s="10">
        <v>14.0</v>
      </c>
      <c r="G8" s="10">
        <v>75.6</v>
      </c>
      <c r="H8" s="10">
        <v>76.2</v>
      </c>
      <c r="I8" s="10">
        <v>243.0</v>
      </c>
      <c r="J8" s="10">
        <v>1.0</v>
      </c>
      <c r="K8" s="10">
        <v>5.0</v>
      </c>
      <c r="L8" s="10">
        <v>98.0</v>
      </c>
      <c r="M8" s="10">
        <v>6.0</v>
      </c>
      <c r="N8" s="10">
        <v>54.2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0">
        <v>2018.0</v>
      </c>
      <c r="B9" s="9" t="s">
        <v>0</v>
      </c>
      <c r="C9" s="10">
        <v>24.0</v>
      </c>
      <c r="D9" s="11">
        <v>1307.0</v>
      </c>
      <c r="E9" s="11">
        <v>2414.0</v>
      </c>
      <c r="F9" s="10">
        <v>24.0</v>
      </c>
      <c r="G9" s="10">
        <v>54.5</v>
      </c>
      <c r="H9" s="10">
        <v>54.1</v>
      </c>
      <c r="I9" s="10">
        <v>153.0</v>
      </c>
      <c r="J9" s="10">
        <v>5.0</v>
      </c>
      <c r="K9" s="10">
        <v>5.0</v>
      </c>
      <c r="L9" s="10">
        <v>142.0</v>
      </c>
      <c r="M9" s="10">
        <v>2.0</v>
      </c>
      <c r="N9" s="10">
        <v>70.5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0">
        <v>2019.0</v>
      </c>
      <c r="B10" s="9" t="s">
        <v>0</v>
      </c>
      <c r="C10" s="10">
        <v>11.0</v>
      </c>
      <c r="D10" s="10">
        <v>608.0</v>
      </c>
      <c r="E10" s="10">
        <v>967.0</v>
      </c>
      <c r="F10" s="10">
        <v>9.0</v>
      </c>
      <c r="G10" s="10">
        <v>67.6</v>
      </c>
      <c r="H10" s="10">
        <v>62.9</v>
      </c>
      <c r="I10" s="10">
        <v>254.0</v>
      </c>
      <c r="J10" s="10">
        <v>2.0</v>
      </c>
      <c r="K10" s="10">
        <v>2.0</v>
      </c>
      <c r="L10" s="10">
        <v>78.0</v>
      </c>
      <c r="M10" s="10">
        <v>3.0</v>
      </c>
      <c r="N10" s="10">
        <v>68.4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0">
        <v>2020.0</v>
      </c>
      <c r="B11" s="9" t="s">
        <v>0</v>
      </c>
      <c r="C11" s="10">
        <v>6.0</v>
      </c>
      <c r="D11" s="10">
        <v>116.0</v>
      </c>
      <c r="E11" s="10">
        <v>283.0</v>
      </c>
      <c r="F11" s="10">
        <v>6.0</v>
      </c>
      <c r="G11" s="10">
        <v>19.3</v>
      </c>
      <c r="H11" s="10">
        <v>19.3</v>
      </c>
      <c r="I11" s="10">
        <v>74.0</v>
      </c>
      <c r="J11" s="10">
        <v>1.0</v>
      </c>
      <c r="K11" s="10">
        <v>0.0</v>
      </c>
      <c r="L11" s="10">
        <v>15.0</v>
      </c>
      <c r="M11" s="10">
        <v>0.0</v>
      </c>
      <c r="N11" s="10">
        <v>79.9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0">
        <v>2021.0</v>
      </c>
      <c r="B12" s="9" t="s">
        <v>0</v>
      </c>
      <c r="C12" s="10">
        <v>19.0</v>
      </c>
      <c r="D12" s="10">
        <v>536.0</v>
      </c>
      <c r="E12" s="11">
        <v>1216.0</v>
      </c>
      <c r="F12" s="10">
        <v>19.0</v>
      </c>
      <c r="G12" s="10">
        <v>28.2</v>
      </c>
      <c r="H12" s="10">
        <v>44.1</v>
      </c>
      <c r="I12" s="10">
        <v>72.0</v>
      </c>
      <c r="J12" s="10">
        <v>4.0</v>
      </c>
      <c r="K12" s="10">
        <v>0.0</v>
      </c>
      <c r="L12" s="10">
        <v>60.0</v>
      </c>
      <c r="M12" s="10">
        <v>1.0</v>
      </c>
      <c r="N12" s="10">
        <v>77.1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0">
        <v>2022.0</v>
      </c>
      <c r="B13" s="9" t="s">
        <v>0</v>
      </c>
      <c r="C13" s="10">
        <v>11.0</v>
      </c>
      <c r="D13" s="10">
        <v>265.0</v>
      </c>
      <c r="E13" s="10">
        <v>672.0</v>
      </c>
      <c r="F13" s="10">
        <v>10.0</v>
      </c>
      <c r="G13" s="10">
        <v>26.5</v>
      </c>
      <c r="H13" s="10">
        <v>39.4</v>
      </c>
      <c r="I13" s="10">
        <v>79.0</v>
      </c>
      <c r="J13" s="10">
        <v>1.0</v>
      </c>
      <c r="K13" s="10">
        <v>0.0</v>
      </c>
      <c r="L13" s="10">
        <v>33.0</v>
      </c>
      <c r="M13" s="10">
        <v>1.0</v>
      </c>
      <c r="N13" s="10">
        <v>79.2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>
        <v>2023.0</v>
      </c>
      <c r="B14" s="9" t="s">
        <v>0</v>
      </c>
      <c r="C14" s="10">
        <v>12.0</v>
      </c>
      <c r="D14" s="10">
        <v>671.0</v>
      </c>
      <c r="E14" s="11">
        <v>1226.0</v>
      </c>
      <c r="F14" s="10">
        <v>12.0</v>
      </c>
      <c r="G14" s="10">
        <v>55.9</v>
      </c>
      <c r="H14" s="10">
        <v>54.7</v>
      </c>
      <c r="I14" s="10">
        <v>186.0</v>
      </c>
      <c r="J14" s="10">
        <v>2.0</v>
      </c>
      <c r="K14" s="10">
        <v>2.0</v>
      </c>
      <c r="L14" s="10">
        <v>70.0</v>
      </c>
      <c r="M14" s="10">
        <v>1.0</v>
      </c>
      <c r="N14" s="10">
        <v>68.6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>
        <v>2008.0</v>
      </c>
      <c r="B15" s="9" t="s">
        <v>1</v>
      </c>
      <c r="C15" s="10">
        <v>5.0</v>
      </c>
      <c r="D15" s="10">
        <v>159.0</v>
      </c>
      <c r="E15" s="10">
        <v>239.0</v>
      </c>
      <c r="F15" s="10">
        <v>5.0</v>
      </c>
      <c r="G15" s="10">
        <v>31.8</v>
      </c>
      <c r="H15" s="10">
        <v>66.5</v>
      </c>
      <c r="I15" s="10">
        <v>54.0</v>
      </c>
      <c r="J15" s="10">
        <v>1.0</v>
      </c>
      <c r="K15" s="10">
        <v>0.0</v>
      </c>
      <c r="L15" s="10">
        <v>21.0</v>
      </c>
      <c r="M15" s="10">
        <v>1.0</v>
      </c>
      <c r="N15" s="10">
        <v>71.5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>
        <v>2009.0</v>
      </c>
      <c r="B16" s="9" t="s">
        <v>1</v>
      </c>
      <c r="C16" s="10">
        <v>8.0</v>
      </c>
      <c r="D16" s="10">
        <v>325.0</v>
      </c>
      <c r="E16" s="10">
        <v>385.0</v>
      </c>
      <c r="F16" s="10">
        <v>6.0</v>
      </c>
      <c r="G16" s="10">
        <v>54.2</v>
      </c>
      <c r="H16" s="10">
        <v>84.4</v>
      </c>
      <c r="I16" s="10">
        <v>107.0</v>
      </c>
      <c r="J16" s="10">
        <v>2.0</v>
      </c>
      <c r="K16" s="10">
        <v>1.0</v>
      </c>
      <c r="L16" s="10">
        <v>36.0</v>
      </c>
      <c r="M16" s="10">
        <v>3.0</v>
      </c>
      <c r="N16" s="10">
        <v>51.7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>
        <v>2010.0</v>
      </c>
      <c r="B17" s="9" t="s">
        <v>1</v>
      </c>
      <c r="C17" s="10">
        <v>23.0</v>
      </c>
      <c r="D17" s="10">
        <v>995.0</v>
      </c>
      <c r="E17" s="11">
        <v>1169.0</v>
      </c>
      <c r="F17" s="10">
        <v>20.0</v>
      </c>
      <c r="G17" s="10">
        <v>49.8</v>
      </c>
      <c r="H17" s="10">
        <v>85.1</v>
      </c>
      <c r="I17" s="10">
        <v>118.0</v>
      </c>
      <c r="J17" s="10">
        <v>7.0</v>
      </c>
      <c r="K17" s="10">
        <v>3.0</v>
      </c>
      <c r="L17" s="10">
        <v>90.0</v>
      </c>
      <c r="M17" s="10">
        <v>4.0</v>
      </c>
      <c r="N17" s="10">
        <v>48.3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>
        <v>2011.0</v>
      </c>
      <c r="B18" s="9" t="s">
        <v>1</v>
      </c>
      <c r="C18" s="10">
        <v>34.0</v>
      </c>
      <c r="D18" s="11">
        <v>1381.0</v>
      </c>
      <c r="E18" s="11">
        <v>1614.0</v>
      </c>
      <c r="F18" s="10">
        <v>29.0</v>
      </c>
      <c r="G18" s="10">
        <v>47.6</v>
      </c>
      <c r="H18" s="10">
        <v>85.6</v>
      </c>
      <c r="I18" s="10">
        <v>117.0</v>
      </c>
      <c r="J18" s="10">
        <v>8.0</v>
      </c>
      <c r="K18" s="10">
        <v>4.0</v>
      </c>
      <c r="L18" s="10">
        <v>127.0</v>
      </c>
      <c r="M18" s="10">
        <v>7.0</v>
      </c>
      <c r="N18" s="10">
        <v>46.8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>
        <v>2012.0</v>
      </c>
      <c r="B19" s="9" t="s">
        <v>1</v>
      </c>
      <c r="C19" s="10">
        <v>17.0</v>
      </c>
      <c r="D19" s="11">
        <v>1026.0</v>
      </c>
      <c r="E19" s="11">
        <v>1094.0</v>
      </c>
      <c r="F19" s="10">
        <v>15.0</v>
      </c>
      <c r="G19" s="10">
        <v>68.4</v>
      </c>
      <c r="H19" s="10">
        <v>93.8</v>
      </c>
      <c r="I19" s="10">
        <v>183.0</v>
      </c>
      <c r="J19" s="10">
        <v>3.0</v>
      </c>
      <c r="K19" s="10">
        <v>5.0</v>
      </c>
      <c r="L19" s="10">
        <v>92.0</v>
      </c>
      <c r="M19" s="10">
        <v>7.0</v>
      </c>
      <c r="N19" s="10">
        <v>43.6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>
        <v>2013.0</v>
      </c>
      <c r="B20" s="9" t="s">
        <v>1</v>
      </c>
      <c r="C20" s="10">
        <v>30.0</v>
      </c>
      <c r="D20" s="11">
        <v>1268.0</v>
      </c>
      <c r="E20" s="11">
        <v>1300.0</v>
      </c>
      <c r="F20" s="10">
        <v>24.0</v>
      </c>
      <c r="G20" s="10">
        <v>52.8</v>
      </c>
      <c r="H20" s="10">
        <v>97.5</v>
      </c>
      <c r="I20" s="10">
        <v>115.0</v>
      </c>
      <c r="J20" s="10">
        <v>7.0</v>
      </c>
      <c r="K20" s="10">
        <v>4.0</v>
      </c>
      <c r="L20" s="10">
        <v>138.0</v>
      </c>
      <c r="M20" s="10">
        <v>20.0</v>
      </c>
      <c r="N20" s="10">
        <v>48.1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>
        <v>2014.0</v>
      </c>
      <c r="B21" s="9" t="s">
        <v>1</v>
      </c>
      <c r="C21" s="10">
        <v>20.0</v>
      </c>
      <c r="D21" s="11">
        <v>1054.0</v>
      </c>
      <c r="E21" s="11">
        <v>1058.0</v>
      </c>
      <c r="F21" s="10">
        <v>18.0</v>
      </c>
      <c r="G21" s="10">
        <v>58.6</v>
      </c>
      <c r="H21" s="10">
        <v>99.6</v>
      </c>
      <c r="I21" s="10">
        <v>139.0</v>
      </c>
      <c r="J21" s="10">
        <v>5.0</v>
      </c>
      <c r="K21" s="10">
        <v>4.0</v>
      </c>
      <c r="L21" s="10">
        <v>94.0</v>
      </c>
      <c r="M21" s="10">
        <v>20.0</v>
      </c>
      <c r="N21" s="10">
        <v>43.6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>
        <v>2015.0</v>
      </c>
      <c r="B22" s="9" t="s">
        <v>1</v>
      </c>
      <c r="C22" s="10">
        <v>20.0</v>
      </c>
      <c r="D22" s="10">
        <v>623.0</v>
      </c>
      <c r="E22" s="10">
        <v>773.0</v>
      </c>
      <c r="F22" s="10">
        <v>17.0</v>
      </c>
      <c r="G22" s="10">
        <v>36.6</v>
      </c>
      <c r="H22" s="10">
        <v>80.6</v>
      </c>
      <c r="I22" s="10">
        <v>138.0</v>
      </c>
      <c r="J22" s="10">
        <v>1.0</v>
      </c>
      <c r="K22" s="10">
        <v>2.0</v>
      </c>
      <c r="L22" s="10">
        <v>44.0</v>
      </c>
      <c r="M22" s="10">
        <v>8.0</v>
      </c>
      <c r="N22" s="10">
        <v>49.0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>
        <v>2016.0</v>
      </c>
      <c r="B23" s="9" t="s">
        <v>1</v>
      </c>
      <c r="C23" s="10">
        <v>10.0</v>
      </c>
      <c r="D23" s="10">
        <v>739.0</v>
      </c>
      <c r="E23" s="10">
        <v>739.0</v>
      </c>
      <c r="F23" s="10">
        <v>8.0</v>
      </c>
      <c r="G23" s="10">
        <v>92.4</v>
      </c>
      <c r="H23" s="10">
        <v>100.0</v>
      </c>
      <c r="I23" s="10">
        <v>154.0</v>
      </c>
      <c r="J23" s="10">
        <v>4.0</v>
      </c>
      <c r="K23" s="10">
        <v>3.0</v>
      </c>
      <c r="L23" s="10">
        <v>62.0</v>
      </c>
      <c r="M23" s="10">
        <v>8.0</v>
      </c>
      <c r="N23" s="10">
        <v>40.2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>
        <v>2017.0</v>
      </c>
      <c r="B24" s="9" t="s">
        <v>1</v>
      </c>
      <c r="C24" s="10">
        <v>26.0</v>
      </c>
      <c r="D24" s="11">
        <v>1460.0</v>
      </c>
      <c r="E24" s="11">
        <v>1473.0</v>
      </c>
      <c r="F24" s="10">
        <v>19.0</v>
      </c>
      <c r="G24" s="10">
        <v>76.8</v>
      </c>
      <c r="H24" s="10">
        <v>99.1</v>
      </c>
      <c r="I24" s="10">
        <v>131.0</v>
      </c>
      <c r="J24" s="10">
        <v>7.0</v>
      </c>
      <c r="K24" s="10">
        <v>6.0</v>
      </c>
      <c r="L24" s="10">
        <v>136.0</v>
      </c>
      <c r="M24" s="10">
        <v>22.0</v>
      </c>
      <c r="N24" s="10">
        <v>42.8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>
        <v>2018.0</v>
      </c>
      <c r="B25" s="9" t="s">
        <v>1</v>
      </c>
      <c r="C25" s="10">
        <v>14.0</v>
      </c>
      <c r="D25" s="11">
        <v>1202.0</v>
      </c>
      <c r="E25" s="11">
        <v>1172.0</v>
      </c>
      <c r="F25" s="10">
        <v>9.0</v>
      </c>
      <c r="G25" s="10">
        <v>133.6</v>
      </c>
      <c r="H25" s="10">
        <v>102.6</v>
      </c>
      <c r="I25" s="10">
        <v>160.0</v>
      </c>
      <c r="J25" s="10">
        <v>3.0</v>
      </c>
      <c r="K25" s="10">
        <v>6.0</v>
      </c>
      <c r="L25" s="10">
        <v>123.0</v>
      </c>
      <c r="M25" s="10">
        <v>13.0</v>
      </c>
      <c r="N25" s="10">
        <v>41.7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>
        <v>2019.0</v>
      </c>
      <c r="B26" s="9" t="s">
        <v>1</v>
      </c>
      <c r="C26" s="10">
        <v>25.0</v>
      </c>
      <c r="D26" s="11">
        <v>1377.0</v>
      </c>
      <c r="E26" s="11">
        <v>1429.0</v>
      </c>
      <c r="F26" s="10">
        <v>23.0</v>
      </c>
      <c r="G26" s="10">
        <v>59.9</v>
      </c>
      <c r="H26" s="10">
        <v>96.4</v>
      </c>
      <c r="I26" s="10">
        <v>123.0</v>
      </c>
      <c r="J26" s="10">
        <v>7.0</v>
      </c>
      <c r="K26" s="10">
        <v>5.0</v>
      </c>
      <c r="L26" s="10">
        <v>133.0</v>
      </c>
      <c r="M26" s="10">
        <v>8.0</v>
      </c>
      <c r="N26" s="10">
        <v>41.8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>
        <v>2020.0</v>
      </c>
      <c r="B27" s="9" t="s">
        <v>1</v>
      </c>
      <c r="C27" s="10">
        <v>9.0</v>
      </c>
      <c r="D27" s="10">
        <v>431.0</v>
      </c>
      <c r="E27" s="10">
        <v>467.0</v>
      </c>
      <c r="F27" s="10">
        <v>9.0</v>
      </c>
      <c r="G27" s="10">
        <v>47.9</v>
      </c>
      <c r="H27" s="10">
        <v>92.3</v>
      </c>
      <c r="I27" s="10">
        <v>89.0</v>
      </c>
      <c r="J27" s="10">
        <v>5.0</v>
      </c>
      <c r="K27" s="10">
        <v>0.0</v>
      </c>
      <c r="L27" s="10">
        <v>35.0</v>
      </c>
      <c r="M27" s="10">
        <v>5.0</v>
      </c>
      <c r="N27" s="10">
        <v>41.1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>
        <v>2021.0</v>
      </c>
      <c r="B28" s="9" t="s">
        <v>1</v>
      </c>
      <c r="C28" s="10">
        <v>3.0</v>
      </c>
      <c r="D28" s="10">
        <v>129.0</v>
      </c>
      <c r="E28" s="10">
        <v>149.0</v>
      </c>
      <c r="F28" s="10">
        <v>3.0</v>
      </c>
      <c r="G28" s="10">
        <v>43.0</v>
      </c>
      <c r="H28" s="10">
        <v>86.6</v>
      </c>
      <c r="I28" s="10">
        <v>66.0</v>
      </c>
      <c r="J28" s="10">
        <v>2.0</v>
      </c>
      <c r="K28" s="10">
        <v>0.0</v>
      </c>
      <c r="L28" s="10">
        <v>10.0</v>
      </c>
      <c r="M28" s="10">
        <v>1.0</v>
      </c>
      <c r="N28" s="10">
        <v>41.6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>
        <v>2022.0</v>
      </c>
      <c r="B29" s="9" t="s">
        <v>1</v>
      </c>
      <c r="C29" s="10">
        <v>11.0</v>
      </c>
      <c r="D29" s="10">
        <v>302.0</v>
      </c>
      <c r="E29" s="10">
        <v>347.0</v>
      </c>
      <c r="F29" s="10">
        <v>11.0</v>
      </c>
      <c r="G29" s="10">
        <v>27.5</v>
      </c>
      <c r="H29" s="10">
        <v>87.0</v>
      </c>
      <c r="I29" s="10">
        <v>113.0</v>
      </c>
      <c r="J29" s="10">
        <v>2.0</v>
      </c>
      <c r="K29" s="10">
        <v>1.0</v>
      </c>
      <c r="L29" s="10">
        <v>32.0</v>
      </c>
      <c r="M29" s="10">
        <v>2.0</v>
      </c>
      <c r="N29" s="10">
        <v>48.1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>
        <v>2023.0</v>
      </c>
      <c r="B30" s="9" t="s">
        <v>1</v>
      </c>
      <c r="C30" s="10">
        <v>24.0</v>
      </c>
      <c r="D30" s="11">
        <v>1377.0</v>
      </c>
      <c r="E30" s="11">
        <v>1389.0</v>
      </c>
      <c r="F30" s="10">
        <v>19.0</v>
      </c>
      <c r="G30" s="10">
        <v>72.5</v>
      </c>
      <c r="H30" s="10">
        <v>99.1</v>
      </c>
      <c r="I30" s="10">
        <v>166.0</v>
      </c>
      <c r="J30" s="10">
        <v>8.0</v>
      </c>
      <c r="K30" s="10">
        <v>6.0</v>
      </c>
      <c r="L30" s="10">
        <v>122.0</v>
      </c>
      <c r="M30" s="10">
        <v>24.0</v>
      </c>
      <c r="N30" s="10">
        <v>42.0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>
        <v>2010.0</v>
      </c>
      <c r="B31" s="9" t="s">
        <v>2</v>
      </c>
      <c r="C31" s="10">
        <v>1.0</v>
      </c>
      <c r="D31" s="10">
        <v>26.0</v>
      </c>
      <c r="E31" s="10">
        <v>21.0</v>
      </c>
      <c r="F31" s="10">
        <v>0.0</v>
      </c>
      <c r="G31" s="10"/>
      <c r="H31" s="10">
        <v>123.8</v>
      </c>
      <c r="I31" s="10">
        <v>26.0</v>
      </c>
      <c r="J31" s="10">
        <v>0.0</v>
      </c>
      <c r="K31" s="10">
        <v>0.0</v>
      </c>
      <c r="L31" s="10">
        <v>3.0</v>
      </c>
      <c r="M31" s="10">
        <v>1.0</v>
      </c>
      <c r="N31" s="10">
        <v>42.9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>
        <v>2011.0</v>
      </c>
      <c r="B32" s="9" t="s">
        <v>2</v>
      </c>
      <c r="C32" s="10">
        <v>4.0</v>
      </c>
      <c r="D32" s="10">
        <v>61.0</v>
      </c>
      <c r="E32" s="10">
        <v>52.0</v>
      </c>
      <c r="F32" s="10">
        <v>4.0</v>
      </c>
      <c r="G32" s="10">
        <v>15.2</v>
      </c>
      <c r="H32" s="10">
        <v>117.3</v>
      </c>
      <c r="I32" s="10">
        <v>28.0</v>
      </c>
      <c r="J32" s="10">
        <v>0.0</v>
      </c>
      <c r="K32" s="10">
        <v>0.0</v>
      </c>
      <c r="L32" s="10">
        <v>10.0</v>
      </c>
      <c r="M32" s="10">
        <v>0.0</v>
      </c>
      <c r="N32" s="10">
        <v>42.3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>
        <v>2012.0</v>
      </c>
      <c r="B33" s="9" t="s">
        <v>2</v>
      </c>
      <c r="C33" s="10">
        <v>13.0</v>
      </c>
      <c r="D33" s="10">
        <v>471.0</v>
      </c>
      <c r="E33" s="10">
        <v>355.0</v>
      </c>
      <c r="F33" s="10">
        <v>12.0</v>
      </c>
      <c r="G33" s="10">
        <v>39.2</v>
      </c>
      <c r="H33" s="10">
        <v>132.7</v>
      </c>
      <c r="I33" s="10">
        <v>78.0</v>
      </c>
      <c r="J33" s="10">
        <v>4.0</v>
      </c>
      <c r="K33" s="10">
        <v>0.0</v>
      </c>
      <c r="L33" s="10">
        <v>57.0</v>
      </c>
      <c r="M33" s="10">
        <v>7.0</v>
      </c>
      <c r="N33" s="10">
        <v>30.7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>
        <v>2013.0</v>
      </c>
      <c r="B34" s="9" t="s">
        <v>2</v>
      </c>
      <c r="C34" s="10">
        <v>1.0</v>
      </c>
      <c r="D34" s="10">
        <v>29.0</v>
      </c>
      <c r="E34" s="10">
        <v>22.0</v>
      </c>
      <c r="F34" s="10">
        <v>1.0</v>
      </c>
      <c r="G34" s="10">
        <v>29.0</v>
      </c>
      <c r="H34" s="10">
        <v>131.8</v>
      </c>
      <c r="I34" s="10">
        <v>29.0</v>
      </c>
      <c r="J34" s="10">
        <v>0.0</v>
      </c>
      <c r="K34" s="10">
        <v>0.0</v>
      </c>
      <c r="L34" s="10">
        <v>2.0</v>
      </c>
      <c r="M34" s="10">
        <v>1.0</v>
      </c>
      <c r="N34" s="10">
        <v>31.8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>
        <v>2014.0</v>
      </c>
      <c r="B35" s="9" t="s">
        <v>2</v>
      </c>
      <c r="C35" s="10">
        <v>7.0</v>
      </c>
      <c r="D35" s="10">
        <v>385.0</v>
      </c>
      <c r="E35" s="10">
        <v>288.0</v>
      </c>
      <c r="F35" s="10">
        <v>4.0</v>
      </c>
      <c r="G35" s="10">
        <v>96.2</v>
      </c>
      <c r="H35" s="10">
        <v>133.7</v>
      </c>
      <c r="I35" s="10">
        <v>77.0</v>
      </c>
      <c r="J35" s="10">
        <v>5.0</v>
      </c>
      <c r="K35" s="10">
        <v>0.0</v>
      </c>
      <c r="L35" s="10">
        <v>33.0</v>
      </c>
      <c r="M35" s="10">
        <v>11.0</v>
      </c>
      <c r="N35" s="10">
        <v>26.7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>
        <v>2015.0</v>
      </c>
      <c r="B36" s="9" t="s">
        <v>2</v>
      </c>
      <c r="C36" s="10">
        <v>2.0</v>
      </c>
      <c r="D36" s="10">
        <v>44.0</v>
      </c>
      <c r="E36" s="10">
        <v>28.0</v>
      </c>
      <c r="F36" s="10">
        <v>2.0</v>
      </c>
      <c r="G36" s="10">
        <v>22.0</v>
      </c>
      <c r="H36" s="10">
        <v>157.1</v>
      </c>
      <c r="I36" s="10">
        <v>43.0</v>
      </c>
      <c r="J36" s="10">
        <v>0.0</v>
      </c>
      <c r="K36" s="10">
        <v>0.0</v>
      </c>
      <c r="L36" s="10">
        <v>1.0</v>
      </c>
      <c r="M36" s="10">
        <v>3.0</v>
      </c>
      <c r="N36" s="10">
        <v>7.1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>
        <v>2016.0</v>
      </c>
      <c r="B37" s="9" t="s">
        <v>2</v>
      </c>
      <c r="C37" s="10">
        <v>13.0</v>
      </c>
      <c r="D37" s="10">
        <v>641.0</v>
      </c>
      <c r="E37" s="10">
        <v>457.0</v>
      </c>
      <c r="F37" s="10">
        <v>6.0</v>
      </c>
      <c r="G37" s="10">
        <v>106.8</v>
      </c>
      <c r="H37" s="10">
        <v>140.3</v>
      </c>
      <c r="I37" s="10">
        <v>90.0</v>
      </c>
      <c r="J37" s="10">
        <v>7.0</v>
      </c>
      <c r="K37" s="10">
        <v>0.0</v>
      </c>
      <c r="L37" s="10">
        <v>70.0</v>
      </c>
      <c r="M37" s="10">
        <v>9.0</v>
      </c>
      <c r="N37" s="10">
        <v>29.1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>
        <v>2017.0</v>
      </c>
      <c r="B38" s="9" t="s">
        <v>2</v>
      </c>
      <c r="C38" s="10">
        <v>10.0</v>
      </c>
      <c r="D38" s="10">
        <v>299.0</v>
      </c>
      <c r="E38" s="10">
        <v>196.0</v>
      </c>
      <c r="F38" s="10">
        <v>8.0</v>
      </c>
      <c r="G38" s="10">
        <v>37.4</v>
      </c>
      <c r="H38" s="10">
        <v>152.6</v>
      </c>
      <c r="I38" s="10">
        <v>82.0</v>
      </c>
      <c r="J38" s="10">
        <v>2.0</v>
      </c>
      <c r="K38" s="10">
        <v>0.0</v>
      </c>
      <c r="L38" s="10">
        <v>32.0</v>
      </c>
      <c r="M38" s="10">
        <v>8.0</v>
      </c>
      <c r="N38" s="10">
        <v>24.5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>
        <v>2018.0</v>
      </c>
      <c r="B39" s="9" t="s">
        <v>2</v>
      </c>
      <c r="C39" s="10">
        <v>9.0</v>
      </c>
      <c r="D39" s="10">
        <v>211.0</v>
      </c>
      <c r="E39" s="10">
        <v>173.0</v>
      </c>
      <c r="F39" s="10">
        <v>7.0</v>
      </c>
      <c r="G39" s="10">
        <v>30.1</v>
      </c>
      <c r="H39" s="10">
        <v>122.0</v>
      </c>
      <c r="I39" s="10">
        <v>61.0</v>
      </c>
      <c r="J39" s="10">
        <v>1.0</v>
      </c>
      <c r="K39" s="10">
        <v>0.0</v>
      </c>
      <c r="L39" s="10">
        <v>10.0</v>
      </c>
      <c r="M39" s="10">
        <v>8.0</v>
      </c>
      <c r="N39" s="10">
        <v>33.5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>
        <v>2019.0</v>
      </c>
      <c r="B40" s="9" t="s">
        <v>2</v>
      </c>
      <c r="C40" s="10">
        <v>10.0</v>
      </c>
      <c r="D40" s="10">
        <v>466.0</v>
      </c>
      <c r="E40" s="10">
        <v>315.0</v>
      </c>
      <c r="F40" s="10">
        <v>6.0</v>
      </c>
      <c r="G40" s="10">
        <v>77.7</v>
      </c>
      <c r="H40" s="10">
        <v>147.9</v>
      </c>
      <c r="I40" s="10">
        <v>94.0</v>
      </c>
      <c r="J40" s="10">
        <v>5.0</v>
      </c>
      <c r="K40" s="10">
        <v>0.0</v>
      </c>
      <c r="L40" s="10">
        <v>29.0</v>
      </c>
      <c r="M40" s="10">
        <v>23.0</v>
      </c>
      <c r="N40" s="10">
        <v>24.4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>
        <v>2020.0</v>
      </c>
      <c r="B41" s="9" t="s">
        <v>2</v>
      </c>
      <c r="C41" s="10">
        <v>9.0</v>
      </c>
      <c r="D41" s="10">
        <v>295.0</v>
      </c>
      <c r="E41" s="10">
        <v>208.0</v>
      </c>
      <c r="F41" s="10">
        <v>8.0</v>
      </c>
      <c r="G41" s="10">
        <v>36.9</v>
      </c>
      <c r="H41" s="10">
        <v>141.8</v>
      </c>
      <c r="I41" s="10">
        <v>85.0</v>
      </c>
      <c r="J41" s="10">
        <v>1.0</v>
      </c>
      <c r="K41" s="10">
        <v>0.0</v>
      </c>
      <c r="L41" s="10">
        <v>18.0</v>
      </c>
      <c r="M41" s="10">
        <v>10.0</v>
      </c>
      <c r="N41" s="10">
        <v>20.7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>
        <v>2021.0</v>
      </c>
      <c r="B42" s="9" t="s">
        <v>2</v>
      </c>
      <c r="C42" s="10">
        <v>8.0</v>
      </c>
      <c r="D42" s="10">
        <v>299.0</v>
      </c>
      <c r="E42" s="10">
        <v>225.0</v>
      </c>
      <c r="F42" s="10">
        <v>4.0</v>
      </c>
      <c r="G42" s="10">
        <v>74.8</v>
      </c>
      <c r="H42" s="10">
        <v>132.9</v>
      </c>
      <c r="I42" s="10">
        <v>80.0</v>
      </c>
      <c r="J42" s="10">
        <v>4.0</v>
      </c>
      <c r="K42" s="10">
        <v>0.0</v>
      </c>
      <c r="L42" s="10">
        <v>25.0</v>
      </c>
      <c r="M42" s="10">
        <v>10.0</v>
      </c>
      <c r="N42" s="10">
        <v>30.2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>
        <v>2022.0</v>
      </c>
      <c r="B43" s="9" t="s">
        <v>2</v>
      </c>
      <c r="C43" s="10">
        <v>20.0</v>
      </c>
      <c r="D43" s="10">
        <v>781.0</v>
      </c>
      <c r="E43" s="10">
        <v>565.0</v>
      </c>
      <c r="F43" s="10">
        <v>14.0</v>
      </c>
      <c r="G43" s="10">
        <v>55.8</v>
      </c>
      <c r="H43" s="10">
        <v>138.2</v>
      </c>
      <c r="I43" s="10">
        <v>122.0</v>
      </c>
      <c r="J43" s="10">
        <v>8.0</v>
      </c>
      <c r="K43" s="10">
        <v>1.0</v>
      </c>
      <c r="L43" s="10">
        <v>66.0</v>
      </c>
      <c r="M43" s="10">
        <v>26.0</v>
      </c>
      <c r="N43" s="10">
        <v>29.0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