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odeName="SimScalWorkbook"/>
  <mc:AlternateContent xmlns:mc="http://schemas.openxmlformats.org/markup-compatibility/2006">
    <mc:Choice Requires="x15">
      <x15ac:absPath xmlns:x15ac="http://schemas.microsoft.com/office/spreadsheetml/2010/11/ac" url="/Users/nikhilnarang/Documents/USC Fall 2016/EE 557 - Computer System Architecture/Projects/Project 3/simplescalar-config-generator/"/>
    </mc:Choice>
  </mc:AlternateContent>
  <bookViews>
    <workbookView xWindow="0" yWindow="460" windowWidth="28800" windowHeight="17460" tabRatio="906"/>
  </bookViews>
  <sheets>
    <sheet name="ConfigFileParams" sheetId="1" r:id="rId1"/>
    <sheet name="Basic Assumptions" sheetId="2" r:id="rId2"/>
    <sheet name="Port Calculation" sheetId="9" r:id="rId3"/>
    <sheet name="Bit Calculation" sheetId="8" r:id="rId4"/>
    <sheet name="Transistor Calculation" sheetId="3" r:id="rId5"/>
    <sheet name="Area Calculation" sheetId="7" r:id="rId6"/>
    <sheet name="Results" sheetId="10" r:id="rId7"/>
    <sheet name="FieldnameConventions" sheetId="4" r:id="rId8"/>
  </sheets>
  <definedNames>
    <definedName name="AddInBit">'Basic Assumptions'!$B$8</definedName>
    <definedName name="AreaBtb">'Area Calculation'!$B$7</definedName>
    <definedName name="AreaReg">'Area Calculation'!$B$16</definedName>
    <definedName name="BitOfDTlbAdd">'Bit Calculation'!$B$26</definedName>
    <definedName name="BitOfDTlbTag">'Bit Calculation'!$B$27</definedName>
    <definedName name="BitOfITlbAdd">'Bit Calculation'!$B$33</definedName>
    <definedName name="BitOfITlbTag">'Bit Calculation'!$B$34</definedName>
    <definedName name="BitPerBtb">'Bit Calculation'!$B$4</definedName>
    <definedName name="BitPerDTlb">'Bit Calculation'!$B$28</definedName>
    <definedName name="BitPerDTlbIdx">'Bit Calculation'!$B$25</definedName>
    <definedName name="BitPerDTlbPgOff">'Bit Calculation'!$B$24</definedName>
    <definedName name="BitPerExUId">'Bit Calculation'!$B$18</definedName>
    <definedName name="BitPerFpReg">'Basic Assumptions'!$B$9</definedName>
    <definedName name="BitPerFpRegSet">'Bit Calculation'!$B$7</definedName>
    <definedName name="BitPerIntReg">'Basic Assumptions'!$B$10</definedName>
    <definedName name="BitPerIntRegSet">'Bit Calculation'!$B$8</definedName>
    <definedName name="BitPerITlb">'Bit Calculation'!$B$35</definedName>
    <definedName name="BitPerITlbIdx">'Bit Calculation'!$B$32</definedName>
    <definedName name="BitPerITlbPgOff">'Bit Calculation'!$B$31</definedName>
    <definedName name="BitPerLev1DCache">'Bit Calculation'!$B$43</definedName>
    <definedName name="BitPerLev1DCacheIdx">'Bit Calculation'!$B$41</definedName>
    <definedName name="BitPerLev1DCacheLru">'Bit Calculation'!$B$42</definedName>
    <definedName name="BitPerLev1DCacheOff">'Bit Calculation'!$B$40</definedName>
    <definedName name="BitPerLev1ICache">'Bit Calculation'!$B$51</definedName>
    <definedName name="BitPerLev1ICacheIdx">'Bit Calculation'!$B$49</definedName>
    <definedName name="BitPerLev1ICacheLru">'Bit Calculation'!$B$50</definedName>
    <definedName name="BitPerLev1ICacheOff">'Bit Calculation'!$B$48</definedName>
    <definedName name="BitPerLev2DCache">'Bit Calculation'!$B$59</definedName>
    <definedName name="BitPerLev2DCacheIdx">'Bit Calculation'!$B$57</definedName>
    <definedName name="BitPerLev2DCacheLru">'Bit Calculation'!$B$58</definedName>
    <definedName name="BitPerLev2DCacheOff">'Bit Calculation'!$B$56</definedName>
    <definedName name="BitPerLev2ICache">'Bit Calculation'!$B$67</definedName>
    <definedName name="BitPerLev2ICacheIdx">'Bit Calculation'!$B$65</definedName>
    <definedName name="BitPerLev2ICacheLru">'Bit Calculation'!$B$66</definedName>
    <definedName name="BitPerLev2ICacheOff">'Bit Calculation'!$B$64</definedName>
    <definedName name="BitPerLsq">'Bit Calculation'!$B$14</definedName>
    <definedName name="BitPerLsqEnt">'Bit Calculation'!$B$13</definedName>
    <definedName name="BitPerPC">'Basic Assumptions'!$B$12</definedName>
    <definedName name="BitPerRegId">'Bit Calculation'!$B$17</definedName>
    <definedName name="BitPerRuu">'Bit Calculation'!$B$20</definedName>
    <definedName name="BitPerRuuEnt">'Bit Calculation'!$B$19</definedName>
    <definedName name="BitPerRuuId">'Bit Calculation'!$B$12</definedName>
    <definedName name="bpred_2lev_hist_size">ConfigFileParams!$B$10</definedName>
    <definedName name="bpred_2lev_l2size">ConfigFileParams!$B$9</definedName>
    <definedName name="bpred_2lev_ll1size">ConfigFileParams!$B$8</definedName>
    <definedName name="BtbCellHght">'Area Calculation'!$B$5</definedName>
    <definedName name="BtbCellWid">'Area Calculation'!$B$6</definedName>
    <definedName name="BTBentries">ConfigFileParams!$B$58</definedName>
    <definedName name="BtbReadPort">'Port Calculation'!$B$4</definedName>
    <definedName name="BtbWrtPort">'Port Calculation'!$B$5</definedName>
    <definedName name="CmtUArea">'Area Calculation'!$B$74</definedName>
    <definedName name="CmtUBasicSizeInLam">'Basic Assumptions'!$B$36</definedName>
    <definedName name="CpxFpUArea">'Area Calculation'!$B$81</definedName>
    <definedName name="CpxFpUSizeInLam">'Basic Assumptions'!$B$41</definedName>
    <definedName name="CpxIntArea">'Area Calculation'!$B$79</definedName>
    <definedName name="CpxIntUArea">'Area Calculation'!$B$79</definedName>
    <definedName name="CpxIntUSizeInLam">'Basic Assumptions'!$B$39</definedName>
    <definedName name="DecUArea">'Area Calculation'!$B$71</definedName>
    <definedName name="DecUBasicSizeInLam">'Basic Assumptions'!$B$33</definedName>
    <definedName name="DecWid">ConfigFileParams!$B$11</definedName>
    <definedName name="DTlbArea">'Area Calculation'!$B$36</definedName>
    <definedName name="DTlbAss">ConfigFileParams!$B$48</definedName>
    <definedName name="DTlbBytePerPg">ConfigFileParams!$B$47</definedName>
    <definedName name="DTlbCellHght">'Area Calculation'!$B$34</definedName>
    <definedName name="DTlbCellWid">'Area Calculation'!$B$35</definedName>
    <definedName name="DTlbReadPort">'Port Calculation'!$B$24</definedName>
    <definedName name="DTlbSet">ConfigFileParams!$B$46</definedName>
    <definedName name="DTlbSrtr">ConfigFileParams!$B$49</definedName>
    <definedName name="DTlbWrtPort">'Port Calculation'!$B$25</definedName>
    <definedName name="FpRegArea">'Area Calculation'!$B$15</definedName>
    <definedName name="FpRegCellHght">'Area Calculation'!$B$13</definedName>
    <definedName name="FpRegCellWid">'Area Calculation'!$B$14</definedName>
    <definedName name="FpRegReadPort">'Port Calculation'!$B$8</definedName>
    <definedName name="FpRegWrtPort">'Port Calculation'!$B$9</definedName>
    <definedName name="FpUArea">'Area Calculation'!$B$80</definedName>
    <definedName name="FpUSizeInLam">'Basic Assumptions'!$B$40</definedName>
    <definedName name="FUBasicSizeInLam">'Basic Assumptions'!$B$32</definedName>
    <definedName name="FWid">ConfigFileParams!$B$4</definedName>
    <definedName name="HP8000LogTransDens">'Basic Assumptions'!$B$50</definedName>
    <definedName name="IfUArea">'Area Calculation'!$B$70</definedName>
    <definedName name="IntArea">'Area Calculation'!$B$78</definedName>
    <definedName name="IntRegArea">'Area Calculation'!$B$12</definedName>
    <definedName name="IntRegCellHght">'Area Calculation'!$B$10</definedName>
    <definedName name="IntRegCellWid">'Area Calculation'!$B$11</definedName>
    <definedName name="IntRegReadPort">'Port Calculation'!$B$10</definedName>
    <definedName name="IntRegWrtPort">'Port Calculation'!$B$11</definedName>
    <definedName name="IntUArea">'Area Calculation'!$B$78</definedName>
    <definedName name="IntUSizeInLam">'Basic Assumptions'!$B$38</definedName>
    <definedName name="IssUArea">'Area Calculation'!$B$72</definedName>
    <definedName name="IssUBasicSizeInLam">'Basic Assumptions'!$B$34</definedName>
    <definedName name="IssWid">ConfigFileParams!$B$12</definedName>
    <definedName name="ITlbArea">'Area Calculation'!$B$32</definedName>
    <definedName name="ITlbAss">ConfigFileParams!$B$44</definedName>
    <definedName name="ITlbBytePerPg">ConfigFileParams!$B$43</definedName>
    <definedName name="ITlbCellHght">'Area Calculation'!$B$30</definedName>
    <definedName name="ITlbCellWid">'Area Calculation'!$B$31</definedName>
    <definedName name="ITlbReadPort">'Port Calculation'!$B$22</definedName>
    <definedName name="ITlbSet">ConfigFileParams!$B$42</definedName>
    <definedName name="ITlbStrt">ConfigFileParams!$B$45</definedName>
    <definedName name="ITlbWrtPort">'Port Calculation'!$B$23</definedName>
    <definedName name="Lev1DCacheArea">'Area Calculation'!$B$53</definedName>
    <definedName name="Lev1DCacheAss">ConfigFileParams!$B$19</definedName>
    <definedName name="Lev1DCacheBytePerLn">ConfigFileParams!$B$18</definedName>
    <definedName name="Lev1DCacheCellHght">'Area Calculation'!$B$49</definedName>
    <definedName name="Lev1DCacheCellWid">'Area Calculation'!$B$50</definedName>
    <definedName name="Lev1DCacheDataArea">'Area Calculation'!$B$51</definedName>
    <definedName name="Lev1DCacheDataBit">'Bit Calculation'!$B$38</definedName>
    <definedName name="Lev1DCacheReadPort">'Port Calculation'!$B$30</definedName>
    <definedName name="Lev1DCacheSet">ConfigFileParams!$B$17</definedName>
    <definedName name="Lev1DCacheStrt">ConfigFileParams!$B$20</definedName>
    <definedName name="Lev1DCacheTagArea">'Area Calculation'!$B$52</definedName>
    <definedName name="Lev1DCacheTagBit">'Bit Calculation'!$B$39</definedName>
    <definedName name="Lev1DCacheWrtPort">'Port Calculation'!$B$31</definedName>
    <definedName name="Lev1ICacheArea">'Area Calculation'!$B$46</definedName>
    <definedName name="Lev1ICacheAss">ConfigFileParams!$B$29</definedName>
    <definedName name="Lev1ICacheBytePerLn">ConfigFileParams!$B$28</definedName>
    <definedName name="Lev1ICacheCellHght">'Area Calculation'!$B$42</definedName>
    <definedName name="Lev1ICacheCellWid">'Area Calculation'!$B$43</definedName>
    <definedName name="Lev1ICacheDataArea">'Area Calculation'!$B$44</definedName>
    <definedName name="Lev1ICacheDataBit">'Bit Calculation'!$B$46</definedName>
    <definedName name="Lev1ICacheReadPort">'Port Calculation'!$B$28</definedName>
    <definedName name="Lev1ICacheSet">ConfigFileParams!$B$27</definedName>
    <definedName name="Lev1ICacheStrt">ConfigFileParams!$B$30</definedName>
    <definedName name="Lev1ICacheTagArea">'Area Calculation'!$B$45</definedName>
    <definedName name="Lev1ICacheTagBit">'Bit Calculation'!$B$47</definedName>
    <definedName name="Lev1ICacheWrtPort">'Port Calculation'!$B$29</definedName>
    <definedName name="Lev2DCacheArea">'Area Calculation'!$B$67</definedName>
    <definedName name="Lev2DCacheAss">ConfigFileParams!$B$24</definedName>
    <definedName name="Lev2DCacheBytePerLn">ConfigFileParams!$B$23</definedName>
    <definedName name="Lev2DCacheCellHght">'Area Calculation'!$B$63</definedName>
    <definedName name="Lev2DCacheCellWid">'Area Calculation'!$B$64</definedName>
    <definedName name="Lev2DCacheDataArea">'Area Calculation'!$B$65</definedName>
    <definedName name="Lev2DCacheDataBit">'Bit Calculation'!$B$54</definedName>
    <definedName name="Lev2DCacheReadPort">'Port Calculation'!$B$34</definedName>
    <definedName name="Lev2DCacheSet">ConfigFileParams!$B$22</definedName>
    <definedName name="Lev2DCacheStrt">ConfigFileParams!$B$25</definedName>
    <definedName name="Lev2DCacheTagArea">'Area Calculation'!$B$66</definedName>
    <definedName name="Lev2DCacheTagBit">'Bit Calculation'!$B$55</definedName>
    <definedName name="Lev2DCacheWrtPort">'Port Calculation'!$B$35</definedName>
    <definedName name="Lev2ICacheArea">'Area Calculation'!$B$60</definedName>
    <definedName name="Lev2ICacheAss">ConfigFileParams!$B$34</definedName>
    <definedName name="Lev2ICacheBytePerLn">ConfigFileParams!$B$33</definedName>
    <definedName name="Lev2ICacheCellHght">'Area Calculation'!$B$56</definedName>
    <definedName name="Lev2ICacheCellWid">'Area Calculation'!$B$57</definedName>
    <definedName name="Lev2ICacheDataArea">'Area Calculation'!$B$58</definedName>
    <definedName name="Lev2ICacheDataBit">'Bit Calculation'!$B$62</definedName>
    <definedName name="Lev2ICacheReadPort">'Port Calculation'!$B$32</definedName>
    <definedName name="Lev2ICacheSet">ConfigFileParams!$B$32</definedName>
    <definedName name="Lev2ICacheStrt">ConfigFileParams!$B$35</definedName>
    <definedName name="Lev2ICacheTagArea">'Area Calculation'!$B$59</definedName>
    <definedName name="Lev2ICacheTagBit">'Bit Calculation'!$B$63</definedName>
    <definedName name="Lev2ICacheWrtPort">'Port Calculation'!$B$33</definedName>
    <definedName name="LogTransDens">'Basic Assumptions'!$B$49</definedName>
    <definedName name="LsqArea">'Area Calculation'!$B$21</definedName>
    <definedName name="LSQCellHght">'Area Calculation'!$B$19</definedName>
    <definedName name="LsqCellWid">'Area Calculation'!$B$20</definedName>
    <definedName name="LsqEnt">ConfigFileParams!$B$16</definedName>
    <definedName name="LsqReadPort">'Port Calculation'!$B$14</definedName>
    <definedName name="LsqWrtPort">'Port Calculation'!$B$15</definedName>
    <definedName name="LSUArea">'Area Calculation'!$B$82</definedName>
    <definedName name="LsUBasicSizeInLam">'Basic Assumptions'!$B$42</definedName>
    <definedName name="NuBtbEnt">ConfigFileParams!$B$7</definedName>
    <definedName name="NuFpAlu">ConfigFileParams!$B$54</definedName>
    <definedName name="NuFpMul">ConfigFileParams!$B$55</definedName>
    <definedName name="NuFpReg">'Basic Assumptions'!$B$4</definedName>
    <definedName name="NuIntAlu">ConfigFileParams!$B$51</definedName>
    <definedName name="NuIntMul">ConfigFileParams!$B$52</definedName>
    <definedName name="NuIntReg">'Basic Assumptions'!$B$5</definedName>
    <definedName name="NuMemPort">ConfigFileParams!$B$53</definedName>
    <definedName name="_xlnm.Print_Area" localSheetId="5">'Area Calculation'!$1:$1048576</definedName>
    <definedName name="_xlnm.Print_Area" localSheetId="7">FieldnameConventions!$A$1:$B$67</definedName>
    <definedName name="RangeAreaLev1Cache">Results!$C$10:$C$11</definedName>
    <definedName name="RangeAreaLev2Cache">Results!$C$12:$C$13</definedName>
    <definedName name="RangeAreaWoutCache">Results!$C$5:$D$9,Results!$C$17:$C$26</definedName>
    <definedName name="RangeTransLev1Cache">Results!$B$10:$B$11</definedName>
    <definedName name="RangeTransLev2Cache">Results!$B$12:$B$13</definedName>
    <definedName name="RangeTransWoutCache">Results!$B$5:$B$9,Results!$B$17:$B$26</definedName>
    <definedName name="RuuArea">'Area Calculation'!$B$26</definedName>
    <definedName name="RuuCellHght">'Area Calculation'!$B$24</definedName>
    <definedName name="RuuCellWid">'Area Calculation'!$B$25</definedName>
    <definedName name="RuuEnt">ConfigFileParams!$B$15</definedName>
    <definedName name="RuuReadPort">'Port Calculation'!$B$18</definedName>
    <definedName name="RuuWrtPort">'Port Calculation'!$B$19</definedName>
    <definedName name="Sparc64LogTransDens">'Basic Assumptions'!$B$51</definedName>
    <definedName name="SRCellBasicHghtInLam">'Basic Assumptions'!$B$45</definedName>
    <definedName name="SRCellBasicWidInLam">'Basic Assumptions'!$B$44</definedName>
    <definedName name="TlbArea">'Area Calculation'!$B$37</definedName>
    <definedName name="TotalAreaWoutCache">Results!$C$28</definedName>
    <definedName name="TotalAreaWoutLev2Cache">Results!$C$29</definedName>
    <definedName name="TotalTransWoutCaches">Results!$B$28</definedName>
    <definedName name="TotalTransWoutLev2Cache">Results!$B$29</definedName>
    <definedName name="TransBtb">'Transistor Calculation'!$B$4</definedName>
    <definedName name="TransCmtU">'Transistor Calculation'!$B$38</definedName>
    <definedName name="TransCpxFpU">'Transistor Calculation'!$B$44</definedName>
    <definedName name="TransCpxIntU">'Transistor Calculation'!$B$42</definedName>
    <definedName name="TransDecU">'Transistor Calculation'!$B$35</definedName>
    <definedName name="TransDTlb">'Transistor Calculation'!$B$16</definedName>
    <definedName name="TransFpU">'Transistor Calculation'!$B$43</definedName>
    <definedName name="TransFU">'Transistor Calculation'!$B$34</definedName>
    <definedName name="TransIntU">'Transistor Calculation'!$B$41</definedName>
    <definedName name="TransIssU">'Transistor Calculation'!$B$36</definedName>
    <definedName name="TransITlb">'Transistor Calculation'!$B$15</definedName>
    <definedName name="TransLev1DCache">'Transistor Calculation'!$B$25</definedName>
    <definedName name="TransLev1DCacheData">'Transistor Calculation'!$B$23</definedName>
    <definedName name="TransLev1DCacheTag">'Transistor Calculation'!$B$24</definedName>
    <definedName name="TransLev1ICache">'Transistor Calculation'!$B$22</definedName>
    <definedName name="TransLev1ICacheData">'Transistor Calculation'!$B$20</definedName>
    <definedName name="TransLev1ICacheTag">'Transistor Calculation'!$B$21</definedName>
    <definedName name="TransLev2DCache">'Transistor Calculation'!$B$31</definedName>
    <definedName name="TransLev2DCacheData">'Transistor Calculation'!$B$29</definedName>
    <definedName name="TransLev2DCacheTag">'Transistor Calculation'!$B$30</definedName>
    <definedName name="TransLev2ICache">'Transistor Calculation'!$B$28</definedName>
    <definedName name="TransLev2ICacheData">'Transistor Calculation'!$B$26</definedName>
    <definedName name="TransLev2ICacheTag">'Transistor Calculation'!$B$27</definedName>
    <definedName name="TransLsq">'Transistor Calculation'!$B$11</definedName>
    <definedName name="TransLSU">'Transistor Calculation'!$B$45</definedName>
    <definedName name="TransPerBasicCmtU">'Basic Assumptions'!$B$23</definedName>
    <definedName name="TransPerBasicCpxFpU">'Basic Assumptions'!$B$28</definedName>
    <definedName name="TransPerBasicCpxIntU">'Basic Assumptions'!$B$26</definedName>
    <definedName name="TransPerBasicDecU">'Basic Assumptions'!$B$20</definedName>
    <definedName name="TransPerBasicFpU">'Basic Assumptions'!$B$27</definedName>
    <definedName name="TransPerBasicFU">'Basic Assumptions'!$B$19</definedName>
    <definedName name="TransPerBasicIntU">'Basic Assumptions'!$B$25</definedName>
    <definedName name="TransPerBasicIssU">'Basic Assumptions'!$B$21</definedName>
    <definedName name="TransPerBasicLSU">'Basic Assumptions'!$B$29</definedName>
    <definedName name="TransPerBasicWbU">'Basic Assumptions'!$B$22</definedName>
    <definedName name="TransPerFpRegSet">'Transistor Calculation'!$B$7</definedName>
    <definedName name="TransPerIntRegSet">'Transistor Calculation'!$B$8</definedName>
    <definedName name="TransPerReadPort">'Basic Assumptions'!$B$15</definedName>
    <definedName name="TransPerSRBit">'Basic Assumptions'!$B$17</definedName>
    <definedName name="TransPerWrtPort">'Basic Assumptions'!$B$16</definedName>
    <definedName name="TransReg">'Transistor Calculation'!$B$9</definedName>
    <definedName name="TransRuu">'Transistor Calculation'!$B$12</definedName>
    <definedName name="TransTlb">'Transistor Calculation'!$B$17</definedName>
    <definedName name="TransWbU">'Transistor Calculation'!$B$37</definedName>
    <definedName name="WbBasicSizeInLam">'Basic Assumptions'!$B$35</definedName>
    <definedName name="WbUArea">'Area Calculation'!$B$73</definedName>
    <definedName name="WordInBit">'Basic Assumptions'!$B$11</definedName>
    <definedName name="WtWidInLam">'Basic Assumptions'!$B$46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4" i="8" l="1"/>
  <c r="B5" i="9"/>
  <c r="B4" i="9"/>
  <c r="B88" i="7"/>
  <c r="B10" i="9"/>
  <c r="B11" i="9"/>
  <c r="B10" i="7"/>
  <c r="B8" i="8"/>
  <c r="B11" i="7"/>
  <c r="B12" i="7"/>
  <c r="B8" i="3"/>
  <c r="B8" i="9"/>
  <c r="B9" i="9"/>
  <c r="B13" i="7"/>
  <c r="B7" i="8"/>
  <c r="B14" i="7"/>
  <c r="B15" i="7"/>
  <c r="B12" i="8"/>
  <c r="B13" i="8"/>
  <c r="B14" i="8"/>
  <c r="B15" i="9"/>
  <c r="B14" i="9"/>
  <c r="B18" i="8"/>
  <c r="B17" i="8"/>
  <c r="B19" i="8"/>
  <c r="B20" i="8"/>
  <c r="B19" i="9"/>
  <c r="B18" i="9"/>
  <c r="B25" i="7"/>
  <c r="B24" i="7"/>
  <c r="B26" i="7"/>
  <c r="C8" i="10"/>
  <c r="B31" i="8"/>
  <c r="B33" i="8"/>
  <c r="B32" i="8"/>
  <c r="B23" i="9"/>
  <c r="B22" i="9"/>
  <c r="B30" i="7"/>
  <c r="B24" i="8"/>
  <c r="B26" i="8"/>
  <c r="B25" i="8"/>
  <c r="B25" i="9"/>
  <c r="B24" i="9"/>
  <c r="B46" i="8"/>
  <c r="B29" i="9"/>
  <c r="B28" i="9"/>
  <c r="B20" i="3"/>
  <c r="B49" i="8"/>
  <c r="B50" i="8"/>
  <c r="B48" i="8"/>
  <c r="B47" i="8"/>
  <c r="B38" i="8"/>
  <c r="B31" i="9"/>
  <c r="B30" i="9"/>
  <c r="B49" i="7"/>
  <c r="B41" i="8"/>
  <c r="B42" i="8"/>
  <c r="B40" i="8"/>
  <c r="B39" i="8"/>
  <c r="B62" i="8"/>
  <c r="B33" i="9"/>
  <c r="B32" i="9"/>
  <c r="B56" i="7"/>
  <c r="B65" i="8"/>
  <c r="B64" i="8"/>
  <c r="B66" i="8"/>
  <c r="B54" i="8"/>
  <c r="B35" i="9"/>
  <c r="B34" i="9"/>
  <c r="B64" i="7"/>
  <c r="B57" i="8"/>
  <c r="B58" i="8"/>
  <c r="B56" i="8"/>
  <c r="B55" i="8"/>
  <c r="B49" i="2"/>
  <c r="B19" i="2"/>
  <c r="B34" i="3"/>
  <c r="B17" i="10"/>
  <c r="B70" i="7"/>
  <c r="C17" i="10"/>
  <c r="B20" i="2"/>
  <c r="B35" i="3"/>
  <c r="B18" i="10"/>
  <c r="B71" i="7"/>
  <c r="C18" i="10"/>
  <c r="B72" i="7"/>
  <c r="C19" i="10"/>
  <c r="B73" i="7"/>
  <c r="C20" i="10"/>
  <c r="B74" i="7"/>
  <c r="C21" i="10"/>
  <c r="B79" i="7"/>
  <c r="B78" i="7"/>
  <c r="B80" i="7"/>
  <c r="B81" i="7"/>
  <c r="B82" i="7"/>
  <c r="C25" i="10"/>
  <c r="B100" i="7"/>
  <c r="B101" i="7"/>
  <c r="B102" i="7"/>
  <c r="B103" i="7"/>
  <c r="B104" i="7"/>
  <c r="B105" i="7"/>
  <c r="B106" i="7"/>
  <c r="B107" i="7"/>
  <c r="B108" i="7"/>
  <c r="B9" i="8"/>
  <c r="B70" i="8"/>
  <c r="B71" i="8"/>
  <c r="B50" i="7"/>
  <c r="B4" i="3"/>
  <c r="B20" i="7"/>
  <c r="B7" i="3"/>
  <c r="B9" i="3"/>
  <c r="B5" i="10"/>
  <c r="B57" i="7"/>
  <c r="B19" i="7"/>
  <c r="B21" i="2"/>
  <c r="B36" i="3"/>
  <c r="B19" i="10"/>
  <c r="C24" i="10"/>
  <c r="B27" i="2"/>
  <c r="B43" i="3"/>
  <c r="B24" i="10"/>
  <c r="B35" i="7"/>
  <c r="B50" i="3"/>
  <c r="C23" i="10"/>
  <c r="B43" i="7"/>
  <c r="B34" i="7"/>
  <c r="B83" i="7"/>
  <c r="B29" i="2"/>
  <c r="B45" i="3"/>
  <c r="B25" i="10"/>
  <c r="B25" i="2"/>
  <c r="B41" i="3"/>
  <c r="B63" i="7"/>
  <c r="B65" i="7"/>
  <c r="B63" i="8"/>
  <c r="B26" i="3"/>
  <c r="B27" i="3"/>
  <c r="B28" i="3"/>
  <c r="B23" i="2"/>
  <c r="B38" i="3"/>
  <c r="B21" i="10"/>
  <c r="B28" i="2"/>
  <c r="B44" i="3"/>
  <c r="B26" i="2"/>
  <c r="B42" i="3"/>
  <c r="B22" i="2"/>
  <c r="B37" i="3"/>
  <c r="B20" i="10"/>
  <c r="B67" i="8"/>
  <c r="B79" i="8"/>
  <c r="B12" i="10"/>
  <c r="B66" i="3"/>
  <c r="B59" i="3"/>
  <c r="B6" i="10"/>
  <c r="B12" i="3"/>
  <c r="B73" i="8"/>
  <c r="B46" i="3"/>
  <c r="B23" i="10"/>
  <c r="B59" i="8"/>
  <c r="B78" i="8"/>
  <c r="B30" i="3"/>
  <c r="B58" i="7"/>
  <c r="B59" i="7"/>
  <c r="B24" i="3"/>
  <c r="B43" i="8"/>
  <c r="B76" i="8"/>
  <c r="B51" i="7"/>
  <c r="B52" i="7"/>
  <c r="B21" i="3"/>
  <c r="B22" i="3"/>
  <c r="B51" i="8"/>
  <c r="B77" i="8"/>
  <c r="B72" i="8"/>
  <c r="B21" i="7"/>
  <c r="C7" i="10"/>
  <c r="B11" i="3"/>
  <c r="B16" i="7"/>
  <c r="C6" i="10"/>
  <c r="B42" i="7"/>
  <c r="B66" i="7"/>
  <c r="B67" i="7"/>
  <c r="C13" i="10"/>
  <c r="B23" i="3"/>
  <c r="B25" i="3"/>
  <c r="B29" i="3"/>
  <c r="B31" i="3"/>
  <c r="B87" i="7"/>
  <c r="B89" i="7"/>
  <c r="B53" i="3"/>
  <c r="B5" i="7"/>
  <c r="B31" i="7"/>
  <c r="B34" i="8"/>
  <c r="B35" i="8"/>
  <c r="B6" i="7"/>
  <c r="B94" i="7"/>
  <c r="B27" i="8"/>
  <c r="B28" i="8"/>
  <c r="B16" i="3"/>
  <c r="B63" i="3"/>
  <c r="B74" i="8"/>
  <c r="B36" i="7"/>
  <c r="B64" i="3"/>
  <c r="B10" i="10"/>
  <c r="B15" i="3"/>
  <c r="B75" i="8"/>
  <c r="B93" i="7"/>
  <c r="B95" i="7"/>
  <c r="B7" i="7"/>
  <c r="B11" i="10"/>
  <c r="B65" i="3"/>
  <c r="B44" i="7"/>
  <c r="B45" i="7"/>
  <c r="B46" i="7"/>
  <c r="C10" i="10"/>
  <c r="B67" i="3"/>
  <c r="B13" i="10"/>
  <c r="B60" i="3"/>
  <c r="B7" i="10"/>
  <c r="B8" i="10"/>
  <c r="B61" i="3"/>
  <c r="B32" i="7"/>
  <c r="B37" i="7"/>
  <c r="C9" i="10"/>
  <c r="B53" i="7"/>
  <c r="C11" i="10"/>
  <c r="B60" i="7"/>
  <c r="C12" i="10"/>
  <c r="B62" i="3"/>
  <c r="B17" i="3"/>
  <c r="C5" i="10"/>
  <c r="C28" i="10"/>
  <c r="C29" i="10"/>
  <c r="C30" i="10"/>
  <c r="B109" i="7"/>
  <c r="B9" i="10"/>
  <c r="B28" i="10"/>
  <c r="B29" i="10"/>
  <c r="B30" i="10"/>
  <c r="B69" i="3"/>
</calcChain>
</file>

<file path=xl/comments1.xml><?xml version="1.0" encoding="utf-8"?>
<comments xmlns="http://schemas.openxmlformats.org/spreadsheetml/2006/main">
  <authors>
    <author>M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Name of the SimpleScalar Parameter. This parameternames are from the config file of the SimpleScalar Tool Set.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Value of the Parameter</t>
        </r>
      </text>
    </comment>
  </commentList>
</comments>
</file>

<file path=xl/comments2.xml><?xml version="1.0" encoding="utf-8"?>
<comments xmlns="http://schemas.openxmlformats.org/spreadsheetml/2006/main">
  <authors>
    <author>M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Name of the assumption parameter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Value of the assumption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If the assumption is calculated, the formula is displayed here. Otherwise it's a fixed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Short description of the assumption.</t>
        </r>
      </text>
    </comment>
  </commentList>
</comments>
</file>

<file path=xl/comments3.xml><?xml version="1.0" encoding="utf-8"?>
<comments xmlns="http://schemas.openxmlformats.org/spreadsheetml/2006/main">
  <authors>
    <author>M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Name of the unit, the number of ports are calculated for.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Result of port calculation. Depends on the base line architecture strongly.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The formular to calculate the number of the ports.</t>
        </r>
      </text>
    </comment>
  </commentList>
</comments>
</file>

<file path=xl/comments4.xml><?xml version="1.0" encoding="utf-8"?>
<comments xmlns="http://schemas.openxmlformats.org/spreadsheetml/2006/main">
  <authors>
    <author>M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Name of the unit, the bits are calculated for.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 xml:space="preserve">Bits are calculated in this column. 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M: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Name of the unit the transistors are calculated for.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 xml:space="preserve">Result of transistor calculation.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Formular to calculate the number of transistors.</t>
        </r>
      </text>
    </comment>
  </commentList>
</comments>
</file>

<file path=xl/comments6.xml><?xml version="1.0" encoding="utf-8"?>
<comments xmlns="http://schemas.openxmlformats.org/spreadsheetml/2006/main">
  <authors>
    <author>M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Expression, which is ment in the field names.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The acronym for the expression.</t>
        </r>
      </text>
    </comment>
  </commentList>
</comments>
</file>

<file path=xl/sharedStrings.xml><?xml version="1.0" encoding="utf-8"?>
<sst xmlns="http://schemas.openxmlformats.org/spreadsheetml/2006/main" count="904" uniqueCount="670">
  <si>
    <t>fetch:ifqsize</t>
  </si>
  <si>
    <t>Description</t>
  </si>
  <si>
    <t>seed</t>
  </si>
  <si>
    <t>Random number generator</t>
  </si>
  <si>
    <t>Instruction fetch queue size</t>
  </si>
  <si>
    <t>fetch:mplat</t>
  </si>
  <si>
    <t>Comment</t>
  </si>
  <si>
    <t>extra branch mis-perdiction latency</t>
  </si>
  <si>
    <t>bpred</t>
  </si>
  <si>
    <t>branch predictor type (nottaken|taken|perfect|bimod|2lev)</t>
  </si>
  <si>
    <t>bpred:bimod</t>
  </si>
  <si>
    <t>bpred:2lev ll1size</t>
  </si>
  <si>
    <t>2-level predictor config l1size param</t>
  </si>
  <si>
    <t>bpred:2lev l2size</t>
  </si>
  <si>
    <t>2-level predictor config l2size param</t>
  </si>
  <si>
    <t>bpred:2lev hist_size</t>
  </si>
  <si>
    <t>2-level predictor config hist_size param</t>
  </si>
  <si>
    <t>decode:width</t>
  </si>
  <si>
    <t>instruction decode B/W (insts/cycle)</t>
  </si>
  <si>
    <t>issue:width</t>
  </si>
  <si>
    <t>instruction issue B/W (insts/cycle)</t>
  </si>
  <si>
    <t>issue:inorder</t>
  </si>
  <si>
    <t>run pipeline with in-order issue</t>
  </si>
  <si>
    <t>issue:wrongpath</t>
  </si>
  <si>
    <t>issue instruction down wrong execution paths</t>
  </si>
  <si>
    <t>ruu:size</t>
  </si>
  <si>
    <t>register update unit (RUU) size</t>
  </si>
  <si>
    <t>lsq:size</t>
  </si>
  <si>
    <t>load/store queue (LSQ) size</t>
  </si>
  <si>
    <t>cache:dl1</t>
  </si>
  <si>
    <t xml:space="preserve">l1 data cache config </t>
  </si>
  <si>
    <t>cache:dl1lat</t>
  </si>
  <si>
    <t>l1 data cache hit latency (in cycles)</t>
  </si>
  <si>
    <t>cache:dl2</t>
  </si>
  <si>
    <t>cache:dl2lat</t>
  </si>
  <si>
    <t xml:space="preserve">l2 data cache config </t>
  </si>
  <si>
    <t>l2 data cache hit latency (in cycles)</t>
  </si>
  <si>
    <t>cache:il1</t>
  </si>
  <si>
    <t xml:space="preserve">l1 inst cache config </t>
  </si>
  <si>
    <t>cache:il1lat</t>
  </si>
  <si>
    <t>l1 inst cache hit latency (in cycles)</t>
  </si>
  <si>
    <t>cache:il2</t>
  </si>
  <si>
    <t>cache:il2lat</t>
  </si>
  <si>
    <t xml:space="preserve">l2 inst cache config </t>
  </si>
  <si>
    <t>l2 inst cache hit latency (in cycles)</t>
  </si>
  <si>
    <t>cache:flush</t>
  </si>
  <si>
    <t>cache:icompress</t>
  </si>
  <si>
    <t xml:space="preserve">mem:lat </t>
  </si>
  <si>
    <t>memory latency first_chunk</t>
  </si>
  <si>
    <t>memory latency inter_chunk</t>
  </si>
  <si>
    <t>mem:width</t>
  </si>
  <si>
    <t>memory access bus width (in byte)</t>
  </si>
  <si>
    <t>tlb:itlb</t>
  </si>
  <si>
    <t>instruction TLB config</t>
  </si>
  <si>
    <t>tlb:dtlb</t>
  </si>
  <si>
    <t>data TLB config</t>
  </si>
  <si>
    <t>tlb:lat</t>
  </si>
  <si>
    <t>inst/data TLB miss latancy</t>
  </si>
  <si>
    <t>res:ialu</t>
  </si>
  <si>
    <t>res:imult</t>
  </si>
  <si>
    <t>total number of integer ALU´s available</t>
  </si>
  <si>
    <t>total number of integer multiplier/dividers available</t>
  </si>
  <si>
    <t>res:memport</t>
  </si>
  <si>
    <t>total number of memory system ports available (to CPU)</t>
  </si>
  <si>
    <t>res:fpalu</t>
  </si>
  <si>
    <t>total number of floating point ALU´s available</t>
  </si>
  <si>
    <t>res:fpmult</t>
  </si>
  <si>
    <t>total number of floating point multiplier/dividers available</t>
  </si>
  <si>
    <t>bugcompat</t>
  </si>
  <si>
    <t>operate in backward-compatible bugs mode (for testing only)</t>
  </si>
  <si>
    <t>Name</t>
  </si>
  <si>
    <t>Ports</t>
  </si>
  <si>
    <t>Transistors</t>
  </si>
  <si>
    <t>Port</t>
  </si>
  <si>
    <t>Register</t>
  </si>
  <si>
    <t>Bits</t>
  </si>
  <si>
    <t>Address</t>
  </si>
  <si>
    <t xml:space="preserve">Number </t>
  </si>
  <si>
    <t>Floating Point</t>
  </si>
  <si>
    <t>Size</t>
  </si>
  <si>
    <t>RegisterRename</t>
  </si>
  <si>
    <t>Ruu</t>
  </si>
  <si>
    <t>Fp</t>
  </si>
  <si>
    <t>Acronym</t>
  </si>
  <si>
    <t>Caches</t>
  </si>
  <si>
    <t>I-TLB</t>
  </si>
  <si>
    <t>D-TLB</t>
  </si>
  <si>
    <t>Registers</t>
  </si>
  <si>
    <t>Multiplier</t>
  </si>
  <si>
    <t>Mul</t>
  </si>
  <si>
    <t>Area</t>
  </si>
  <si>
    <t>SDRAM - bit</t>
  </si>
  <si>
    <t>SDBit</t>
  </si>
  <si>
    <t>Transistor</t>
  </si>
  <si>
    <t>Trans</t>
  </si>
  <si>
    <t>per</t>
  </si>
  <si>
    <t>Per</t>
  </si>
  <si>
    <t>Square mm</t>
  </si>
  <si>
    <t>Equivalent</t>
  </si>
  <si>
    <t>Equi</t>
  </si>
  <si>
    <t>Mm2</t>
  </si>
  <si>
    <t>l</t>
  </si>
  <si>
    <t>Unit</t>
  </si>
  <si>
    <t>Formula</t>
  </si>
  <si>
    <t>Fetch</t>
  </si>
  <si>
    <t>Type</t>
  </si>
  <si>
    <t>Bimodal</t>
  </si>
  <si>
    <t>Bim</t>
  </si>
  <si>
    <t>Branch predictor</t>
  </si>
  <si>
    <t>Bprd</t>
  </si>
  <si>
    <t>History</t>
  </si>
  <si>
    <t>His</t>
  </si>
  <si>
    <t>Decode</t>
  </si>
  <si>
    <t>Dec</t>
  </si>
  <si>
    <t>BTB bimodal</t>
  </si>
  <si>
    <t xml:space="preserve"> </t>
  </si>
  <si>
    <t>Processor</t>
  </si>
  <si>
    <t>Proc</t>
  </si>
  <si>
    <t>Add</t>
  </si>
  <si>
    <t>Bit</t>
  </si>
  <si>
    <t>Cache</t>
  </si>
  <si>
    <t>Lines</t>
  </si>
  <si>
    <t>Ln</t>
  </si>
  <si>
    <t>Instruction</t>
  </si>
  <si>
    <t>I</t>
  </si>
  <si>
    <t>Data</t>
  </si>
  <si>
    <t xml:space="preserve">D </t>
  </si>
  <si>
    <t>Associativity</t>
  </si>
  <si>
    <t>Ass</t>
  </si>
  <si>
    <t>Strategy</t>
  </si>
  <si>
    <t>Strt</t>
  </si>
  <si>
    <t>Level 1 i-cache</t>
  </si>
  <si>
    <t>Level 1 d-cache</t>
  </si>
  <si>
    <t>Offset</t>
  </si>
  <si>
    <t>Off</t>
  </si>
  <si>
    <t>Index</t>
  </si>
  <si>
    <t>Idx</t>
  </si>
  <si>
    <t>Level 1 i-cache total bits</t>
  </si>
  <si>
    <t>Tag</t>
  </si>
  <si>
    <t>Level 1 d-cache total bits</t>
  </si>
  <si>
    <t>Level 2 i-cache</t>
  </si>
  <si>
    <t>Level 2 d-cache</t>
  </si>
  <si>
    <t>Level 2 d-cache total bits</t>
  </si>
  <si>
    <t>Level 2 i-cache total bits</t>
  </si>
  <si>
    <t>Total</t>
  </si>
  <si>
    <t>Tot</t>
  </si>
  <si>
    <t>Level</t>
  </si>
  <si>
    <t>Lev</t>
  </si>
  <si>
    <t>Without</t>
  </si>
  <si>
    <t>Wout</t>
  </si>
  <si>
    <t>Branch Prediction</t>
  </si>
  <si>
    <t>BTB</t>
  </si>
  <si>
    <t>BTB (Brach Target Buffer)</t>
  </si>
  <si>
    <t>Simple Scalar architecture</t>
  </si>
  <si>
    <t>TLB</t>
  </si>
  <si>
    <t>Tlb</t>
  </si>
  <si>
    <t>Btb</t>
  </si>
  <si>
    <t>TLB´s</t>
  </si>
  <si>
    <t>Page</t>
  </si>
  <si>
    <t>Pg</t>
  </si>
  <si>
    <t>Virtual</t>
  </si>
  <si>
    <t>Virt</t>
  </si>
  <si>
    <t>Level 1 i-cache data bits</t>
  </si>
  <si>
    <t>Level 1 d-cache data bits</t>
  </si>
  <si>
    <t>Level 2 i-cache data bits</t>
  </si>
  <si>
    <t>Level 2 d-cache data bits</t>
  </si>
  <si>
    <t>D-TLB total bits</t>
  </si>
  <si>
    <t>Summary</t>
  </si>
  <si>
    <t xml:space="preserve">D-TLB </t>
  </si>
  <si>
    <t>I-TLB total bits</t>
  </si>
  <si>
    <t xml:space="preserve">Level 1 d-cache </t>
  </si>
  <si>
    <t xml:space="preserve">Register </t>
  </si>
  <si>
    <t>Reg</t>
  </si>
  <si>
    <t>Nu</t>
  </si>
  <si>
    <t>Integer registers</t>
  </si>
  <si>
    <t>Floatingpoint registers</t>
  </si>
  <si>
    <t>Floating point registers</t>
  </si>
  <si>
    <t>Integer register</t>
  </si>
  <si>
    <t>Integer</t>
  </si>
  <si>
    <t>Int</t>
  </si>
  <si>
    <t>Total register bits</t>
  </si>
  <si>
    <t>ITLB</t>
  </si>
  <si>
    <t>DTLB</t>
  </si>
  <si>
    <t xml:space="preserve">Register  </t>
  </si>
  <si>
    <t>Lambda</t>
  </si>
  <si>
    <t>Lam</t>
  </si>
  <si>
    <t>Wt</t>
  </si>
  <si>
    <t>Wire track (wt)</t>
  </si>
  <si>
    <t>rbe</t>
  </si>
  <si>
    <t>Rbe</t>
  </si>
  <si>
    <t xml:space="preserve">Of </t>
  </si>
  <si>
    <t>Wire grid (wg)</t>
  </si>
  <si>
    <t>Wg</t>
  </si>
  <si>
    <t>Square lambda</t>
  </si>
  <si>
    <t>Lam2</t>
  </si>
  <si>
    <t>Percent</t>
  </si>
  <si>
    <t>Pct</t>
  </si>
  <si>
    <t xml:space="preserve">Execution </t>
  </si>
  <si>
    <t>Ex</t>
  </si>
  <si>
    <t>Latches</t>
  </si>
  <si>
    <t>Ltch</t>
  </si>
  <si>
    <t>Busese</t>
  </si>
  <si>
    <t>Bus</t>
  </si>
  <si>
    <t>Control</t>
  </si>
  <si>
    <t>Ctrl</t>
  </si>
  <si>
    <t>And</t>
  </si>
  <si>
    <t>ALU</t>
  </si>
  <si>
    <t>Alu</t>
  </si>
  <si>
    <t>Total execution units</t>
  </si>
  <si>
    <t>Total registers</t>
  </si>
  <si>
    <t>Instruction fetch</t>
  </si>
  <si>
    <t>F</t>
  </si>
  <si>
    <t>Base</t>
  </si>
  <si>
    <t>Width</t>
  </si>
  <si>
    <t>Wid</t>
  </si>
  <si>
    <t>Issue</t>
  </si>
  <si>
    <t>Iss</t>
  </si>
  <si>
    <t>Instruction decode</t>
  </si>
  <si>
    <t>Cell</t>
  </si>
  <si>
    <t>Height</t>
  </si>
  <si>
    <t>Hght</t>
  </si>
  <si>
    <t>Level 1 Cache</t>
  </si>
  <si>
    <t>FUs</t>
  </si>
  <si>
    <t>Integer ALU</t>
  </si>
  <si>
    <t>Integer multiplier</t>
  </si>
  <si>
    <t>Floating point ALU</t>
  </si>
  <si>
    <t>Floating point multipliers</t>
  </si>
  <si>
    <t>IDecAreaInRbe</t>
  </si>
  <si>
    <t>Busses and control</t>
  </si>
  <si>
    <t>TotRegAreaInRbe</t>
  </si>
  <si>
    <t>TotTlbAreaInRbe</t>
  </si>
  <si>
    <t>TotFuAreaInRbe</t>
  </si>
  <si>
    <t>BimBpredBtbAreaInRbe</t>
  </si>
  <si>
    <t>IFAreaInRbe</t>
  </si>
  <si>
    <t>(TotRegAreaInRbe + TotTlbAreaInRbe + TotFuAreaInRbe + IDecAreaInRbe + IFAreaInRbe + BimBpredBtbAreaInRbe) * (BusAndCtrlInPctOfEx / 100)</t>
  </si>
  <si>
    <t>(TotRegAreaInRbe + TotTlbAreaInRbe + TotFuAreaInRbe + IDecAreaInRbe + IFAreaInRbe + BimBpredBtbAreaInRbe) * (LtchInPctOfEx / 100)</t>
  </si>
  <si>
    <t>TotLev1ICacheAreaInRbe + TotLev1DCacheAreaInRbe</t>
  </si>
  <si>
    <t>Floating point register write ports</t>
  </si>
  <si>
    <t>Integer register read ports</t>
  </si>
  <si>
    <t>Integer register write ports</t>
  </si>
  <si>
    <t>RUU</t>
  </si>
  <si>
    <t>LSQ</t>
  </si>
  <si>
    <t>Lsq</t>
  </si>
  <si>
    <t>Fixed Value</t>
  </si>
  <si>
    <t>RUU read ports</t>
  </si>
  <si>
    <t>RUU write ports</t>
  </si>
  <si>
    <t>Floating point register read ports</t>
  </si>
  <si>
    <t>LSQ read ports</t>
  </si>
  <si>
    <t>LSQ write ports</t>
  </si>
  <si>
    <t>Value</t>
  </si>
  <si>
    <t xml:space="preserve">In </t>
  </si>
  <si>
    <t>Entry</t>
  </si>
  <si>
    <t>Ent</t>
  </si>
  <si>
    <t>LSQ total bits</t>
  </si>
  <si>
    <t>BTB read ports</t>
  </si>
  <si>
    <t>BTB write ports</t>
  </si>
  <si>
    <t>Write</t>
  </si>
  <si>
    <t>Wrt</t>
  </si>
  <si>
    <t>Read</t>
  </si>
  <si>
    <t>Access</t>
  </si>
  <si>
    <t>Acc</t>
  </si>
  <si>
    <t>Logic</t>
  </si>
  <si>
    <t>Lgc</t>
  </si>
  <si>
    <t>Byte</t>
  </si>
  <si>
    <t>Sizes of Units in square lambda</t>
  </si>
  <si>
    <t>SRAM-Bit</t>
  </si>
  <si>
    <t>Write Port</t>
  </si>
  <si>
    <t>Read Port</t>
  </si>
  <si>
    <t>Floating Point register</t>
  </si>
  <si>
    <t xml:space="preserve">RUU  </t>
  </si>
  <si>
    <t>Evaluated Value</t>
  </si>
  <si>
    <r>
      <t xml:space="preserve">Area in </t>
    </r>
    <r>
      <rPr>
        <b/>
        <sz val="10"/>
        <rFont val="Symbol"/>
        <family val="1"/>
        <charset val="2"/>
      </rPr>
      <t>l</t>
    </r>
    <r>
      <rPr>
        <b/>
        <sz val="10"/>
        <rFont val="Arial"/>
        <family val="2"/>
      </rPr>
      <t>²</t>
    </r>
  </si>
  <si>
    <t>Expression</t>
  </si>
  <si>
    <t>ignored for complexity estimation</t>
  </si>
  <si>
    <t>fetch band width</t>
  </si>
  <si>
    <t>select the type of the branch prediction. At  2lev not specified if Pag or Pap</t>
  </si>
  <si>
    <t>size of the 1st level table</t>
  </si>
  <si>
    <t>size of the 2nd level table</t>
  </si>
  <si>
    <t>pattern width in bits</t>
  </si>
  <si>
    <t>decode band width</t>
  </si>
  <si>
    <t>issue band width</t>
  </si>
  <si>
    <t>number of entries in the Register Update Unit</t>
  </si>
  <si>
    <t>number of sets</t>
  </si>
  <si>
    <t xml:space="preserve">associativity </t>
  </si>
  <si>
    <t>number of lines</t>
  </si>
  <si>
    <t>latency is ignored for complexity estimation</t>
  </si>
  <si>
    <t>associativity</t>
  </si>
  <si>
    <t>system page size</t>
  </si>
  <si>
    <t>number of floating point registers</t>
  </si>
  <si>
    <t>number of integer registers</t>
  </si>
  <si>
    <t>number of transistors per read port</t>
  </si>
  <si>
    <t>number of transistors per write port</t>
  </si>
  <si>
    <t>number of transistors per basic SRAM cell</t>
  </si>
  <si>
    <t>number of transistors of a basic fetch unit</t>
  </si>
  <si>
    <t>number of transistors of a basic decode unit</t>
  </si>
  <si>
    <t>number of transistors of a basic complex floating point ALU</t>
  </si>
  <si>
    <t>number of transistors of a basic simple floating point ALU</t>
  </si>
  <si>
    <t>number of transistors of a basic complex integer ALU</t>
  </si>
  <si>
    <t>number of transistors of a basic simple integer ALU</t>
  </si>
  <si>
    <t>number of transistors of a basic load store unit</t>
  </si>
  <si>
    <t>number of transistors of the write back logic</t>
  </si>
  <si>
    <t>number of transistors of the commit logic</t>
  </si>
  <si>
    <t>Set</t>
  </si>
  <si>
    <t>Transistor Density</t>
  </si>
  <si>
    <t>U</t>
  </si>
  <si>
    <t>Basic</t>
  </si>
  <si>
    <t>Writeback</t>
  </si>
  <si>
    <t>Wb</t>
  </si>
  <si>
    <t>Commit</t>
  </si>
  <si>
    <t>Cmt</t>
  </si>
  <si>
    <t>CmtUBasicSizeInLam * LogTransDens</t>
  </si>
  <si>
    <t>Level 1 i-cache read ports</t>
  </si>
  <si>
    <t>Level 1 i-cache write ports</t>
  </si>
  <si>
    <t>Level 1 d-cache read ports</t>
  </si>
  <si>
    <t>Level 1 d-cache write ports</t>
  </si>
  <si>
    <t>Level 2 i-cache read ports</t>
  </si>
  <si>
    <t>Level 2 i-cache write ports</t>
  </si>
  <si>
    <t>Level 2 d-cache read ports</t>
  </si>
  <si>
    <t>Level 2 d-cache write ports</t>
  </si>
  <si>
    <t>D-TLB read ports</t>
  </si>
  <si>
    <t>I-TLB read ports</t>
  </si>
  <si>
    <t>I-TLB write ports</t>
  </si>
  <si>
    <t>D-TLB write ports</t>
  </si>
  <si>
    <t>NuMemPort</t>
  </si>
  <si>
    <t>FWid</t>
  </si>
  <si>
    <t>(NuIntAlu + NuIntMul) * 2 + NuMemPort * 2</t>
  </si>
  <si>
    <t>(HP8000LogTransDens + Sparc64LogTransDens) / 2</t>
  </si>
  <si>
    <t>NuIntAlu + NuIntMul + NuFpAlu + NuFpMul + IssWid + FWid</t>
  </si>
  <si>
    <t>NuIntAlu + NuIntMul + NuFpAlu + NuFpMul + DecWid</t>
  </si>
  <si>
    <t>NuFpReg * BitPerFpReg</t>
  </si>
  <si>
    <t>NuIntReg * BitPerIntReg</t>
  </si>
  <si>
    <t>RUU identification bits</t>
  </si>
  <si>
    <t>ROUNDUP(LOG(RuuEnt,2),0)</t>
  </si>
  <si>
    <t>Word</t>
  </si>
  <si>
    <t>LSQ entry bits</t>
  </si>
  <si>
    <t>RUU Entry bits</t>
  </si>
  <si>
    <t>Total RUU bits</t>
  </si>
  <si>
    <t>BitPerRuuId + 3 + AddInBit + WordInBit</t>
  </si>
  <si>
    <t>BitPerLsqEnt * LsqEnt</t>
  </si>
  <si>
    <t>RuuEnt * BitPerRuuEnt</t>
  </si>
  <si>
    <t>Register identification bits</t>
  </si>
  <si>
    <t>ROUNDUP(LOG((NuIntReg + NuFpReg),2),0)</t>
  </si>
  <si>
    <t>ROUNDUP(LOG((NuIntAlu + NuIntMul + NuFpAlu + NuFpMul + NuMemPort),2),0)</t>
  </si>
  <si>
    <t>Execution unit identification bits</t>
  </si>
  <si>
    <t>3 * (BitPerRegId + WordInBit + 1) + BitPerPC + BitPerExUId + 2</t>
  </si>
  <si>
    <t>LOG(DTlbBytePerPg,2)</t>
  </si>
  <si>
    <t>LOG(ITlbBytePerPg,2)</t>
  </si>
  <si>
    <t>LOG(DTlbSet,2)</t>
  </si>
  <si>
    <t>LOG(ITlbSet,2)</t>
  </si>
  <si>
    <t>(AddInBit-BitPerDTlbPgOff) * DTlbAss * DTlbSet</t>
  </si>
  <si>
    <t>BitOfDTlbAdd + BitOfDTlbTag</t>
  </si>
  <si>
    <t>(AddInBit - BitPerITlbPgOff) * ITlbAss * ITlbSet</t>
  </si>
  <si>
    <t>(AddInBit - (BitPerITlbPgOff + BitPerITlbIdx))  * ITlbAss * ITlbSet</t>
  </si>
  <si>
    <t>BitOfITlbAdd + BitOfITlbTag</t>
  </si>
  <si>
    <t>BitPerDTlb</t>
  </si>
  <si>
    <t>BitPerITlb</t>
  </si>
  <si>
    <t>Floating point register</t>
  </si>
  <si>
    <t>BitPerIntRegSet</t>
  </si>
  <si>
    <t>BitPerFpRegSet</t>
  </si>
  <si>
    <t>BitPerLsq</t>
  </si>
  <si>
    <t>BitPerRuu</t>
  </si>
  <si>
    <t>ROUNDUP(FWid * 4 / Lev1ICacheBytePerLn,0)</t>
  </si>
  <si>
    <t>Lev1ICacheSet * Lev1ICacheBytePerLn * Lev1ICacheAss * 8</t>
  </si>
  <si>
    <t>LOG(Lev1ICacheBytePerLn / 8,2)</t>
  </si>
  <si>
    <t>LOG(Lev1ICacheSet,2)</t>
  </si>
  <si>
    <t>Lev1ICacheDataBit + Lev1ICacheTagBit</t>
  </si>
  <si>
    <t>Lev1DCacheSet * Lev1DCacheBytePerLn * Lev1DCacheAss * 8</t>
  </si>
  <si>
    <t>LOG(Lev1DCacheSet,2)</t>
  </si>
  <si>
    <t>Level 1 d-cache tag bits</t>
  </si>
  <si>
    <t>Level 1 d-cache offset bits</t>
  </si>
  <si>
    <t>Level 1 d-cache index bits</t>
  </si>
  <si>
    <t>Level 1 d-cache lru bits</t>
  </si>
  <si>
    <t>I-TLB index bits</t>
  </si>
  <si>
    <t>I-TLB virtual page offset bits</t>
  </si>
  <si>
    <t>D-TLB virtual page offset bits</t>
  </si>
  <si>
    <t>D-TLB index bits</t>
  </si>
  <si>
    <t>D-TLB tag bits</t>
  </si>
  <si>
    <t>D-TLB address bits</t>
  </si>
  <si>
    <t>I-TLB address bits</t>
  </si>
  <si>
    <t>I-TLB tag bits</t>
  </si>
  <si>
    <t>ROUNDUP(LOG(Lev1DCacheAss,2),0)</t>
  </si>
  <si>
    <t>(AddInBit + BitPerLev1DCacheLru - (BitPerLev1DCacheIdx + BitPerLev1DCacheOff)) * Lev1DCacheSet * Lev1DCacheAss</t>
  </si>
  <si>
    <t>Level 1 i-cache lru bits</t>
  </si>
  <si>
    <t>Level 1 i-cache index bits</t>
  </si>
  <si>
    <t>Level 1 i-cache offset bits</t>
  </si>
  <si>
    <t>Level 1 i-cache tag bits</t>
  </si>
  <si>
    <t>ROUNDUP(LOG(Lev1ICacheAss,2),0)</t>
  </si>
  <si>
    <t>(AddInBit + BitPerLev1ICacheLru - (BitPerLev1ICacheIdx + BitPerLev1ICacheOff)) * Lev1ICacheSet * Lev1ICacheAss</t>
  </si>
  <si>
    <t>Level 2 d-cache tag bits</t>
  </si>
  <si>
    <t>Level 2 d-cache offset bits</t>
  </si>
  <si>
    <t>Level 2 d-cache index bits</t>
  </si>
  <si>
    <t>Level 2 d-cache lru bits</t>
  </si>
  <si>
    <t>Level 2 i-cache lru bits</t>
  </si>
  <si>
    <t>Level 2 i-cache index bits</t>
  </si>
  <si>
    <t>Level 2 i-cache offset bits</t>
  </si>
  <si>
    <t>Level 2 i-cache tag bits</t>
  </si>
  <si>
    <t>(AddInBit - (BitPerDTlbPgOff + BitPerDTlbIdx)) * DTlbAss * DTlbSet</t>
  </si>
  <si>
    <t>LOG(Lev1DCacheBytePerLn / 8,2)</t>
  </si>
  <si>
    <t>ROUNDUP(LOG(Lev2DCacheAss,2),0)</t>
  </si>
  <si>
    <t>LOG(Lev2DCacheSet,2)</t>
  </si>
  <si>
    <t>LOG(Lev2DCacheBytePerLn / 8,2)</t>
  </si>
  <si>
    <t>(AddInBit + BitPerLev2DCacheLru -(BitPerLev2DCacheIdx+BitPerLev2DCacheOff)) * Lev2DCacheSet * Lev2DCacheAss</t>
  </si>
  <si>
    <t>Lev2DCacheSet * Lev2DCacheBytePerLn * Lev2DCacheAss * 8</t>
  </si>
  <si>
    <t>Lev1DCacheDataBit + Lev1DCacheTagBit</t>
  </si>
  <si>
    <t>ROUNDUP(LOG(Lev2ICacheAss,2),0)</t>
  </si>
  <si>
    <t>Lev2ICacheSet * Lev2ICacheBytePerLn * Lev2ICacheAss * 8</t>
  </si>
  <si>
    <t>(AddInBit + BitPerLev2ICacheLru - (BitPerLev2ICacheIdx + BitPerLev2ICacheOff)) * Lev2ICacheSet * Lev2ICacheAss</t>
  </si>
  <si>
    <t>LOG(Lev2ICacheBytePerLn / 8,2)</t>
  </si>
  <si>
    <t>LOG(Lev2ICacheSet,2)</t>
  </si>
  <si>
    <t>Lev2ICacheDataBit + Lev2ICacheTagBit</t>
  </si>
  <si>
    <t>BitPerFpRegSet * (TransPerSRBit + TransPerWrtPort * FpRegWrtPort + TransPerReadPort*FpRegReadPort)</t>
  </si>
  <si>
    <r>
      <t xml:space="preserve">M </t>
    </r>
    <r>
      <rPr>
        <b/>
        <sz val="10"/>
        <rFont val="Symbol"/>
        <family val="1"/>
        <charset val="2"/>
      </rPr>
      <t>l</t>
    </r>
    <r>
      <rPr>
        <b/>
        <vertAlign val="superscript"/>
        <sz val="10"/>
        <rFont val="Arial"/>
        <family val="2"/>
      </rPr>
      <t>2</t>
    </r>
  </si>
  <si>
    <t>BitPerLsq * (TransPerSRBit + TransPerWrtPort * LsqWrtPort + TransPerReadPort * LsqReadPort)</t>
  </si>
  <si>
    <t>BitPerRuu * (TransPerSRBit + TransPerWrtPort * RuuWrtPort + TransPerReadPort * RuuReadPort)</t>
  </si>
  <si>
    <t>TLBs</t>
  </si>
  <si>
    <t>BitPerDTlb * (TransPerSRBit + TransPerWrtPort * DTlbWrtPort + TransPerReadPort * DTlbReadPort)</t>
  </si>
  <si>
    <t>BitPerITlb * (TransPerSRBit + TransPerWrtPort * ITlbWrtPort + TransPerReadPort * ITlbReadPort)</t>
  </si>
  <si>
    <t>Total tlbs</t>
  </si>
  <si>
    <t>TransITlb + TransDTlb</t>
  </si>
  <si>
    <t>Level 1 i-cache tag transistors</t>
  </si>
  <si>
    <t>Level 1 i-cache data transistors</t>
  </si>
  <si>
    <t>Level 1 d-cache data transistors</t>
  </si>
  <si>
    <t>Level 1 d-cache tag transistors</t>
  </si>
  <si>
    <t>Total level 1 i-cache transistors</t>
  </si>
  <si>
    <t>Total level 1 d-cache transistors</t>
  </si>
  <si>
    <t>Level 2 i-cache data transistors</t>
  </si>
  <si>
    <t>Level 2 i-cache tag transistors</t>
  </si>
  <si>
    <t>Total level 2 i-cache transistors</t>
  </si>
  <si>
    <t>Level 2 d-cache data transistors</t>
  </si>
  <si>
    <t>Level 2 d-cache tag transistors</t>
  </si>
  <si>
    <t>Total level 2 d-cache transistors</t>
  </si>
  <si>
    <t>Lev1ICacheDataBit * (TransPerSRBit + TransPerWrtPort * Lev1ICacheWrtPort + TransPerReadPort * Lev1ICacheReadPort)</t>
  </si>
  <si>
    <t>Lev1ICacheTagBit * (TransPerSRBit + TransPerWrtPort * Lev1ICacheWrtPort + TransPerReadPort * Lev1ICacheReadPort)</t>
  </si>
  <si>
    <t>TransLev1ICacheData + TransLev1ICacheTag</t>
  </si>
  <si>
    <t>Lev1DCacheDataBit * (TransPerSRBit + TransPerWrtPort * Lev1DCacheWrtPort + TransPerReadPort * Lev1DCacheReadPort)</t>
  </si>
  <si>
    <t>Lev1DCacheTagBit * (TransPerSRBit + TransPerWrtPort *  Lev1DCacheWrtPort + TransPerReadPort * Lev1DCacheReadPort)</t>
  </si>
  <si>
    <t>TransLev1DCacheData + TransLev1DCacheTag</t>
  </si>
  <si>
    <t>Lev2ICacheDataBit * (TransPerSRBit + TransPerWrtPort * Lev2ICacheWrtPort + TransPerReadPort * Lev2ICacheReadPort)</t>
  </si>
  <si>
    <t>Lev2ICacheTagBit * (TransPerSRBit + TransPerWrtPort * Lev2ICacheWrtPort + TransPerReadPort * Lev2ICacheReadPort)</t>
  </si>
  <si>
    <t>TransLev2ICacheData + TransLev2ICacheTag</t>
  </si>
  <si>
    <t>Lev2DCacheDataBit * (TransPerSRBit + TransPerWrtPort * Lev2DCacheWrtPort + TransPerReadPort * Lev2DCacheReadPort)</t>
  </si>
  <si>
    <t>Lev2DCacheTagBit * (TransPerSRBit + TransPerWrtPort * Lev2DCacheWrtPort + TransPerReadPort * Lev2DCacheReadPort)</t>
  </si>
  <si>
    <t>TransLev2DCacheData + TransLev2DCacheTag</t>
  </si>
  <si>
    <t>TransReg</t>
  </si>
  <si>
    <t>TransLsq</t>
  </si>
  <si>
    <t>TransRuu</t>
  </si>
  <si>
    <t>TransITlb</t>
  </si>
  <si>
    <t>TransDTlb</t>
  </si>
  <si>
    <t>TransLev1ICache</t>
  </si>
  <si>
    <t>TransLev1DCache</t>
  </si>
  <si>
    <t>TransLev2ICache</t>
  </si>
  <si>
    <t>TransLev2DCache</t>
  </si>
  <si>
    <t>Fetch unit</t>
  </si>
  <si>
    <t>Decode unit</t>
  </si>
  <si>
    <t>Issue unit</t>
  </si>
  <si>
    <t>Integer MUL</t>
  </si>
  <si>
    <t>Floating point MUL</t>
  </si>
  <si>
    <t>Load store unit</t>
  </si>
  <si>
    <t>Commit logic</t>
  </si>
  <si>
    <t>Write back logic</t>
  </si>
  <si>
    <t>Issue unit (scheduler logic)</t>
  </si>
  <si>
    <t>Register cell width</t>
  </si>
  <si>
    <t>Register cell height</t>
  </si>
  <si>
    <t>Wire track width</t>
  </si>
  <si>
    <t>Transistor density of logic</t>
  </si>
  <si>
    <t>Transistor density of HP-PA8000</t>
  </si>
  <si>
    <t>Transistor density of Sparc64</t>
  </si>
  <si>
    <t>FWid * TransPerBasicFU</t>
  </si>
  <si>
    <t>DecWid *TransPerBasicDecU</t>
  </si>
  <si>
    <t>Analytical estimated</t>
  </si>
  <si>
    <t>Empirical estimated</t>
  </si>
  <si>
    <t>Decode unit (dispatch)</t>
  </si>
  <si>
    <t>Total without caches</t>
  </si>
  <si>
    <t>Total with all caches</t>
  </si>
  <si>
    <t>Issue (scheduler)</t>
  </si>
  <si>
    <t>Instruction fetch unit</t>
  </si>
  <si>
    <t>Instruction decode unit</t>
  </si>
  <si>
    <t>IssWid * TransPerBasicIssU</t>
  </si>
  <si>
    <t>Write back unit</t>
  </si>
  <si>
    <t>Commit unit</t>
  </si>
  <si>
    <t>NuIntAlu * TransPerBasicIntU</t>
  </si>
  <si>
    <t>Simple integer ALU</t>
  </si>
  <si>
    <t>Complex integer ALU</t>
  </si>
  <si>
    <t>Simple floating point ALU</t>
  </si>
  <si>
    <t>Complex floating point ALU</t>
  </si>
  <si>
    <t>NuIntMul * TransPerBasicCpxIntU</t>
  </si>
  <si>
    <t>Integer units</t>
  </si>
  <si>
    <t>Floating point units</t>
  </si>
  <si>
    <t>Load strore units</t>
  </si>
  <si>
    <t>TransPerBasicLSU * NuMemPort</t>
  </si>
  <si>
    <t>(NuIntAlu + NuIntMul + NuFpAlu + NuFpMul + NuMemPort) * TransPerBasicWbU</t>
  </si>
  <si>
    <t>Total register area</t>
  </si>
  <si>
    <t>Integer register cell height</t>
  </si>
  <si>
    <t>Integer register cell width</t>
  </si>
  <si>
    <t>Integer register area</t>
  </si>
  <si>
    <t>Floating point register cell height</t>
  </si>
  <si>
    <t>Floating point register cell width</t>
  </si>
  <si>
    <t>Floating point register area</t>
  </si>
  <si>
    <t>SRCellBasicHghtInLam + (FpRegReadPort + FpRegWrtPort) * WtWidInLam</t>
  </si>
  <si>
    <t>SRCellBasicWidInLam + (FpRegReadPort + 2 * FpRegWrtPort) *WtWidInLam</t>
  </si>
  <si>
    <t>BitPerFpRegSet * FpRegCellWid * FpRegCellHght</t>
  </si>
  <si>
    <t>IntRegArea + FpRegArea</t>
  </si>
  <si>
    <t>LSQ cell height</t>
  </si>
  <si>
    <t>LSQ cell width</t>
  </si>
  <si>
    <t>LSQ area</t>
  </si>
  <si>
    <t>SRCellBasicHghtInLam + (LsqReadPort + LsqWrtPort) * WtWidInLam</t>
  </si>
  <si>
    <t>SRCellBasicWidInLam + (LsqReadPort + 2 * LsqWrtPort) * WtWidInLam</t>
  </si>
  <si>
    <t>BitPerLsq * LsqCellWid * LSQCellHght</t>
  </si>
  <si>
    <t>SRCellBasicWidInLam + (IntRegReadPort + 2 * IntRegWrtPort) * WtWidInLam</t>
  </si>
  <si>
    <t>BitPerIntRegSet * IntRegCellHght * IntRegCellWid</t>
  </si>
  <si>
    <t>(NuFpAlu + NuFpMul) * 2 + NuMemPort</t>
  </si>
  <si>
    <t>RUU cell height</t>
  </si>
  <si>
    <t>RUU cell width</t>
  </si>
  <si>
    <t>RUU area</t>
  </si>
  <si>
    <t>SRCellBasicHghtInLam + (RuuReadPort + RuuWrtPort) * WtWidInLam</t>
  </si>
  <si>
    <t>SRCellBasicWidInLam + (RuuReadPort + 2 * RuuWrtPort) * WtWidInLam</t>
  </si>
  <si>
    <t>BitPerRuu * RuuCellHght * RuuCellWid</t>
  </si>
  <si>
    <t>ITLB cell heigth</t>
  </si>
  <si>
    <t>ITLB cell width</t>
  </si>
  <si>
    <t>ITLB area</t>
  </si>
  <si>
    <t>DTLB cell height</t>
  </si>
  <si>
    <t>DTLB cell width</t>
  </si>
  <si>
    <t>Total TLB area</t>
  </si>
  <si>
    <t>SRCellBasicHghtInLam + (ITlbReadPort + ITlbWrtPort) * WtWidInLam</t>
  </si>
  <si>
    <t>SRCellBasicWidInLam + (ITlbReadPort + 2 * ITlbWrtPort) * WtWidInLam</t>
  </si>
  <si>
    <t>BitPerITlb * ITlbCellWid * ITlbCellHght</t>
  </si>
  <si>
    <t>SRCellBasicHghtInLam + (DTlbReadPort + DTlbWrtPort) * WtWidInLam</t>
  </si>
  <si>
    <t>SRCellBasicWidInLam + (DTlbReadPort + 2 * DTlbWrtPort) * WtWidInLam</t>
  </si>
  <si>
    <t>BitPerDTlb * DTlbCellWid * DTlbCellHght</t>
  </si>
  <si>
    <t>ITlbArea + DTlbArea</t>
  </si>
  <si>
    <t>Level 1 i-cache cell height</t>
  </si>
  <si>
    <t>Level 1 i-cache cell width</t>
  </si>
  <si>
    <t>Level 1 i-cache data area</t>
  </si>
  <si>
    <t>Level 1 i-cache tag area</t>
  </si>
  <si>
    <t>Total level 1 i-cache area</t>
  </si>
  <si>
    <t>Level 1 d-cache cell height</t>
  </si>
  <si>
    <t>Level 1 d-cache cell width</t>
  </si>
  <si>
    <t>Level 1 d-cache data area</t>
  </si>
  <si>
    <t>Level 1 d-cache tag area</t>
  </si>
  <si>
    <t>Total level 1 d-cache area</t>
  </si>
  <si>
    <t>Level 2 i-cache cell height</t>
  </si>
  <si>
    <t>Level 2 i-cache cell width</t>
  </si>
  <si>
    <t>Level 2 i-cache data area</t>
  </si>
  <si>
    <t>Level 2 i-cache tag area</t>
  </si>
  <si>
    <t>Total level 2 d-cache area</t>
  </si>
  <si>
    <t>Level 2 d-cache cell height</t>
  </si>
  <si>
    <t>Level 2 d-cache cell width</t>
  </si>
  <si>
    <t>Level 2 d-cache data area</t>
  </si>
  <si>
    <t>Level 2 d-cache tag area</t>
  </si>
  <si>
    <t>Total level 2 i-cache area</t>
  </si>
  <si>
    <t>SRCellBasicHghtInLam + (Lev1ICacheReadPort + Lev1ICacheWrtPort) * WtWidInLam</t>
  </si>
  <si>
    <t>SRCellBasicWidInLam + (Lev1ICacheReadPort + 2 * Lev1ICacheWrtPort) * WtWidInLam</t>
  </si>
  <si>
    <t>Lev1ICacheDataBit * Lev1ICacheCellHght * Lev1ICacheCellWid</t>
  </si>
  <si>
    <t>Lev1ICacheTagBit * Lev1ICacheCellHght * Lev1ICacheCellWid</t>
  </si>
  <si>
    <t>Lev1ICacheDataArea + Lev1ICacheTagArea</t>
  </si>
  <si>
    <t>SRCellBasicHghtInLam + (Lev1DCacheReadPort + Lev1DCacheWrtPort) * WtWidInLam</t>
  </si>
  <si>
    <t>SRCellBasicWidInLam + (Lev1DCacheReadPort + 2 * Lev1DCacheWrtPort) * WtWidInLam</t>
  </si>
  <si>
    <t>Lev1DCacheDataBit * Lev1DCacheCellHght * Lev1DCacheCellWid</t>
  </si>
  <si>
    <t>Lev1DCacheTagBit * Lev1DCacheCellHght * Lev1DCacheCellWid</t>
  </si>
  <si>
    <t>Lev1DCacheDataArea + Lev1DCacheTagArea</t>
  </si>
  <si>
    <t>SRCellBasicHghtInLam + (Lev2ICacheReadPort + Lev2ICacheWrtPort) * WtWidInLam</t>
  </si>
  <si>
    <t>SRCellBasicWidInLam + (Lev2ICacheReadPort + 2 * Lev2ICacheWrtPort) * WtWidInLam</t>
  </si>
  <si>
    <t>Lev2ICacheDataBit * Lev2ICacheCellHght * Lev2ICacheCellWid</t>
  </si>
  <si>
    <t>Lev2ICacheTagBit * Lev2ICacheCellHght * Lev2ICacheCellWid</t>
  </si>
  <si>
    <t>Lev2ICacheDataArea + Lev2ICacheTagArea</t>
  </si>
  <si>
    <t>SRCellBasicHghtInLam + (Lev2DCacheReadPort + Lev2DCacheWrtPort) * WtWidInLam</t>
  </si>
  <si>
    <t>SRCellBasicWidInLam + (Lev2DCacheReadPort + 2 * Lev2DCacheWrtPort) * WtWidInLam</t>
  </si>
  <si>
    <t>Lev2DCacheDataBit * Lev2DCacheCellHght * Lev2DCacheCellWid</t>
  </si>
  <si>
    <t>Lev2DCacheTagBit * Lev2DCacheCellHght * Lev2DCacheCellWid</t>
  </si>
  <si>
    <t>Lev2DCacheDataArea + Lev2DCacheTagArea</t>
  </si>
  <si>
    <t>TransPerBasicCmtU * FWid</t>
  </si>
  <si>
    <t>FWid * FUBasicSizeInLam</t>
  </si>
  <si>
    <t>DecWid * DecUBasicSizeInLam</t>
  </si>
  <si>
    <t>FUBasicSizeInLam * LogTransDens</t>
  </si>
  <si>
    <t>DecUBasicSizeInLam * LogTransDens</t>
  </si>
  <si>
    <t>IssUBasicSizeInLam * LogTransDens</t>
  </si>
  <si>
    <t>WbBasicSizeInLam * LogTransDens</t>
  </si>
  <si>
    <t>IntUSizeInLam * LogTransDens</t>
  </si>
  <si>
    <t>CpxIntUSizeInLam * LogTransDens</t>
  </si>
  <si>
    <t>LsUBasicSizeInLam * LogTransDens</t>
  </si>
  <si>
    <t>(NuIntAlu+NuIntMul+NuFpAlu+NuFpMul+NuMemPort) * WbBasicSizeInLam</t>
  </si>
  <si>
    <t>FWid * CmtUBasicSizeInLam</t>
  </si>
  <si>
    <t>FpUSizeInLam * LogTransDens</t>
  </si>
  <si>
    <t>CpxFpUSizeInLam * LogTransDens</t>
  </si>
  <si>
    <t>NuIntAlu * IntUSizeInLam</t>
  </si>
  <si>
    <t>NuIntMul * CpxIntUSizeInLam</t>
  </si>
  <si>
    <t>NuFpAlu * FpUSizeInLam</t>
  </si>
  <si>
    <t>NuFpMul * CpxFpUSizeInLam</t>
  </si>
  <si>
    <t>NuMemPort * LsUBasicSizeInLam</t>
  </si>
  <si>
    <t>IntUArea + CpxIntUArea + FpUArea + CpxFpUArea + LSUArea</t>
  </si>
  <si>
    <t>Execution units</t>
  </si>
  <si>
    <t>Measured from floor plan</t>
  </si>
  <si>
    <t>Parameter</t>
  </si>
  <si>
    <t>Program counter</t>
  </si>
  <si>
    <t>number of transistors of a basic issue unit</t>
  </si>
  <si>
    <t>Average of the HP-PA8000 and SPARC64</t>
  </si>
  <si>
    <t>2 * NuBtbEnt</t>
  </si>
  <si>
    <t>BitPerIntRegSet + BitPerFpRegSet</t>
  </si>
  <si>
    <t>Lev2DCacheDataBit + Lev2DCacheTagBit</t>
  </si>
  <si>
    <t>BitPerLev1DCache</t>
  </si>
  <si>
    <t>BitPerLev1ICache</t>
  </si>
  <si>
    <t>BitPerLev2DCache</t>
  </si>
  <si>
    <t>BitPerLev2ICache</t>
  </si>
  <si>
    <t>NuMemPort * 2 + FWid</t>
  </si>
  <si>
    <t>NuMemPort + NuIntAlu + NuIntMul + NuFpAlu + NuFpMul</t>
  </si>
  <si>
    <t>ROUNDUP(FWid * 4 / Lev2ICacheBytePerLn,0)</t>
  </si>
  <si>
    <t>BitPerIntRegSet * (TransPerSRBit + TransPerWrtPort * IntRegWrtPort + TransPerReadPort * IntRegReadPort)</t>
  </si>
  <si>
    <t>TransPerFpRegSet + TransPerIntRegSet</t>
  </si>
  <si>
    <t>NuFpAlu * TransPerBasicFpU</t>
  </si>
  <si>
    <t>NuFpMul * TransPerBasicCpxFpU</t>
  </si>
  <si>
    <t>TransIntU + TransCpxIntU + TransFpU + TransCpxFpU + TransLSU</t>
  </si>
  <si>
    <t>IssWid * IssUBasicSizeInLam</t>
  </si>
  <si>
    <t>BitPerBtb * (TransPerSRBit + TransPerWrtPort * BtbWrtPort + TransPerReadPort * BtbReadPort)</t>
  </si>
  <si>
    <t>BTB cell height</t>
  </si>
  <si>
    <t>BTB cell width</t>
  </si>
  <si>
    <t>BTB area</t>
  </si>
  <si>
    <t>SRCellBasicHghtInLam + (BtbReadPort + BtbWrtPort) *WtWidInLam</t>
  </si>
  <si>
    <t>SRCellBasicHghtInLam + (IntRegReadPort + IntRegWrtPort) * WtWidInLam</t>
  </si>
  <si>
    <t>SRCellBasicWidInLam + (BtbReadPort + 2 * BtbWrtPort) * WtWidInLam</t>
  </si>
  <si>
    <t>BitPerBtb * BtbCellHght * BtbCellWid</t>
  </si>
  <si>
    <t>number of entries in the Load Store Queue (LSQ)</t>
  </si>
  <si>
    <t>replacement strategy (only lru implemented)</t>
  </si>
  <si>
    <t>number of simple integer units</t>
  </si>
  <si>
    <t>number of complex integer units</t>
  </si>
  <si>
    <t>number of memory ports</t>
  </si>
  <si>
    <t>number of simple floating point units</t>
  </si>
  <si>
    <t>number of complex floation point units</t>
  </si>
  <si>
    <t>width of a register cell without ports (depending on the technology / insert value for asumed tech.)</t>
  </si>
  <si>
    <t>height of a register cell without ports  (depending on the technology / insert value for asumed tech.)</t>
  </si>
  <si>
    <t>assumption of a wire track width  (depending on the technology / insert value for asumed tech.)</t>
  </si>
  <si>
    <t>Total with l1 caches</t>
  </si>
  <si>
    <t>flush caches on system calls</t>
  </si>
  <si>
    <t>convert 64-bit inst address to 32-bit inst equivalence</t>
  </si>
  <si>
    <t>replacement strategy (only LRU implemented)</t>
  </si>
  <si>
    <t>basic size of the fetch unit logic in lambda (measured of PowerPC604)</t>
  </si>
  <si>
    <t>basic size of the decode unit logic in lambda (measured of PowerPC604)</t>
  </si>
  <si>
    <t>basic size of the issue unit logic in lambda (measured of PowerPC604)</t>
  </si>
  <si>
    <t>basic size of the write back logic in lambda (measured of PowerPC604)</t>
  </si>
  <si>
    <t>basic size of the completion logic in lambda (measured of PowerPC604)</t>
  </si>
  <si>
    <t>basic size of a simple integer ALU in lambda (measured of PowerPC604)</t>
  </si>
  <si>
    <t>basic size of a complex integer ALU in lambda (measured of PowerPC604)</t>
  </si>
  <si>
    <t>basic size of a simple floating point unit in lambda (measured of PowerPC604)</t>
  </si>
  <si>
    <t>basic size of a complex floating point ALU in lambda (measured of PowerPC604)</t>
  </si>
  <si>
    <t>basic size of the load store unit logic in lambda (measured of PowerPC604)</t>
  </si>
  <si>
    <t>Load Store units</t>
  </si>
  <si>
    <t>DTLB area</t>
  </si>
  <si>
    <t>byte per line</t>
  </si>
  <si>
    <t>total transistor</t>
  </si>
  <si>
    <t>Bimodal predictor</t>
  </si>
  <si>
    <t>number of bimodal predictor entries</t>
  </si>
  <si>
    <t>2 level Predictor</t>
  </si>
  <si>
    <t>2 level predictor cell height</t>
  </si>
  <si>
    <t>2 level predictor cell width</t>
  </si>
  <si>
    <t>Branch Target Buffer (BTB)</t>
  </si>
  <si>
    <t>the total number of entries in BTB</t>
  </si>
  <si>
    <t>Bimodal Branch Predictor</t>
  </si>
  <si>
    <t>Branch Target Buffer</t>
  </si>
  <si>
    <t>2 level predictor area</t>
  </si>
  <si>
    <t>the same as that of Bimodal predictor</t>
  </si>
  <si>
    <t>BTB cell height * BTB cell width * BTB entries</t>
  </si>
  <si>
    <t>(L2 size * cell height * cell width) + (L1 size * cell height * history_size/2 * cell width)</t>
  </si>
  <si>
    <t>BTB (bimodal predictor)</t>
  </si>
  <si>
    <t>21.5 times to that of Bimodal predictor (43 address bits)</t>
  </si>
  <si>
    <t>2lev predictor</t>
  </si>
  <si>
    <t>BitPerBTB * (TransPerSRBit + TransPerWrtPort * BtbWrtPort + TransPerReadPort * BtbReadPort)</t>
  </si>
  <si>
    <t>total bits * (TransPerSRBit + TransPerWrtPort * BtbWrtPort + TransPerReadPort * BtbReadPort)</t>
  </si>
  <si>
    <t>Total Area</t>
  </si>
  <si>
    <t>hello</t>
  </si>
  <si>
    <t>2lev</t>
  </si>
  <si>
    <t>dl2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</si>
</sst>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0000000"/>
  </numFmts>
  <fonts count="9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Symbol"/>
      <family val="1"/>
      <charset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3" fontId="1" fillId="0" borderId="1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3" fontId="1" fillId="0" borderId="0" xfId="0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0" fillId="0" borderId="0" xfId="0" applyBorder="1"/>
    <xf numFmtId="164" fontId="3" fillId="0" borderId="0" xfId="0" applyNumberFormat="1" applyFont="1"/>
    <xf numFmtId="0" fontId="1" fillId="0" borderId="0" xfId="0" applyFont="1" applyBorder="1" applyAlignment="1">
      <alignment wrapText="1"/>
    </xf>
    <xf numFmtId="3" fontId="1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ConfFilePara" enableFormatConditionsCalculation="0"/>
  <dimension ref="A1:D59"/>
  <sheetViews>
    <sheetView tabSelected="1" workbookViewId="0">
      <selection activeCell="B3" sqref="B3"/>
    </sheetView>
  </sheetViews>
  <sheetFormatPr baseColWidth="10" defaultColWidth="11.5" defaultRowHeight="13" x14ac:dyDescent="0.15"/>
  <cols>
    <col min="1" max="1" width="24.83203125" customWidth="1"/>
    <col min="2" max="2" width="14.5" customWidth="1"/>
    <col min="3" max="3" width="52.1640625" customWidth="1"/>
    <col min="4" max="4" width="67.33203125" customWidth="1"/>
  </cols>
  <sheetData>
    <row r="1" spans="1:4" s="1" customFormat="1" ht="14" thickBot="1" x14ac:dyDescent="0.2">
      <c r="A1" s="3" t="s">
        <v>70</v>
      </c>
      <c r="B1" s="5" t="s">
        <v>249</v>
      </c>
      <c r="C1" s="3" t="s">
        <v>1</v>
      </c>
      <c r="D1" s="3" t="s">
        <v>6</v>
      </c>
    </row>
    <row r="2" spans="1:4" s="1" customFormat="1" x14ac:dyDescent="0.15">
      <c r="A2" s="6"/>
      <c r="B2" s="17"/>
      <c r="C2" s="6"/>
      <c r="D2" s="6"/>
    </row>
    <row r="3" spans="1:4" x14ac:dyDescent="0.15">
      <c r="A3" t="s">
        <v>2</v>
      </c>
      <c r="B3">
        <v>1</v>
      </c>
      <c r="C3" t="s">
        <v>3</v>
      </c>
      <c r="D3" t="s">
        <v>273</v>
      </c>
    </row>
    <row r="4" spans="1:4" x14ac:dyDescent="0.15">
      <c r="A4" t="s">
        <v>0</v>
      </c>
      <c r="B4">
        <v>2</v>
      </c>
      <c r="C4" t="s">
        <v>4</v>
      </c>
      <c r="D4" t="s">
        <v>274</v>
      </c>
    </row>
    <row r="5" spans="1:4" x14ac:dyDescent="0.15">
      <c r="A5" t="s">
        <v>5</v>
      </c>
      <c r="B5">
        <v>3</v>
      </c>
      <c r="C5" t="s">
        <v>7</v>
      </c>
      <c r="D5" t="s">
        <v>273</v>
      </c>
    </row>
    <row r="6" spans="1:4" x14ac:dyDescent="0.15">
      <c r="A6" t="s">
        <v>8</v>
      </c>
      <c r="B6" t="s">
        <v>668</v>
      </c>
      <c r="C6" t="s">
        <v>9</v>
      </c>
      <c r="D6" t="s">
        <v>275</v>
      </c>
    </row>
    <row r="7" spans="1:4" x14ac:dyDescent="0.15">
      <c r="A7" t="s">
        <v>10</v>
      </c>
      <c r="B7">
        <v>2048</v>
      </c>
      <c r="C7" t="s">
        <v>648</v>
      </c>
      <c r="D7" t="s">
        <v>649</v>
      </c>
    </row>
    <row r="8" spans="1:4" x14ac:dyDescent="0.15">
      <c r="A8" t="s">
        <v>11</v>
      </c>
      <c r="B8">
        <v>1</v>
      </c>
      <c r="C8" t="s">
        <v>12</v>
      </c>
      <c r="D8" t="s">
        <v>276</v>
      </c>
    </row>
    <row r="9" spans="1:4" x14ac:dyDescent="0.15">
      <c r="A9" t="s">
        <v>13</v>
      </c>
      <c r="B9">
        <v>16384</v>
      </c>
      <c r="C9" t="s">
        <v>14</v>
      </c>
      <c r="D9" t="s">
        <v>277</v>
      </c>
    </row>
    <row r="10" spans="1:4" x14ac:dyDescent="0.15">
      <c r="A10" t="s">
        <v>15</v>
      </c>
      <c r="B10">
        <v>10</v>
      </c>
      <c r="C10" t="s">
        <v>16</v>
      </c>
      <c r="D10" t="s">
        <v>278</v>
      </c>
    </row>
    <row r="11" spans="1:4" x14ac:dyDescent="0.15">
      <c r="A11" t="s">
        <v>17</v>
      </c>
      <c r="B11">
        <v>2</v>
      </c>
      <c r="C11" s="4" t="s">
        <v>18</v>
      </c>
      <c r="D11" t="s">
        <v>279</v>
      </c>
    </row>
    <row r="12" spans="1:4" x14ac:dyDescent="0.15">
      <c r="A12" t="s">
        <v>19</v>
      </c>
      <c r="B12">
        <v>2</v>
      </c>
      <c r="C12" t="s">
        <v>20</v>
      </c>
      <c r="D12" t="s">
        <v>280</v>
      </c>
    </row>
    <row r="13" spans="1:4" x14ac:dyDescent="0.15">
      <c r="A13" t="s">
        <v>21</v>
      </c>
      <c r="B13" t="b">
        <v>0</v>
      </c>
      <c r="C13" t="s">
        <v>22</v>
      </c>
      <c r="D13" s="4" t="s">
        <v>273</v>
      </c>
    </row>
    <row r="14" spans="1:4" x14ac:dyDescent="0.15">
      <c r="A14" t="s">
        <v>23</v>
      </c>
      <c r="B14" t="b">
        <v>1</v>
      </c>
      <c r="C14" t="s">
        <v>24</v>
      </c>
      <c r="D14" s="4" t="s">
        <v>273</v>
      </c>
    </row>
    <row r="15" spans="1:4" x14ac:dyDescent="0.15">
      <c r="A15" t="s">
        <v>25</v>
      </c>
      <c r="B15">
        <v>64</v>
      </c>
      <c r="C15" t="s">
        <v>26</v>
      </c>
      <c r="D15" t="s">
        <v>281</v>
      </c>
    </row>
    <row r="16" spans="1:4" x14ac:dyDescent="0.15">
      <c r="A16" t="s">
        <v>27</v>
      </c>
      <c r="B16">
        <v>32</v>
      </c>
      <c r="C16" t="s">
        <v>28</v>
      </c>
      <c r="D16" t="s">
        <v>620</v>
      </c>
    </row>
    <row r="17" spans="1:4" x14ac:dyDescent="0.15">
      <c r="A17" t="s">
        <v>29</v>
      </c>
      <c r="B17" s="20">
        <v>2048</v>
      </c>
      <c r="C17" t="s">
        <v>30</v>
      </c>
      <c r="D17" t="s">
        <v>282</v>
      </c>
    </row>
    <row r="18" spans="1:4" x14ac:dyDescent="0.15">
      <c r="A18" t="s">
        <v>29</v>
      </c>
      <c r="B18">
        <v>32</v>
      </c>
      <c r="C18" t="s">
        <v>30</v>
      </c>
      <c r="D18" t="s">
        <v>646</v>
      </c>
    </row>
    <row r="19" spans="1:4" x14ac:dyDescent="0.15">
      <c r="A19" t="s">
        <v>29</v>
      </c>
      <c r="B19">
        <v>4</v>
      </c>
      <c r="C19" t="s">
        <v>30</v>
      </c>
      <c r="D19" t="s">
        <v>283</v>
      </c>
    </row>
    <row r="20" spans="1:4" x14ac:dyDescent="0.15">
      <c r="A20" t="s">
        <v>29</v>
      </c>
      <c r="B20" t="s">
        <v>101</v>
      </c>
      <c r="C20" t="s">
        <v>30</v>
      </c>
      <c r="D20" t="s">
        <v>633</v>
      </c>
    </row>
    <row r="21" spans="1:4" x14ac:dyDescent="0.15">
      <c r="A21" t="s">
        <v>31</v>
      </c>
      <c r="B21">
        <v>2</v>
      </c>
      <c r="C21" t="s">
        <v>32</v>
      </c>
      <c r="D21" t="s">
        <v>285</v>
      </c>
    </row>
    <row r="22" spans="1:4" x14ac:dyDescent="0.15">
      <c r="A22" t="s">
        <v>33</v>
      </c>
      <c r="B22">
        <v>8192</v>
      </c>
      <c r="C22" t="s">
        <v>35</v>
      </c>
      <c r="D22" t="s">
        <v>282</v>
      </c>
    </row>
    <row r="23" spans="1:4" x14ac:dyDescent="0.15">
      <c r="A23" t="s">
        <v>33</v>
      </c>
      <c r="B23">
        <v>64</v>
      </c>
      <c r="C23" t="s">
        <v>35</v>
      </c>
      <c r="D23" t="s">
        <v>646</v>
      </c>
    </row>
    <row r="24" spans="1:4" x14ac:dyDescent="0.15">
      <c r="A24" t="s">
        <v>33</v>
      </c>
      <c r="B24">
        <v>4</v>
      </c>
      <c r="C24" t="s">
        <v>35</v>
      </c>
      <c r="D24" t="s">
        <v>283</v>
      </c>
    </row>
    <row r="25" spans="1:4" x14ac:dyDescent="0.15">
      <c r="A25" t="s">
        <v>33</v>
      </c>
      <c r="B25" t="s">
        <v>101</v>
      </c>
      <c r="C25" t="s">
        <v>35</v>
      </c>
      <c r="D25" t="s">
        <v>633</v>
      </c>
    </row>
    <row r="26" spans="1:4" x14ac:dyDescent="0.15">
      <c r="A26" t="s">
        <v>34</v>
      </c>
      <c r="B26">
        <v>6</v>
      </c>
      <c r="C26" t="s">
        <v>36</v>
      </c>
      <c r="D26" t="s">
        <v>285</v>
      </c>
    </row>
    <row r="27" spans="1:4" x14ac:dyDescent="0.15">
      <c r="A27" t="s">
        <v>37</v>
      </c>
      <c r="B27">
        <v>128</v>
      </c>
      <c r="C27" t="s">
        <v>38</v>
      </c>
      <c r="D27" t="s">
        <v>282</v>
      </c>
    </row>
    <row r="28" spans="1:4" x14ac:dyDescent="0.15">
      <c r="A28" t="s">
        <v>37</v>
      </c>
      <c r="B28">
        <v>64</v>
      </c>
      <c r="C28" t="s">
        <v>38</v>
      </c>
      <c r="D28" t="s">
        <v>646</v>
      </c>
    </row>
    <row r="29" spans="1:4" x14ac:dyDescent="0.15">
      <c r="A29" t="s">
        <v>37</v>
      </c>
      <c r="B29">
        <v>4</v>
      </c>
      <c r="C29" t="s">
        <v>38</v>
      </c>
      <c r="D29" t="s">
        <v>283</v>
      </c>
    </row>
    <row r="30" spans="1:4" x14ac:dyDescent="0.15">
      <c r="A30" t="s">
        <v>37</v>
      </c>
      <c r="B30" t="s">
        <v>101</v>
      </c>
      <c r="C30" t="s">
        <v>38</v>
      </c>
      <c r="D30" t="s">
        <v>621</v>
      </c>
    </row>
    <row r="31" spans="1:4" x14ac:dyDescent="0.15">
      <c r="A31" t="s">
        <v>39</v>
      </c>
      <c r="B31">
        <v>1</v>
      </c>
      <c r="C31" t="s">
        <v>40</v>
      </c>
      <c r="D31" t="s">
        <v>285</v>
      </c>
    </row>
    <row r="32" spans="1:4" x14ac:dyDescent="0.15">
      <c r="A32" t="s">
        <v>41</v>
      </c>
      <c r="B32" t="s">
        <v>669</v>
      </c>
      <c r="C32" t="s">
        <v>43</v>
      </c>
      <c r="D32" t="s">
        <v>282</v>
      </c>
    </row>
    <row r="33" spans="1:4" x14ac:dyDescent="0.15">
      <c r="A33" t="s">
        <v>41</v>
      </c>
      <c r="C33" t="s">
        <v>43</v>
      </c>
      <c r="D33" t="s">
        <v>646</v>
      </c>
    </row>
    <row r="34" spans="1:4" x14ac:dyDescent="0.15">
      <c r="A34" t="s">
        <v>41</v>
      </c>
      <c r="C34" t="s">
        <v>43</v>
      </c>
      <c r="D34" t="s">
        <v>286</v>
      </c>
    </row>
    <row r="35" spans="1:4" x14ac:dyDescent="0.15">
      <c r="A35" t="s">
        <v>41</v>
      </c>
      <c r="C35" t="s">
        <v>43</v>
      </c>
      <c r="D35" t="s">
        <v>621</v>
      </c>
    </row>
    <row r="36" spans="1:4" x14ac:dyDescent="0.15">
      <c r="A36" t="s">
        <v>42</v>
      </c>
      <c r="B36">
        <v>6</v>
      </c>
      <c r="C36" t="s">
        <v>44</v>
      </c>
      <c r="D36" t="s">
        <v>285</v>
      </c>
    </row>
    <row r="37" spans="1:4" x14ac:dyDescent="0.15">
      <c r="A37" t="s">
        <v>45</v>
      </c>
      <c r="B37" t="b">
        <v>0</v>
      </c>
      <c r="C37" t="s">
        <v>631</v>
      </c>
      <c r="D37" t="s">
        <v>273</v>
      </c>
    </row>
    <row r="38" spans="1:4" x14ac:dyDescent="0.15">
      <c r="A38" t="s">
        <v>46</v>
      </c>
      <c r="B38" t="b">
        <v>0</v>
      </c>
      <c r="C38" t="s">
        <v>632</v>
      </c>
      <c r="D38" t="s">
        <v>273</v>
      </c>
    </row>
    <row r="39" spans="1:4" x14ac:dyDescent="0.15">
      <c r="A39" t="s">
        <v>47</v>
      </c>
      <c r="B39">
        <v>100</v>
      </c>
      <c r="C39" t="s">
        <v>48</v>
      </c>
      <c r="D39" t="s">
        <v>273</v>
      </c>
    </row>
    <row r="40" spans="1:4" x14ac:dyDescent="0.15">
      <c r="A40" t="s">
        <v>47</v>
      </c>
      <c r="B40">
        <v>20</v>
      </c>
      <c r="C40" t="s">
        <v>49</v>
      </c>
      <c r="D40" t="s">
        <v>273</v>
      </c>
    </row>
    <row r="41" spans="1:4" x14ac:dyDescent="0.15">
      <c r="A41" t="s">
        <v>50</v>
      </c>
      <c r="B41">
        <v>8</v>
      </c>
      <c r="C41" t="s">
        <v>51</v>
      </c>
      <c r="D41" t="s">
        <v>273</v>
      </c>
    </row>
    <row r="42" spans="1:4" x14ac:dyDescent="0.15">
      <c r="A42" t="s">
        <v>52</v>
      </c>
      <c r="B42">
        <v>16</v>
      </c>
      <c r="C42" t="s">
        <v>53</v>
      </c>
      <c r="D42" t="s">
        <v>284</v>
      </c>
    </row>
    <row r="43" spans="1:4" x14ac:dyDescent="0.15">
      <c r="A43" t="s">
        <v>52</v>
      </c>
      <c r="B43">
        <v>4096</v>
      </c>
      <c r="C43" t="s">
        <v>53</v>
      </c>
      <c r="D43" t="s">
        <v>287</v>
      </c>
    </row>
    <row r="44" spans="1:4" x14ac:dyDescent="0.15">
      <c r="A44" t="s">
        <v>52</v>
      </c>
      <c r="B44">
        <v>4</v>
      </c>
      <c r="C44" t="s">
        <v>53</v>
      </c>
      <c r="D44" t="s">
        <v>283</v>
      </c>
    </row>
    <row r="45" spans="1:4" x14ac:dyDescent="0.15">
      <c r="A45" t="s">
        <v>52</v>
      </c>
      <c r="B45" t="s">
        <v>101</v>
      </c>
      <c r="C45" t="s">
        <v>53</v>
      </c>
      <c r="D45" t="s">
        <v>621</v>
      </c>
    </row>
    <row r="46" spans="1:4" x14ac:dyDescent="0.15">
      <c r="A46" t="s">
        <v>54</v>
      </c>
      <c r="B46">
        <v>32</v>
      </c>
      <c r="C46" t="s">
        <v>55</v>
      </c>
      <c r="D46" t="s">
        <v>284</v>
      </c>
    </row>
    <row r="47" spans="1:4" x14ac:dyDescent="0.15">
      <c r="A47" t="s">
        <v>54</v>
      </c>
      <c r="B47">
        <v>4096</v>
      </c>
      <c r="C47" t="s">
        <v>55</v>
      </c>
      <c r="D47" t="s">
        <v>287</v>
      </c>
    </row>
    <row r="48" spans="1:4" x14ac:dyDescent="0.15">
      <c r="A48" t="s">
        <v>54</v>
      </c>
      <c r="B48">
        <v>4</v>
      </c>
      <c r="C48" t="s">
        <v>55</v>
      </c>
      <c r="D48" t="s">
        <v>283</v>
      </c>
    </row>
    <row r="49" spans="1:4" x14ac:dyDescent="0.15">
      <c r="A49" t="s">
        <v>54</v>
      </c>
      <c r="B49" t="s">
        <v>101</v>
      </c>
      <c r="C49" t="s">
        <v>55</v>
      </c>
      <c r="D49" t="s">
        <v>621</v>
      </c>
    </row>
    <row r="50" spans="1:4" x14ac:dyDescent="0.15">
      <c r="A50" t="s">
        <v>56</v>
      </c>
      <c r="B50">
        <v>100</v>
      </c>
      <c r="C50" t="s">
        <v>57</v>
      </c>
      <c r="D50" t="s">
        <v>273</v>
      </c>
    </row>
    <row r="51" spans="1:4" x14ac:dyDescent="0.15">
      <c r="A51" t="s">
        <v>58</v>
      </c>
      <c r="B51">
        <v>1</v>
      </c>
      <c r="C51" t="s">
        <v>60</v>
      </c>
      <c r="D51" t="s">
        <v>622</v>
      </c>
    </row>
    <row r="52" spans="1:4" x14ac:dyDescent="0.15">
      <c r="A52" t="s">
        <v>59</v>
      </c>
      <c r="B52">
        <v>1</v>
      </c>
      <c r="C52" t="s">
        <v>61</v>
      </c>
      <c r="D52" t="s">
        <v>623</v>
      </c>
    </row>
    <row r="53" spans="1:4" x14ac:dyDescent="0.15">
      <c r="A53" t="s">
        <v>62</v>
      </c>
      <c r="B53">
        <v>2</v>
      </c>
      <c r="C53" t="s">
        <v>63</v>
      </c>
      <c r="D53" t="s">
        <v>624</v>
      </c>
    </row>
    <row r="54" spans="1:4" x14ac:dyDescent="0.15">
      <c r="A54" t="s">
        <v>64</v>
      </c>
      <c r="B54">
        <v>1</v>
      </c>
      <c r="C54" t="s">
        <v>65</v>
      </c>
      <c r="D54" t="s">
        <v>625</v>
      </c>
    </row>
    <row r="55" spans="1:4" x14ac:dyDescent="0.15">
      <c r="A55" t="s">
        <v>66</v>
      </c>
      <c r="B55">
        <v>1</v>
      </c>
      <c r="C55" t="s">
        <v>67</v>
      </c>
      <c r="D55" t="s">
        <v>626</v>
      </c>
    </row>
    <row r="56" spans="1:4" x14ac:dyDescent="0.15">
      <c r="A56" t="s">
        <v>68</v>
      </c>
      <c r="B56" t="b">
        <v>0</v>
      </c>
      <c r="C56" t="s">
        <v>69</v>
      </c>
      <c r="D56" t="s">
        <v>273</v>
      </c>
    </row>
    <row r="57" spans="1:4" x14ac:dyDescent="0.15">
      <c r="B57" s="2"/>
    </row>
    <row r="58" spans="1:4" x14ac:dyDescent="0.15">
      <c r="A58" t="s">
        <v>653</v>
      </c>
      <c r="B58">
        <v>256</v>
      </c>
      <c r="C58" t="s">
        <v>654</v>
      </c>
    </row>
    <row r="59" spans="1:4" x14ac:dyDescent="0.15">
      <c r="B59" t="s">
        <v>667</v>
      </c>
    </row>
  </sheetData>
  <phoneticPr fontId="0" type="noConversion"/>
  <printOptions horizontalCentered="1" gridLines="1"/>
  <pageMargins left="0.75" right="0.75" top="0.59055118110236227" bottom="0.59055118110236227" header="0" footer="0"/>
  <pageSetup paperSize="9" scale="90" orientation="landscape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D51"/>
  <sheetViews>
    <sheetView workbookViewId="0">
      <selection activeCell="B23" sqref="B23"/>
    </sheetView>
  </sheetViews>
  <sheetFormatPr baseColWidth="10" defaultColWidth="11.5" defaultRowHeight="13" x14ac:dyDescent="0.15"/>
  <cols>
    <col min="1" max="1" width="42.1640625" customWidth="1"/>
    <col min="2" max="2" width="12.5" style="8" bestFit="1" customWidth="1"/>
    <col min="3" max="3" width="47" style="8" bestFit="1" customWidth="1"/>
    <col min="4" max="4" width="84.83203125" bestFit="1" customWidth="1"/>
  </cols>
  <sheetData>
    <row r="1" spans="1:4" s="1" customFormat="1" ht="14" thickBot="1" x14ac:dyDescent="0.2">
      <c r="A1" s="3" t="s">
        <v>592</v>
      </c>
      <c r="B1" s="7" t="s">
        <v>249</v>
      </c>
      <c r="C1" s="7" t="s">
        <v>103</v>
      </c>
      <c r="D1" s="3" t="s">
        <v>1</v>
      </c>
    </row>
    <row r="2" spans="1:4" s="1" customFormat="1" x14ac:dyDescent="0.15">
      <c r="A2" s="6"/>
      <c r="B2" s="12"/>
      <c r="C2" s="12"/>
      <c r="D2" s="6"/>
    </row>
    <row r="3" spans="1:4" s="1" customFormat="1" x14ac:dyDescent="0.15">
      <c r="A3" s="1" t="s">
        <v>74</v>
      </c>
      <c r="B3" s="9"/>
      <c r="C3" s="9"/>
    </row>
    <row r="4" spans="1:4" x14ac:dyDescent="0.15">
      <c r="A4" t="s">
        <v>176</v>
      </c>
      <c r="B4" s="8">
        <v>32</v>
      </c>
      <c r="C4" s="8" t="s">
        <v>243</v>
      </c>
      <c r="D4" t="s">
        <v>288</v>
      </c>
    </row>
    <row r="5" spans="1:4" x14ac:dyDescent="0.15">
      <c r="A5" t="s">
        <v>174</v>
      </c>
      <c r="B5" s="8">
        <v>32</v>
      </c>
      <c r="C5" s="8" t="s">
        <v>243</v>
      </c>
      <c r="D5" t="s">
        <v>289</v>
      </c>
    </row>
    <row r="7" spans="1:4" x14ac:dyDescent="0.15">
      <c r="A7" s="1" t="s">
        <v>75</v>
      </c>
    </row>
    <row r="8" spans="1:4" x14ac:dyDescent="0.15">
      <c r="A8" t="s">
        <v>76</v>
      </c>
      <c r="B8" s="8">
        <v>32</v>
      </c>
      <c r="C8" s="8" t="s">
        <v>243</v>
      </c>
      <c r="D8" t="s">
        <v>153</v>
      </c>
    </row>
    <row r="9" spans="1:4" x14ac:dyDescent="0.15">
      <c r="A9" t="s">
        <v>268</v>
      </c>
      <c r="B9" s="8">
        <v>32</v>
      </c>
      <c r="C9" s="8" t="s">
        <v>243</v>
      </c>
      <c r="D9" t="s">
        <v>153</v>
      </c>
    </row>
    <row r="10" spans="1:4" x14ac:dyDescent="0.15">
      <c r="A10" t="s">
        <v>177</v>
      </c>
      <c r="B10" s="8">
        <v>32</v>
      </c>
      <c r="C10" s="8" t="s">
        <v>243</v>
      </c>
      <c r="D10" t="s">
        <v>153</v>
      </c>
    </row>
    <row r="11" spans="1:4" x14ac:dyDescent="0.15">
      <c r="A11" t="s">
        <v>333</v>
      </c>
      <c r="B11" s="8">
        <v>32</v>
      </c>
      <c r="C11" s="8" t="s">
        <v>243</v>
      </c>
      <c r="D11" t="s">
        <v>153</v>
      </c>
    </row>
    <row r="12" spans="1:4" x14ac:dyDescent="0.15">
      <c r="A12" t="s">
        <v>593</v>
      </c>
      <c r="B12" s="8">
        <v>32</v>
      </c>
      <c r="C12" s="8" t="s">
        <v>243</v>
      </c>
      <c r="D12" t="s">
        <v>153</v>
      </c>
    </row>
    <row r="14" spans="1:4" ht="12" customHeight="1" x14ac:dyDescent="0.15">
      <c r="A14" s="1" t="s">
        <v>72</v>
      </c>
    </row>
    <row r="15" spans="1:4" s="4" customFormat="1" x14ac:dyDescent="0.15">
      <c r="A15" s="4" t="s">
        <v>267</v>
      </c>
      <c r="B15" s="10">
        <v>1</v>
      </c>
      <c r="C15" s="10" t="s">
        <v>243</v>
      </c>
      <c r="D15" s="4" t="s">
        <v>290</v>
      </c>
    </row>
    <row r="16" spans="1:4" x14ac:dyDescent="0.15">
      <c r="A16" t="s">
        <v>266</v>
      </c>
      <c r="B16" s="8">
        <v>2</v>
      </c>
      <c r="C16" s="8" t="s">
        <v>243</v>
      </c>
      <c r="D16" t="s">
        <v>291</v>
      </c>
    </row>
    <row r="17" spans="1:4" x14ac:dyDescent="0.15">
      <c r="A17" t="s">
        <v>265</v>
      </c>
      <c r="B17" s="8">
        <v>4</v>
      </c>
      <c r="C17" s="8" t="s">
        <v>243</v>
      </c>
      <c r="D17" t="s">
        <v>292</v>
      </c>
    </row>
    <row r="19" spans="1:4" x14ac:dyDescent="0.15">
      <c r="A19" t="s">
        <v>452</v>
      </c>
      <c r="B19" s="8">
        <f>FUBasicSizeInLam * LogTransDens</f>
        <v>19893.412499999999</v>
      </c>
      <c r="C19" s="8" t="s">
        <v>573</v>
      </c>
      <c r="D19" t="s">
        <v>293</v>
      </c>
    </row>
    <row r="20" spans="1:4" x14ac:dyDescent="0.15">
      <c r="A20" t="s">
        <v>453</v>
      </c>
      <c r="B20" s="8">
        <f>DecUBasicSizeInLam * LogTransDens</f>
        <v>18363.149999999998</v>
      </c>
      <c r="C20" s="8" t="s">
        <v>574</v>
      </c>
      <c r="D20" t="s">
        <v>294</v>
      </c>
    </row>
    <row r="21" spans="1:4" x14ac:dyDescent="0.15">
      <c r="A21" t="s">
        <v>454</v>
      </c>
      <c r="B21" s="8">
        <f>IssUBasicSizeInLam * LogTransDens</f>
        <v>24484.199999999997</v>
      </c>
      <c r="C21" s="8" t="s">
        <v>575</v>
      </c>
      <c r="D21" t="s">
        <v>594</v>
      </c>
    </row>
    <row r="22" spans="1:4" x14ac:dyDescent="0.15">
      <c r="A22" t="s">
        <v>459</v>
      </c>
      <c r="B22" s="8">
        <f>WbBasicSizeInLam * LogTransDens</f>
        <v>12242.099999999999</v>
      </c>
      <c r="C22" s="8" t="s">
        <v>576</v>
      </c>
      <c r="D22" t="s">
        <v>300</v>
      </c>
    </row>
    <row r="23" spans="1:4" x14ac:dyDescent="0.15">
      <c r="A23" t="s">
        <v>458</v>
      </c>
      <c r="B23" s="8">
        <f xml:space="preserve"> CmtUBasicSizeInLam * LogTransDens</f>
        <v>13466.31</v>
      </c>
      <c r="C23" s="8" t="s">
        <v>310</v>
      </c>
      <c r="D23" t="s">
        <v>301</v>
      </c>
    </row>
    <row r="25" spans="1:4" x14ac:dyDescent="0.15">
      <c r="A25" t="s">
        <v>223</v>
      </c>
      <c r="B25" s="8">
        <f>IntUSizeInLam * LogTransDens</f>
        <v>46512.940792499998</v>
      </c>
      <c r="C25" s="8" t="s">
        <v>577</v>
      </c>
      <c r="D25" s="4" t="s">
        <v>298</v>
      </c>
    </row>
    <row r="26" spans="1:4" x14ac:dyDescent="0.15">
      <c r="A26" t="s">
        <v>455</v>
      </c>
      <c r="B26" s="8">
        <f>CpxIntUSizeInLam * LogTransDens</f>
        <v>93025.881584999996</v>
      </c>
      <c r="C26" s="8" t="s">
        <v>578</v>
      </c>
      <c r="D26" t="s">
        <v>297</v>
      </c>
    </row>
    <row r="27" spans="1:4" x14ac:dyDescent="0.15">
      <c r="A27" t="s">
        <v>225</v>
      </c>
      <c r="B27" s="8">
        <f>FpUSizeInLam * LogTransDens</f>
        <v>61210.499999999993</v>
      </c>
      <c r="C27" s="8" t="s">
        <v>582</v>
      </c>
      <c r="D27" t="s">
        <v>296</v>
      </c>
    </row>
    <row r="28" spans="1:4" x14ac:dyDescent="0.15">
      <c r="A28" t="s">
        <v>456</v>
      </c>
      <c r="B28" s="8">
        <f>CpxFpUSizeInLam * LogTransDens</f>
        <v>107118.37499999999</v>
      </c>
      <c r="C28" s="8" t="s">
        <v>583</v>
      </c>
      <c r="D28" t="s">
        <v>295</v>
      </c>
    </row>
    <row r="29" spans="1:4" x14ac:dyDescent="0.15">
      <c r="A29" t="s">
        <v>457</v>
      </c>
      <c r="B29" s="8">
        <f>LsUBasicSizeInLam * LogTransDens</f>
        <v>91815.749999999985</v>
      </c>
      <c r="C29" s="8" t="s">
        <v>579</v>
      </c>
      <c r="D29" t="s">
        <v>299</v>
      </c>
    </row>
    <row r="31" spans="1:4" s="1" customFormat="1" x14ac:dyDescent="0.15">
      <c r="A31" s="1" t="s">
        <v>264</v>
      </c>
      <c r="B31" s="9"/>
      <c r="C31" s="9"/>
    </row>
    <row r="32" spans="1:4" s="4" customFormat="1" x14ac:dyDescent="0.15">
      <c r="A32" s="4" t="s">
        <v>452</v>
      </c>
      <c r="B32" s="10">
        <v>32500000</v>
      </c>
      <c r="C32" s="10" t="s">
        <v>243</v>
      </c>
      <c r="D32" s="4" t="s">
        <v>634</v>
      </c>
    </row>
    <row r="33" spans="1:4" s="4" customFormat="1" x14ac:dyDescent="0.15">
      <c r="A33" s="4" t="s">
        <v>471</v>
      </c>
      <c r="B33" s="10">
        <v>30000000</v>
      </c>
      <c r="C33" s="10" t="s">
        <v>243</v>
      </c>
      <c r="D33" s="4" t="s">
        <v>635</v>
      </c>
    </row>
    <row r="34" spans="1:4" s="4" customFormat="1" x14ac:dyDescent="0.15">
      <c r="A34" s="4" t="s">
        <v>460</v>
      </c>
      <c r="B34" s="10">
        <v>40000000</v>
      </c>
      <c r="C34" s="10" t="s">
        <v>243</v>
      </c>
      <c r="D34" s="4" t="s">
        <v>636</v>
      </c>
    </row>
    <row r="35" spans="1:4" x14ac:dyDescent="0.15">
      <c r="A35" t="s">
        <v>459</v>
      </c>
      <c r="B35" s="8">
        <v>20000000</v>
      </c>
      <c r="C35" s="8" t="s">
        <v>243</v>
      </c>
      <c r="D35" t="s">
        <v>637</v>
      </c>
    </row>
    <row r="36" spans="1:4" x14ac:dyDescent="0.15">
      <c r="A36" t="s">
        <v>458</v>
      </c>
      <c r="B36" s="8">
        <v>22000000</v>
      </c>
      <c r="C36" s="8" t="s">
        <v>243</v>
      </c>
      <c r="D36" t="s">
        <v>638</v>
      </c>
    </row>
    <row r="37" spans="1:4" s="4" customFormat="1" x14ac:dyDescent="0.15">
      <c r="B37" s="10"/>
      <c r="C37" s="10"/>
    </row>
    <row r="38" spans="1:4" s="4" customFormat="1" x14ac:dyDescent="0.15">
      <c r="A38" s="4" t="s">
        <v>223</v>
      </c>
      <c r="B38" s="8">
        <v>75988500</v>
      </c>
      <c r="C38" s="10" t="s">
        <v>243</v>
      </c>
      <c r="D38" s="4" t="s">
        <v>639</v>
      </c>
    </row>
    <row r="39" spans="1:4" x14ac:dyDescent="0.15">
      <c r="A39" t="s">
        <v>455</v>
      </c>
      <c r="B39" s="8">
        <v>151977000</v>
      </c>
      <c r="C39" s="8" t="s">
        <v>243</v>
      </c>
      <c r="D39" t="s">
        <v>640</v>
      </c>
    </row>
    <row r="40" spans="1:4" x14ac:dyDescent="0.15">
      <c r="A40" t="s">
        <v>225</v>
      </c>
      <c r="B40" s="8">
        <v>100000000</v>
      </c>
      <c r="C40" s="8" t="s">
        <v>243</v>
      </c>
      <c r="D40" t="s">
        <v>641</v>
      </c>
    </row>
    <row r="41" spans="1:4" x14ac:dyDescent="0.15">
      <c r="A41" t="s">
        <v>456</v>
      </c>
      <c r="B41" s="8">
        <v>175000000</v>
      </c>
      <c r="C41" s="8" t="s">
        <v>243</v>
      </c>
      <c r="D41" t="s">
        <v>642</v>
      </c>
    </row>
    <row r="42" spans="1:4" x14ac:dyDescent="0.15">
      <c r="A42" t="s">
        <v>457</v>
      </c>
      <c r="B42" s="8">
        <v>150000000</v>
      </c>
      <c r="C42" s="8" t="s">
        <v>243</v>
      </c>
      <c r="D42" t="s">
        <v>643</v>
      </c>
    </row>
    <row r="44" spans="1:4" s="4" customFormat="1" x14ac:dyDescent="0.15">
      <c r="A44" s="4" t="s">
        <v>461</v>
      </c>
      <c r="B44" s="10">
        <v>32</v>
      </c>
      <c r="C44" s="10" t="s">
        <v>243</v>
      </c>
      <c r="D44" s="4" t="s">
        <v>627</v>
      </c>
    </row>
    <row r="45" spans="1:4" x14ac:dyDescent="0.15">
      <c r="A45" t="s">
        <v>462</v>
      </c>
      <c r="B45" s="8">
        <v>24</v>
      </c>
      <c r="C45" s="8" t="s">
        <v>243</v>
      </c>
      <c r="D45" t="s">
        <v>628</v>
      </c>
    </row>
    <row r="46" spans="1:4" x14ac:dyDescent="0.15">
      <c r="A46" t="s">
        <v>463</v>
      </c>
      <c r="B46" s="8">
        <v>8</v>
      </c>
      <c r="C46" s="8" t="s">
        <v>243</v>
      </c>
      <c r="D46" t="s">
        <v>629</v>
      </c>
    </row>
    <row r="48" spans="1:4" s="1" customFormat="1" x14ac:dyDescent="0.15">
      <c r="A48" s="1" t="s">
        <v>303</v>
      </c>
      <c r="B48" s="9"/>
      <c r="C48" s="9"/>
    </row>
    <row r="49" spans="1:4" x14ac:dyDescent="0.15">
      <c r="A49" t="s">
        <v>464</v>
      </c>
      <c r="B49" s="19">
        <f>(HP8000LogTransDens + Sparc64LogTransDens) / 2</f>
        <v>6.1210499999999994E-4</v>
      </c>
      <c r="C49" s="8" t="s">
        <v>326</v>
      </c>
      <c r="D49" t="s">
        <v>595</v>
      </c>
    </row>
    <row r="50" spans="1:4" x14ac:dyDescent="0.15">
      <c r="A50" t="s">
        <v>465</v>
      </c>
      <c r="B50" s="19">
        <v>5.2090000000000003E-4</v>
      </c>
      <c r="C50" s="8" t="s">
        <v>243</v>
      </c>
      <c r="D50" t="s">
        <v>591</v>
      </c>
    </row>
    <row r="51" spans="1:4" x14ac:dyDescent="0.15">
      <c r="A51" t="s">
        <v>466</v>
      </c>
      <c r="B51" s="19">
        <v>7.0330999999999996E-4</v>
      </c>
      <c r="C51" s="8" t="s">
        <v>243</v>
      </c>
      <c r="D51" t="s">
        <v>591</v>
      </c>
    </row>
  </sheetData>
  <phoneticPr fontId="0" type="noConversion"/>
  <pageMargins left="0.75" right="0.75" top="1" bottom="1" header="0" footer="0"/>
  <pageSetup paperSize="9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D35"/>
  <sheetViews>
    <sheetView workbookViewId="0">
      <selection activeCell="B35" sqref="B35"/>
    </sheetView>
  </sheetViews>
  <sheetFormatPr baseColWidth="10" defaultColWidth="11.5" defaultRowHeight="13" x14ac:dyDescent="0.15"/>
  <cols>
    <col min="1" max="1" width="36.6640625" customWidth="1"/>
    <col min="2" max="2" width="14.1640625" customWidth="1"/>
    <col min="3" max="3" width="54.1640625" customWidth="1"/>
    <col min="4" max="4" width="59.33203125" customWidth="1"/>
  </cols>
  <sheetData>
    <row r="1" spans="1:3" s="1" customFormat="1" x14ac:dyDescent="0.15">
      <c r="A1" s="1" t="s">
        <v>102</v>
      </c>
      <c r="B1" s="1" t="s">
        <v>71</v>
      </c>
      <c r="C1" s="1" t="s">
        <v>103</v>
      </c>
    </row>
    <row r="3" spans="1:3" x14ac:dyDescent="0.15">
      <c r="A3" s="1" t="s">
        <v>150</v>
      </c>
    </row>
    <row r="4" spans="1:3" x14ac:dyDescent="0.15">
      <c r="A4" t="s">
        <v>254</v>
      </c>
      <c r="B4">
        <f>FWid</f>
        <v>2</v>
      </c>
      <c r="C4" t="s">
        <v>324</v>
      </c>
    </row>
    <row r="5" spans="1:3" x14ac:dyDescent="0.15">
      <c r="A5" t="s">
        <v>255</v>
      </c>
      <c r="B5">
        <f>FWid</f>
        <v>2</v>
      </c>
      <c r="C5" t="s">
        <v>324</v>
      </c>
    </row>
    <row r="7" spans="1:3" x14ac:dyDescent="0.15">
      <c r="A7" s="1" t="s">
        <v>74</v>
      </c>
    </row>
    <row r="8" spans="1:3" x14ac:dyDescent="0.15">
      <c r="A8" t="s">
        <v>246</v>
      </c>
      <c r="B8">
        <f xml:space="preserve"> (NuFpAlu + NuFpMul) * 2 + NuMemPort</f>
        <v>6</v>
      </c>
      <c r="C8" t="s">
        <v>510</v>
      </c>
    </row>
    <row r="9" spans="1:3" x14ac:dyDescent="0.15">
      <c r="A9" t="s">
        <v>237</v>
      </c>
      <c r="B9">
        <f>FWid</f>
        <v>2</v>
      </c>
      <c r="C9" t="s">
        <v>324</v>
      </c>
    </row>
    <row r="10" spans="1:3" x14ac:dyDescent="0.15">
      <c r="A10" t="s">
        <v>238</v>
      </c>
      <c r="B10">
        <f xml:space="preserve"> (NuIntAlu + NuIntMul) * 2 + NuMemPort * 2</f>
        <v>8</v>
      </c>
      <c r="C10" s="4" t="s">
        <v>325</v>
      </c>
    </row>
    <row r="11" spans="1:3" x14ac:dyDescent="0.15">
      <c r="A11" t="s">
        <v>239</v>
      </c>
      <c r="B11">
        <f>FWid</f>
        <v>2</v>
      </c>
      <c r="C11" t="s">
        <v>324</v>
      </c>
    </row>
    <row r="13" spans="1:3" x14ac:dyDescent="0.15">
      <c r="A13" s="1" t="s">
        <v>241</v>
      </c>
    </row>
    <row r="14" spans="1:3" x14ac:dyDescent="0.15">
      <c r="A14" t="s">
        <v>247</v>
      </c>
      <c r="B14">
        <f>NuMemPort * 2 + FWid</f>
        <v>6</v>
      </c>
      <c r="C14" t="s">
        <v>603</v>
      </c>
    </row>
    <row r="15" spans="1:3" x14ac:dyDescent="0.15">
      <c r="A15" t="s">
        <v>248</v>
      </c>
      <c r="B15">
        <f>NuMemPort + NuIntAlu + NuIntMul + NuFpAlu + NuFpMul</f>
        <v>6</v>
      </c>
      <c r="C15" t="s">
        <v>604</v>
      </c>
    </row>
    <row r="17" spans="1:4" x14ac:dyDescent="0.15">
      <c r="A17" s="1" t="s">
        <v>240</v>
      </c>
    </row>
    <row r="18" spans="1:4" x14ac:dyDescent="0.15">
      <c r="A18" t="s">
        <v>244</v>
      </c>
      <c r="B18">
        <f>NuIntAlu + NuIntMul + NuFpAlu + NuFpMul + IssWid + FWid</f>
        <v>8</v>
      </c>
      <c r="C18" t="s">
        <v>327</v>
      </c>
    </row>
    <row r="19" spans="1:4" x14ac:dyDescent="0.15">
      <c r="A19" t="s">
        <v>245</v>
      </c>
      <c r="B19">
        <f>NuIntAlu + NuIntMul + NuFpAlu + NuFpMul + DecWid</f>
        <v>6</v>
      </c>
      <c r="C19" t="s">
        <v>328</v>
      </c>
    </row>
    <row r="21" spans="1:4" x14ac:dyDescent="0.15">
      <c r="A21" s="1" t="s">
        <v>157</v>
      </c>
    </row>
    <row r="22" spans="1:4" x14ac:dyDescent="0.15">
      <c r="A22" t="s">
        <v>320</v>
      </c>
      <c r="B22">
        <f>ROUNDUP(FWid * 4 / Lev1ICacheBytePerLn,0)</f>
        <v>1</v>
      </c>
      <c r="C22" t="s">
        <v>361</v>
      </c>
    </row>
    <row r="23" spans="1:4" x14ac:dyDescent="0.15">
      <c r="A23" t="s">
        <v>321</v>
      </c>
      <c r="B23">
        <f>ROUNDUP(FWid * 4 / Lev1ICacheBytePerLn,0)</f>
        <v>1</v>
      </c>
      <c r="C23" t="s">
        <v>361</v>
      </c>
    </row>
    <row r="24" spans="1:4" x14ac:dyDescent="0.15">
      <c r="A24" t="s">
        <v>319</v>
      </c>
      <c r="B24">
        <f>NuMemPort</f>
        <v>2</v>
      </c>
      <c r="C24" t="s">
        <v>323</v>
      </c>
    </row>
    <row r="25" spans="1:4" x14ac:dyDescent="0.15">
      <c r="A25" t="s">
        <v>322</v>
      </c>
      <c r="B25">
        <f>NuMemPort</f>
        <v>2</v>
      </c>
      <c r="C25" t="s">
        <v>323</v>
      </c>
    </row>
    <row r="27" spans="1:4" x14ac:dyDescent="0.15">
      <c r="A27" s="1" t="s">
        <v>120</v>
      </c>
    </row>
    <row r="28" spans="1:4" x14ac:dyDescent="0.15">
      <c r="A28" t="s">
        <v>311</v>
      </c>
      <c r="B28">
        <f>ROUNDUP(FWid * 4 / Lev1ICacheBytePerLn,0)</f>
        <v>1</v>
      </c>
      <c r="C28" t="s">
        <v>361</v>
      </c>
      <c r="D28" t="s">
        <v>115</v>
      </c>
    </row>
    <row r="29" spans="1:4" x14ac:dyDescent="0.15">
      <c r="A29" t="s">
        <v>312</v>
      </c>
      <c r="B29">
        <f>ROUNDUP(FWid * 4 / Lev1ICacheBytePerLn,0)</f>
        <v>1</v>
      </c>
      <c r="C29" t="s">
        <v>361</v>
      </c>
    </row>
    <row r="30" spans="1:4" x14ac:dyDescent="0.15">
      <c r="A30" t="s">
        <v>313</v>
      </c>
      <c r="B30">
        <f xml:space="preserve"> NuMemPort</f>
        <v>2</v>
      </c>
      <c r="C30" t="s">
        <v>323</v>
      </c>
    </row>
    <row r="31" spans="1:4" x14ac:dyDescent="0.15">
      <c r="A31" t="s">
        <v>314</v>
      </c>
      <c r="B31">
        <f>NuMemPort</f>
        <v>2</v>
      </c>
      <c r="C31" t="s">
        <v>323</v>
      </c>
    </row>
    <row r="32" spans="1:4" x14ac:dyDescent="0.15">
      <c r="A32" t="s">
        <v>315</v>
      </c>
      <c r="B32" t="e">
        <f>ROUNDUP(FWid * 4 / Lev2ICacheBytePerLn,0)</f>
        <v>#DIV/0!</v>
      </c>
      <c r="C32" t="s">
        <v>605</v>
      </c>
    </row>
    <row r="33" spans="1:3" x14ac:dyDescent="0.15">
      <c r="A33" t="s">
        <v>316</v>
      </c>
      <c r="B33" t="e">
        <f>ROUNDUP(FWid * 4 / Lev2ICacheBytePerLn,0)</f>
        <v>#DIV/0!</v>
      </c>
      <c r="C33" t="s">
        <v>605</v>
      </c>
    </row>
    <row r="34" spans="1:3" x14ac:dyDescent="0.15">
      <c r="A34" t="s">
        <v>317</v>
      </c>
      <c r="B34">
        <f>NuMemPort</f>
        <v>2</v>
      </c>
      <c r="C34" t="s">
        <v>323</v>
      </c>
    </row>
    <row r="35" spans="1:3" x14ac:dyDescent="0.15">
      <c r="A35" t="s">
        <v>318</v>
      </c>
      <c r="B35">
        <f>NuMemPort</f>
        <v>2</v>
      </c>
      <c r="C35" t="s">
        <v>323</v>
      </c>
    </row>
  </sheetData>
  <phoneticPr fontId="0" type="noConversion"/>
  <pageMargins left="0.75" right="0.75" top="1" bottom="1" header="0" footer="0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C79"/>
  <sheetViews>
    <sheetView topLeftCell="A24" workbookViewId="0">
      <selection activeCell="B20" sqref="B20"/>
    </sheetView>
  </sheetViews>
  <sheetFormatPr baseColWidth="10" defaultColWidth="11.5" defaultRowHeight="13" x14ac:dyDescent="0.15"/>
  <cols>
    <col min="1" max="1" width="29.5" customWidth="1"/>
    <col min="2" max="2" width="29.33203125" style="8" customWidth="1"/>
    <col min="3" max="3" width="103.6640625" bestFit="1" customWidth="1"/>
  </cols>
  <sheetData>
    <row r="1" spans="1:3" s="1" customFormat="1" x14ac:dyDescent="0.15">
      <c r="A1" s="1" t="s">
        <v>102</v>
      </c>
      <c r="B1" s="9" t="s">
        <v>119</v>
      </c>
      <c r="C1" s="1" t="s">
        <v>103</v>
      </c>
    </row>
    <row r="3" spans="1:3" x14ac:dyDescent="0.15">
      <c r="A3" s="1" t="s">
        <v>150</v>
      </c>
    </row>
    <row r="4" spans="1:3" x14ac:dyDescent="0.15">
      <c r="A4" t="s">
        <v>114</v>
      </c>
      <c r="B4" s="8">
        <f xml:space="preserve"> 2 * NuBtbEnt</f>
        <v>4096</v>
      </c>
      <c r="C4" t="s">
        <v>596</v>
      </c>
    </row>
    <row r="6" spans="1:3" x14ac:dyDescent="0.15">
      <c r="A6" s="1" t="s">
        <v>87</v>
      </c>
    </row>
    <row r="7" spans="1:3" s="4" customFormat="1" x14ac:dyDescent="0.15">
      <c r="A7" s="4" t="s">
        <v>176</v>
      </c>
      <c r="B7" s="10">
        <f>NuFpReg * BitPerFpReg</f>
        <v>1024</v>
      </c>
      <c r="C7" s="4" t="s">
        <v>329</v>
      </c>
    </row>
    <row r="8" spans="1:3" s="4" customFormat="1" x14ac:dyDescent="0.15">
      <c r="A8" s="4" t="s">
        <v>174</v>
      </c>
      <c r="B8" s="10">
        <f>NuIntReg * BitPerIntReg</f>
        <v>1024</v>
      </c>
      <c r="C8" s="4" t="s">
        <v>330</v>
      </c>
    </row>
    <row r="9" spans="1:3" s="4" customFormat="1" x14ac:dyDescent="0.15">
      <c r="A9" s="1" t="s">
        <v>180</v>
      </c>
      <c r="B9" s="9">
        <f>BitPerIntRegSet + BitPerFpRegSet</f>
        <v>2048</v>
      </c>
      <c r="C9" s="4" t="s">
        <v>597</v>
      </c>
    </row>
    <row r="10" spans="1:3" s="4" customFormat="1" x14ac:dyDescent="0.15">
      <c r="A10" s="1"/>
      <c r="B10" s="9"/>
    </row>
    <row r="11" spans="1:3" s="4" customFormat="1" x14ac:dyDescent="0.15">
      <c r="A11" s="1" t="s">
        <v>241</v>
      </c>
      <c r="B11" s="9"/>
    </row>
    <row r="12" spans="1:3" s="4" customFormat="1" x14ac:dyDescent="0.15">
      <c r="A12" s="4" t="s">
        <v>331</v>
      </c>
      <c r="B12" s="10">
        <f>ROUNDUP(LOG(RuuEnt,2),0)</f>
        <v>6</v>
      </c>
      <c r="C12" s="4" t="s">
        <v>332</v>
      </c>
    </row>
    <row r="13" spans="1:3" s="4" customFormat="1" x14ac:dyDescent="0.15">
      <c r="A13" s="4" t="s">
        <v>334</v>
      </c>
      <c r="B13" s="10">
        <f>BitPerRuuId + 3 + AddInBit + WordInBit</f>
        <v>73</v>
      </c>
      <c r="C13" s="4" t="s">
        <v>337</v>
      </c>
    </row>
    <row r="14" spans="1:3" s="1" customFormat="1" x14ac:dyDescent="0.15">
      <c r="A14" s="1" t="s">
        <v>253</v>
      </c>
      <c r="B14" s="9">
        <f>BitPerLsqEnt * LsqEnt</f>
        <v>2336</v>
      </c>
      <c r="C14" s="1" t="s">
        <v>338</v>
      </c>
    </row>
    <row r="15" spans="1:3" s="1" customFormat="1" x14ac:dyDescent="0.15">
      <c r="B15" s="9"/>
    </row>
    <row r="16" spans="1:3" s="1" customFormat="1" x14ac:dyDescent="0.15">
      <c r="A16" s="1" t="s">
        <v>269</v>
      </c>
      <c r="B16" s="9"/>
    </row>
    <row r="17" spans="1:3" s="4" customFormat="1" x14ac:dyDescent="0.15">
      <c r="A17" s="4" t="s">
        <v>340</v>
      </c>
      <c r="B17" s="10">
        <f>ROUNDUP(LOG((NuIntReg + NuFpReg),2),0)</f>
        <v>6</v>
      </c>
      <c r="C17" s="4" t="s">
        <v>341</v>
      </c>
    </row>
    <row r="18" spans="1:3" s="4" customFormat="1" x14ac:dyDescent="0.15">
      <c r="A18" s="4" t="s">
        <v>343</v>
      </c>
      <c r="B18" s="10">
        <f>ROUNDUP(LOG((NuIntAlu + NuIntMul + NuFpAlu + NuFpMul + NuMemPort),2),0)</f>
        <v>3</v>
      </c>
      <c r="C18" s="4" t="s">
        <v>342</v>
      </c>
    </row>
    <row r="19" spans="1:3" s="4" customFormat="1" x14ac:dyDescent="0.15">
      <c r="A19" s="4" t="s">
        <v>335</v>
      </c>
      <c r="B19" s="10">
        <f>3 * (BitPerRegId + WordInBit + 1) + BitPerPC + BitPerExUId + 2</f>
        <v>154</v>
      </c>
      <c r="C19" s="4" t="s">
        <v>344</v>
      </c>
    </row>
    <row r="20" spans="1:3" s="1" customFormat="1" x14ac:dyDescent="0.15">
      <c r="A20" s="1" t="s">
        <v>336</v>
      </c>
      <c r="B20" s="9">
        <f>RuuEnt * BitPerRuuEnt</f>
        <v>9856</v>
      </c>
      <c r="C20" s="1" t="s">
        <v>339</v>
      </c>
    </row>
    <row r="21" spans="1:3" s="1" customFormat="1" x14ac:dyDescent="0.15">
      <c r="B21" s="9"/>
    </row>
    <row r="23" spans="1:3" x14ac:dyDescent="0.15">
      <c r="A23" s="11" t="s">
        <v>86</v>
      </c>
    </row>
    <row r="24" spans="1:3" s="4" customFormat="1" x14ac:dyDescent="0.15">
      <c r="A24" s="4" t="s">
        <v>374</v>
      </c>
      <c r="B24" s="10">
        <f>LOG(DTlbBytePerPg,2)</f>
        <v>12</v>
      </c>
      <c r="C24" s="4" t="s">
        <v>345</v>
      </c>
    </row>
    <row r="25" spans="1:3" x14ac:dyDescent="0.15">
      <c r="A25" t="s">
        <v>375</v>
      </c>
      <c r="B25" s="8">
        <f xml:space="preserve"> LOG(DTlbSet,2)</f>
        <v>5</v>
      </c>
      <c r="C25" t="s">
        <v>347</v>
      </c>
    </row>
    <row r="26" spans="1:3" x14ac:dyDescent="0.15">
      <c r="A26" t="s">
        <v>377</v>
      </c>
      <c r="B26" s="8">
        <f>(AddInBit-BitPerDTlbPgOff) * DTlbAss * DTlbSet</f>
        <v>2560</v>
      </c>
      <c r="C26" t="s">
        <v>349</v>
      </c>
    </row>
    <row r="27" spans="1:3" x14ac:dyDescent="0.15">
      <c r="A27" t="s">
        <v>376</v>
      </c>
      <c r="B27" s="8">
        <f xml:space="preserve"> (AddInBit - (BitPerDTlbPgOff + BitPerDTlbIdx)) * DTlbAss * DTlbSet</f>
        <v>1920</v>
      </c>
      <c r="C27" t="s">
        <v>396</v>
      </c>
    </row>
    <row r="28" spans="1:3" s="1" customFormat="1" x14ac:dyDescent="0.15">
      <c r="A28" s="1" t="s">
        <v>166</v>
      </c>
      <c r="B28" s="9">
        <f>BitOfDTlbAdd + BitOfDTlbTag</f>
        <v>4480</v>
      </c>
      <c r="C28" s="1" t="s">
        <v>350</v>
      </c>
    </row>
    <row r="30" spans="1:3" x14ac:dyDescent="0.15">
      <c r="A30" s="1" t="s">
        <v>85</v>
      </c>
    </row>
    <row r="31" spans="1:3" x14ac:dyDescent="0.15">
      <c r="A31" t="s">
        <v>373</v>
      </c>
      <c r="B31" s="8">
        <f>LOG(ITlbBytePerPg,2)</f>
        <v>12</v>
      </c>
      <c r="C31" t="s">
        <v>346</v>
      </c>
    </row>
    <row r="32" spans="1:3" x14ac:dyDescent="0.15">
      <c r="A32" t="s">
        <v>372</v>
      </c>
      <c r="B32" s="8">
        <f>LOG(ITlbSet,2)</f>
        <v>4</v>
      </c>
      <c r="C32" t="s">
        <v>348</v>
      </c>
    </row>
    <row r="33" spans="1:3" x14ac:dyDescent="0.15">
      <c r="A33" t="s">
        <v>378</v>
      </c>
      <c r="B33" s="8">
        <f>(AddInBit - BitPerITlbPgOff) * ITlbAss * ITlbSet</f>
        <v>1280</v>
      </c>
      <c r="C33" t="s">
        <v>351</v>
      </c>
    </row>
    <row r="34" spans="1:3" x14ac:dyDescent="0.15">
      <c r="A34" t="s">
        <v>379</v>
      </c>
      <c r="B34" s="8">
        <f>(AddInBit - (BitPerITlbPgOff + BitPerITlbIdx))  * ITlbAss * ITlbSet</f>
        <v>1024</v>
      </c>
      <c r="C34" t="s">
        <v>352</v>
      </c>
    </row>
    <row r="35" spans="1:3" s="1" customFormat="1" x14ac:dyDescent="0.15">
      <c r="A35" s="1" t="s">
        <v>169</v>
      </c>
      <c r="B35" s="9">
        <f>BitOfITlbAdd + BitOfITlbTag</f>
        <v>2304</v>
      </c>
      <c r="C35" s="1" t="s">
        <v>353</v>
      </c>
    </row>
    <row r="36" spans="1:3" x14ac:dyDescent="0.15">
      <c r="A36" s="4"/>
      <c r="B36" s="10"/>
      <c r="C36" s="4"/>
    </row>
    <row r="37" spans="1:3" x14ac:dyDescent="0.15">
      <c r="A37" s="1" t="s">
        <v>132</v>
      </c>
    </row>
    <row r="38" spans="1:3" x14ac:dyDescent="0.15">
      <c r="A38" t="s">
        <v>163</v>
      </c>
      <c r="B38" s="8">
        <f>Lev1DCacheSet * Lev1DCacheBytePerLn * Lev1DCacheAss * 8</f>
        <v>2097152</v>
      </c>
      <c r="C38" t="s">
        <v>366</v>
      </c>
    </row>
    <row r="39" spans="1:3" x14ac:dyDescent="0.15">
      <c r="A39" t="s">
        <v>368</v>
      </c>
      <c r="B39" s="8">
        <f>(AddInBit + BitPerLev1DCacheLru - (BitPerLev1DCacheIdx + BitPerLev1DCacheOff)) * Lev1DCacheSet * Lev1DCacheAss</f>
        <v>172032</v>
      </c>
      <c r="C39" t="s">
        <v>381</v>
      </c>
    </row>
    <row r="40" spans="1:3" x14ac:dyDescent="0.15">
      <c r="A40" t="s">
        <v>369</v>
      </c>
      <c r="B40" s="8">
        <f>LOG(Lev1DCacheBytePerLn / 8,2)</f>
        <v>2</v>
      </c>
      <c r="C40" t="s">
        <v>397</v>
      </c>
    </row>
    <row r="41" spans="1:3" x14ac:dyDescent="0.15">
      <c r="A41" t="s">
        <v>370</v>
      </c>
      <c r="B41" s="8">
        <f>LOG(Lev1DCacheSet,2)</f>
        <v>11</v>
      </c>
      <c r="C41" t="s">
        <v>367</v>
      </c>
    </row>
    <row r="42" spans="1:3" x14ac:dyDescent="0.15">
      <c r="A42" t="s">
        <v>371</v>
      </c>
      <c r="B42" s="8">
        <f>ROUNDUP(LOG(Lev1DCacheAss,2),0)</f>
        <v>2</v>
      </c>
      <c r="C42" t="s">
        <v>380</v>
      </c>
    </row>
    <row r="43" spans="1:3" s="1" customFormat="1" x14ac:dyDescent="0.15">
      <c r="A43" s="1" t="s">
        <v>139</v>
      </c>
      <c r="B43" s="9">
        <f>Lev1DCacheDataBit + Lev1DCacheTagBit</f>
        <v>2269184</v>
      </c>
      <c r="C43" s="1" t="s">
        <v>403</v>
      </c>
    </row>
    <row r="44" spans="1:3" x14ac:dyDescent="0.15">
      <c r="A44" s="1"/>
      <c r="B44" s="9"/>
    </row>
    <row r="45" spans="1:3" x14ac:dyDescent="0.15">
      <c r="A45" s="1" t="s">
        <v>131</v>
      </c>
    </row>
    <row r="46" spans="1:3" x14ac:dyDescent="0.15">
      <c r="A46" t="s">
        <v>162</v>
      </c>
      <c r="B46" s="8">
        <f xml:space="preserve"> Lev1ICacheSet * Lev1ICacheBytePerLn * Lev1ICacheAss * 8</f>
        <v>262144</v>
      </c>
      <c r="C46" t="s">
        <v>362</v>
      </c>
    </row>
    <row r="47" spans="1:3" x14ac:dyDescent="0.15">
      <c r="A47" t="s">
        <v>385</v>
      </c>
      <c r="B47" s="8">
        <f xml:space="preserve"> (AddInBit + BitPerLev1ICacheLru - (BitPerLev1ICacheIdx + BitPerLev1ICacheOff)) * Lev1ICacheSet * Lev1ICacheAss</f>
        <v>12288</v>
      </c>
      <c r="C47" t="s">
        <v>387</v>
      </c>
    </row>
    <row r="48" spans="1:3" x14ac:dyDescent="0.15">
      <c r="A48" t="s">
        <v>384</v>
      </c>
      <c r="B48" s="8">
        <f xml:space="preserve"> LOG(Lev1ICacheBytePerLn / 8,2)</f>
        <v>3</v>
      </c>
      <c r="C48" t="s">
        <v>363</v>
      </c>
    </row>
    <row r="49" spans="1:3" x14ac:dyDescent="0.15">
      <c r="A49" t="s">
        <v>383</v>
      </c>
      <c r="B49" s="8">
        <f xml:space="preserve"> LOG(Lev1ICacheSet,2)</f>
        <v>7</v>
      </c>
      <c r="C49" t="s">
        <v>364</v>
      </c>
    </row>
    <row r="50" spans="1:3" x14ac:dyDescent="0.15">
      <c r="A50" t="s">
        <v>382</v>
      </c>
      <c r="B50" s="8">
        <f xml:space="preserve"> ROUNDUP(LOG(Lev1ICacheAss,2),0)</f>
        <v>2</v>
      </c>
      <c r="C50" t="s">
        <v>386</v>
      </c>
    </row>
    <row r="51" spans="1:3" x14ac:dyDescent="0.15">
      <c r="A51" s="1" t="s">
        <v>137</v>
      </c>
      <c r="B51" s="9">
        <f xml:space="preserve"> Lev1ICacheDataBit + Lev1ICacheTagBit</f>
        <v>274432</v>
      </c>
      <c r="C51" t="s">
        <v>365</v>
      </c>
    </row>
    <row r="53" spans="1:3" x14ac:dyDescent="0.15">
      <c r="A53" s="1" t="s">
        <v>141</v>
      </c>
    </row>
    <row r="54" spans="1:3" x14ac:dyDescent="0.15">
      <c r="A54" t="s">
        <v>165</v>
      </c>
      <c r="B54" s="8">
        <f>Lev2DCacheSet * Lev2DCacheBytePerLn * Lev2DCacheAss * 8</f>
        <v>16777216</v>
      </c>
      <c r="C54" t="s">
        <v>402</v>
      </c>
    </row>
    <row r="55" spans="1:3" x14ac:dyDescent="0.15">
      <c r="A55" t="s">
        <v>388</v>
      </c>
      <c r="B55" s="8">
        <f>(AddInBit + BitPerLev2DCacheLru -(BitPerLev2DCacheIdx+BitPerLev2DCacheOff)) * Lev2DCacheSet * Lev2DCacheAss</f>
        <v>589824</v>
      </c>
      <c r="C55" t="s">
        <v>401</v>
      </c>
    </row>
    <row r="56" spans="1:3" x14ac:dyDescent="0.15">
      <c r="A56" t="s">
        <v>389</v>
      </c>
      <c r="B56" s="8">
        <f>LOG(Lev2DCacheBytePerLn / 8,2)</f>
        <v>3</v>
      </c>
      <c r="C56" t="s">
        <v>400</v>
      </c>
    </row>
    <row r="57" spans="1:3" x14ac:dyDescent="0.15">
      <c r="A57" t="s">
        <v>390</v>
      </c>
      <c r="B57" s="8">
        <f>LOG(Lev2DCacheSet,2)</f>
        <v>13</v>
      </c>
      <c r="C57" t="s">
        <v>399</v>
      </c>
    </row>
    <row r="58" spans="1:3" x14ac:dyDescent="0.15">
      <c r="A58" t="s">
        <v>391</v>
      </c>
      <c r="B58" s="8">
        <f>ROUNDUP(LOG(Lev2DCacheAss,2),0)</f>
        <v>2</v>
      </c>
      <c r="C58" t="s">
        <v>398</v>
      </c>
    </row>
    <row r="59" spans="1:3" x14ac:dyDescent="0.15">
      <c r="A59" s="1" t="s">
        <v>142</v>
      </c>
      <c r="B59" s="9">
        <f>Lev2DCacheDataBit + Lev2DCacheTagBit</f>
        <v>17367040</v>
      </c>
      <c r="C59" t="s">
        <v>598</v>
      </c>
    </row>
    <row r="61" spans="1:3" x14ac:dyDescent="0.15">
      <c r="A61" s="1" t="s">
        <v>140</v>
      </c>
    </row>
    <row r="62" spans="1:3" ht="12" customHeight="1" x14ac:dyDescent="0.15">
      <c r="A62" t="s">
        <v>164</v>
      </c>
      <c r="B62" s="8" t="e">
        <f>Lev2ICacheSet * Lev2ICacheBytePerLn * Lev2ICacheAss * 8</f>
        <v>#VALUE!</v>
      </c>
      <c r="C62" t="s">
        <v>405</v>
      </c>
    </row>
    <row r="63" spans="1:3" x14ac:dyDescent="0.15">
      <c r="A63" t="s">
        <v>395</v>
      </c>
      <c r="B63" s="8" t="e">
        <f>(AddInBit + BitPerLev2ICacheLru - (BitPerLev2ICacheIdx + BitPerLev2ICacheOff)) * Lev2ICacheSet * Lev2ICacheAss</f>
        <v>#NUM!</v>
      </c>
      <c r="C63" t="s">
        <v>406</v>
      </c>
    </row>
    <row r="64" spans="1:3" x14ac:dyDescent="0.15">
      <c r="A64" t="s">
        <v>394</v>
      </c>
      <c r="B64" s="8" t="e">
        <f>LOG(Lev2ICacheBytePerLn / 8,2)</f>
        <v>#NUM!</v>
      </c>
      <c r="C64" t="s">
        <v>407</v>
      </c>
    </row>
    <row r="65" spans="1:3" x14ac:dyDescent="0.15">
      <c r="A65" t="s">
        <v>393</v>
      </c>
      <c r="B65" s="8" t="e">
        <f>LOG(Lev2ICacheSet,2)</f>
        <v>#VALUE!</v>
      </c>
      <c r="C65" t="s">
        <v>408</v>
      </c>
    </row>
    <row r="66" spans="1:3" x14ac:dyDescent="0.15">
      <c r="A66" t="s">
        <v>392</v>
      </c>
      <c r="B66" s="8" t="e">
        <f>ROUNDUP(LOG(Lev2ICacheAss,2),0)</f>
        <v>#NUM!</v>
      </c>
      <c r="C66" t="s">
        <v>404</v>
      </c>
    </row>
    <row r="67" spans="1:3" x14ac:dyDescent="0.15">
      <c r="A67" s="1" t="s">
        <v>143</v>
      </c>
      <c r="B67" s="9" t="e">
        <f>Lev2ICacheDataBit + Lev2ICacheTagBit</f>
        <v>#VALUE!</v>
      </c>
      <c r="C67" t="s">
        <v>409</v>
      </c>
    </row>
    <row r="69" spans="1:3" x14ac:dyDescent="0.15">
      <c r="A69" s="1" t="s">
        <v>167</v>
      </c>
    </row>
    <row r="70" spans="1:3" x14ac:dyDescent="0.15">
      <c r="A70" t="s">
        <v>174</v>
      </c>
      <c r="B70" s="8">
        <f>BitPerIntRegSet</f>
        <v>1024</v>
      </c>
      <c r="C70" t="s">
        <v>357</v>
      </c>
    </row>
    <row r="71" spans="1:3" x14ac:dyDescent="0.15">
      <c r="A71" t="s">
        <v>356</v>
      </c>
      <c r="B71" s="8">
        <f>BitPerFpRegSet</f>
        <v>1024</v>
      </c>
      <c r="C71" t="s">
        <v>358</v>
      </c>
    </row>
    <row r="72" spans="1:3" x14ac:dyDescent="0.15">
      <c r="A72" t="s">
        <v>241</v>
      </c>
      <c r="B72" s="8">
        <f>BitPerLsq</f>
        <v>2336</v>
      </c>
      <c r="C72" t="s">
        <v>359</v>
      </c>
    </row>
    <row r="73" spans="1:3" x14ac:dyDescent="0.15">
      <c r="A73" t="s">
        <v>240</v>
      </c>
      <c r="B73" s="8">
        <f>BitPerRuu</f>
        <v>9856</v>
      </c>
      <c r="C73" t="s">
        <v>360</v>
      </c>
    </row>
    <row r="74" spans="1:3" x14ac:dyDescent="0.15">
      <c r="A74" t="s">
        <v>168</v>
      </c>
      <c r="B74" s="8">
        <f xml:space="preserve"> BitPerDTlb</f>
        <v>4480</v>
      </c>
      <c r="C74" t="s">
        <v>354</v>
      </c>
    </row>
    <row r="75" spans="1:3" x14ac:dyDescent="0.15">
      <c r="A75" t="s">
        <v>85</v>
      </c>
      <c r="B75" s="8">
        <f>BitPerITlb</f>
        <v>2304</v>
      </c>
      <c r="C75" t="s">
        <v>355</v>
      </c>
    </row>
    <row r="76" spans="1:3" x14ac:dyDescent="0.15">
      <c r="A76" t="s">
        <v>170</v>
      </c>
      <c r="B76" s="8">
        <f xml:space="preserve"> BitPerLev1DCache</f>
        <v>2269184</v>
      </c>
      <c r="C76" t="s">
        <v>599</v>
      </c>
    </row>
    <row r="77" spans="1:3" x14ac:dyDescent="0.15">
      <c r="A77" t="s">
        <v>131</v>
      </c>
      <c r="B77" s="8">
        <f>BitPerLev1ICache</f>
        <v>274432</v>
      </c>
      <c r="C77" t="s">
        <v>600</v>
      </c>
    </row>
    <row r="78" spans="1:3" x14ac:dyDescent="0.15">
      <c r="A78" t="s">
        <v>141</v>
      </c>
      <c r="B78" s="8">
        <f>BitPerLev2DCache</f>
        <v>17367040</v>
      </c>
      <c r="C78" t="s">
        <v>601</v>
      </c>
    </row>
    <row r="79" spans="1:3" x14ac:dyDescent="0.15">
      <c r="A79" s="4" t="s">
        <v>140</v>
      </c>
      <c r="B79" s="10" t="e">
        <f xml:space="preserve"> BitPerLev2ICache</f>
        <v>#VALUE!</v>
      </c>
      <c r="C79" t="s">
        <v>602</v>
      </c>
    </row>
  </sheetData>
  <phoneticPr fontId="0" type="noConversion"/>
  <pageMargins left="0.75" right="0.75" top="1" bottom="1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C69"/>
  <sheetViews>
    <sheetView topLeftCell="A24" workbookViewId="0">
      <selection activeCell="B46" sqref="B42:B46"/>
    </sheetView>
  </sheetViews>
  <sheetFormatPr baseColWidth="10" defaultColWidth="9.1640625" defaultRowHeight="13" x14ac:dyDescent="0.15"/>
  <cols>
    <col min="1" max="1" width="29.6640625" bestFit="1" customWidth="1"/>
    <col min="2" max="2" width="26" style="21" customWidth="1"/>
    <col min="3" max="3" width="108" style="4" bestFit="1" customWidth="1"/>
    <col min="4" max="254" width="11.5" customWidth="1"/>
  </cols>
  <sheetData>
    <row r="1" spans="1:3" s="1" customFormat="1" ht="14" thickBot="1" x14ac:dyDescent="0.2">
      <c r="A1" s="3" t="s">
        <v>102</v>
      </c>
      <c r="B1" s="24" t="s">
        <v>270</v>
      </c>
      <c r="C1" s="3" t="s">
        <v>103</v>
      </c>
    </row>
    <row r="3" spans="1:3" x14ac:dyDescent="0.15">
      <c r="A3" s="1" t="s">
        <v>150</v>
      </c>
    </row>
    <row r="4" spans="1:3" s="4" customFormat="1" x14ac:dyDescent="0.15">
      <c r="A4" t="s">
        <v>661</v>
      </c>
      <c r="B4" s="22">
        <f>BitPerBtb * (TransPerSRBit + TransPerWrtPort * BtbWrtPort + TransPerReadPort * BtbReadPort)</f>
        <v>40960</v>
      </c>
      <c r="C4" t="s">
        <v>612</v>
      </c>
    </row>
    <row r="6" spans="1:3" s="4" customFormat="1" x14ac:dyDescent="0.15">
      <c r="A6" s="1" t="s">
        <v>87</v>
      </c>
      <c r="B6" s="22"/>
    </row>
    <row r="7" spans="1:3" s="4" customFormat="1" x14ac:dyDescent="0.15">
      <c r="A7" t="s">
        <v>175</v>
      </c>
      <c r="B7" s="22">
        <f>BitPerFpRegSet * (TransPerSRBit + TransPerWrtPort * FpRegWrtPort + TransPerReadPort*FpRegReadPort)</f>
        <v>14336</v>
      </c>
      <c r="C7" s="4" t="s">
        <v>410</v>
      </c>
    </row>
    <row r="8" spans="1:3" s="4" customFormat="1" x14ac:dyDescent="0.15">
      <c r="A8" t="s">
        <v>174</v>
      </c>
      <c r="B8" s="22">
        <f xml:space="preserve"> BitPerIntRegSet * (TransPerSRBit + TransPerWrtPort * IntRegWrtPort + TransPerReadPort * IntRegReadPort)</f>
        <v>16384</v>
      </c>
      <c r="C8" s="4" t="s">
        <v>606</v>
      </c>
    </row>
    <row r="9" spans="1:3" s="1" customFormat="1" x14ac:dyDescent="0.15">
      <c r="A9" s="1" t="s">
        <v>209</v>
      </c>
      <c r="B9" s="23">
        <f>TransPerFpRegSet + TransPerIntRegSet</f>
        <v>30720</v>
      </c>
      <c r="C9" s="1" t="s">
        <v>607</v>
      </c>
    </row>
    <row r="10" spans="1:3" s="1" customFormat="1" x14ac:dyDescent="0.15">
      <c r="B10" s="23"/>
    </row>
    <row r="11" spans="1:3" x14ac:dyDescent="0.15">
      <c r="A11" s="1" t="s">
        <v>241</v>
      </c>
      <c r="B11" s="21">
        <f>BitPerLsq * (TransPerSRBit + TransPerWrtPort * LsqWrtPort + TransPerReadPort * LsqReadPort)</f>
        <v>51392</v>
      </c>
      <c r="C11" s="4" t="s">
        <v>412</v>
      </c>
    </row>
    <row r="12" spans="1:3" x14ac:dyDescent="0.15">
      <c r="A12" s="1" t="s">
        <v>240</v>
      </c>
      <c r="B12" s="21">
        <f>BitPerRuu * (TransPerSRBit + TransPerWrtPort * RuuWrtPort + TransPerReadPort * RuuReadPort)</f>
        <v>236544</v>
      </c>
      <c r="C12" s="4" t="s">
        <v>413</v>
      </c>
    </row>
    <row r="14" spans="1:3" s="1" customFormat="1" x14ac:dyDescent="0.15">
      <c r="A14" s="1" t="s">
        <v>414</v>
      </c>
      <c r="B14" s="23"/>
    </row>
    <row r="15" spans="1:3" s="4" customFormat="1" x14ac:dyDescent="0.15">
      <c r="A15" s="4" t="s">
        <v>85</v>
      </c>
      <c r="B15" s="22">
        <f>BitPerITlb * (TransPerSRBit + TransPerWrtPort * ITlbWrtPort + TransPerReadPort * ITlbReadPort)</f>
        <v>16128</v>
      </c>
      <c r="C15" s="4" t="s">
        <v>416</v>
      </c>
    </row>
    <row r="16" spans="1:3" s="4" customFormat="1" x14ac:dyDescent="0.15">
      <c r="A16" s="4" t="s">
        <v>86</v>
      </c>
      <c r="B16" s="22">
        <f>BitPerDTlb * (TransPerSRBit + TransPerWrtPort * DTlbWrtPort + TransPerReadPort * DTlbReadPort)</f>
        <v>44800</v>
      </c>
      <c r="C16" s="4" t="s">
        <v>415</v>
      </c>
    </row>
    <row r="17" spans="1:3" s="1" customFormat="1" x14ac:dyDescent="0.15">
      <c r="A17" s="1" t="s">
        <v>417</v>
      </c>
      <c r="B17" s="23">
        <f>TransITlb + TransDTlb</f>
        <v>60928</v>
      </c>
      <c r="C17" s="1" t="s">
        <v>418</v>
      </c>
    </row>
    <row r="18" spans="1:3" s="4" customFormat="1" x14ac:dyDescent="0.15">
      <c r="B18" s="22"/>
    </row>
    <row r="19" spans="1:3" s="1" customFormat="1" x14ac:dyDescent="0.15">
      <c r="A19" s="1" t="s">
        <v>84</v>
      </c>
      <c r="B19" s="23"/>
    </row>
    <row r="20" spans="1:3" s="4" customFormat="1" x14ac:dyDescent="0.15">
      <c r="A20" s="4" t="s">
        <v>420</v>
      </c>
      <c r="B20" s="22">
        <f>Lev1ICacheDataBit * (TransPerSRBit + TransPerWrtPort * Lev1ICacheWrtPort + TransPerReadPort * Lev1ICacheReadPort)</f>
        <v>1835008</v>
      </c>
      <c r="C20" s="4" t="s">
        <v>431</v>
      </c>
    </row>
    <row r="21" spans="1:3" s="4" customFormat="1" x14ac:dyDescent="0.15">
      <c r="A21" s="4" t="s">
        <v>419</v>
      </c>
      <c r="B21" s="22">
        <f>Lev1ICacheTagBit * (TransPerSRBit + TransPerWrtPort * Lev1ICacheWrtPort + TransPerReadPort * Lev1ICacheReadPort)</f>
        <v>86016</v>
      </c>
      <c r="C21" s="4" t="s">
        <v>432</v>
      </c>
    </row>
    <row r="22" spans="1:3" s="1" customFormat="1" x14ac:dyDescent="0.15">
      <c r="A22" s="1" t="s">
        <v>423</v>
      </c>
      <c r="B22" s="23">
        <f>TransLev1ICacheData + TransLev1ICacheTag</f>
        <v>1921024</v>
      </c>
      <c r="C22" s="1" t="s">
        <v>433</v>
      </c>
    </row>
    <row r="23" spans="1:3" s="4" customFormat="1" x14ac:dyDescent="0.15">
      <c r="A23" s="4" t="s">
        <v>421</v>
      </c>
      <c r="B23" s="22">
        <f>Lev1DCacheDataBit * (TransPerSRBit + TransPerWrtPort * Lev1DCacheWrtPort + TransPerReadPort * Lev1DCacheReadPort)</f>
        <v>20971520</v>
      </c>
      <c r="C23" s="4" t="s">
        <v>434</v>
      </c>
    </row>
    <row r="24" spans="1:3" s="4" customFormat="1" x14ac:dyDescent="0.15">
      <c r="A24" s="4" t="s">
        <v>422</v>
      </c>
      <c r="B24" s="22">
        <f>Lev1DCacheTagBit * (TransPerSRBit + TransPerWrtPort *  Lev1DCacheWrtPort + TransPerReadPort * Lev1DCacheReadPort)</f>
        <v>1720320</v>
      </c>
      <c r="C24" s="4" t="s">
        <v>435</v>
      </c>
    </row>
    <row r="25" spans="1:3" s="1" customFormat="1" x14ac:dyDescent="0.15">
      <c r="A25" s="1" t="s">
        <v>424</v>
      </c>
      <c r="B25" s="23">
        <f>TransLev1DCacheData + TransLev1DCacheTag</f>
        <v>22691840</v>
      </c>
      <c r="C25" s="1" t="s">
        <v>436</v>
      </c>
    </row>
    <row r="26" spans="1:3" s="4" customFormat="1" x14ac:dyDescent="0.15">
      <c r="A26" s="4" t="s">
        <v>425</v>
      </c>
      <c r="B26" s="22" t="e">
        <f>Lev2ICacheDataBit * (TransPerSRBit + TransPerWrtPort * Lev2ICacheWrtPort + TransPerReadPort * Lev2ICacheReadPort)</f>
        <v>#VALUE!</v>
      </c>
      <c r="C26" s="4" t="s">
        <v>437</v>
      </c>
    </row>
    <row r="27" spans="1:3" s="4" customFormat="1" x14ac:dyDescent="0.15">
      <c r="A27" s="4" t="s">
        <v>426</v>
      </c>
      <c r="B27" s="22" t="e">
        <f>Lev2ICacheTagBit * (TransPerSRBit + TransPerWrtPort * Lev2ICacheWrtPort + TransPerReadPort * Lev2ICacheReadPort)</f>
        <v>#NUM!</v>
      </c>
      <c r="C27" s="4" t="s">
        <v>438</v>
      </c>
    </row>
    <row r="28" spans="1:3" s="1" customFormat="1" x14ac:dyDescent="0.15">
      <c r="A28" s="1" t="s">
        <v>427</v>
      </c>
      <c r="B28" s="23" t="e">
        <f>TransLev2ICacheData + TransLev2ICacheTag</f>
        <v>#VALUE!</v>
      </c>
      <c r="C28" s="1" t="s">
        <v>439</v>
      </c>
    </row>
    <row r="29" spans="1:3" s="4" customFormat="1" x14ac:dyDescent="0.15">
      <c r="A29" s="4" t="s">
        <v>428</v>
      </c>
      <c r="B29" s="22">
        <f>Lev2DCacheDataBit * (TransPerSRBit + TransPerWrtPort * Lev2DCacheWrtPort + TransPerReadPort * Lev2DCacheReadPort)</f>
        <v>167772160</v>
      </c>
      <c r="C29" s="4" t="s">
        <v>440</v>
      </c>
    </row>
    <row r="30" spans="1:3" s="4" customFormat="1" x14ac:dyDescent="0.15">
      <c r="A30" s="4" t="s">
        <v>429</v>
      </c>
      <c r="B30" s="22">
        <f>Lev2DCacheTagBit * (TransPerSRBit + TransPerWrtPort * Lev2DCacheWrtPort + TransPerReadPort * Lev2DCacheReadPort)</f>
        <v>5898240</v>
      </c>
      <c r="C30" s="4" t="s">
        <v>441</v>
      </c>
    </row>
    <row r="31" spans="1:3" s="1" customFormat="1" x14ac:dyDescent="0.15">
      <c r="A31" s="1" t="s">
        <v>430</v>
      </c>
      <c r="B31" s="23">
        <f>TransLev2DCacheData + TransLev2DCacheTag</f>
        <v>173670400</v>
      </c>
      <c r="C31" s="1" t="s">
        <v>442</v>
      </c>
    </row>
    <row r="33" spans="1:3" s="4" customFormat="1" x14ac:dyDescent="0.15">
      <c r="A33"/>
      <c r="B33" s="22"/>
    </row>
    <row r="34" spans="1:3" x14ac:dyDescent="0.15">
      <c r="A34" t="s">
        <v>475</v>
      </c>
      <c r="B34" s="21">
        <f xml:space="preserve"> FWid * TransPerBasicFU</f>
        <v>39786.824999999997</v>
      </c>
      <c r="C34" s="4" t="s">
        <v>467</v>
      </c>
    </row>
    <row r="35" spans="1:3" x14ac:dyDescent="0.15">
      <c r="A35" t="s">
        <v>476</v>
      </c>
      <c r="B35" s="21">
        <f>DecWid *TransPerBasicDecU</f>
        <v>36726.299999999996</v>
      </c>
      <c r="C35" s="4" t="s">
        <v>468</v>
      </c>
    </row>
    <row r="36" spans="1:3" x14ac:dyDescent="0.15">
      <c r="A36" t="s">
        <v>454</v>
      </c>
      <c r="B36" s="21">
        <f>IssWid * TransPerBasicIssU</f>
        <v>48968.399999999994</v>
      </c>
      <c r="C36" s="4" t="s">
        <v>477</v>
      </c>
    </row>
    <row r="37" spans="1:3" x14ac:dyDescent="0.15">
      <c r="A37" s="4" t="s">
        <v>478</v>
      </c>
      <c r="B37" s="21">
        <f>(NuIntAlu + NuIntMul + NuFpAlu + NuFpMul + NuMemPort) * TransPerBasicWbU</f>
        <v>73452.599999999991</v>
      </c>
      <c r="C37" s="4" t="s">
        <v>490</v>
      </c>
    </row>
    <row r="38" spans="1:3" x14ac:dyDescent="0.15">
      <c r="A38" s="4" t="s">
        <v>479</v>
      </c>
      <c r="B38" s="21">
        <f>TransPerBasicCmtU * FWid</f>
        <v>26932.62</v>
      </c>
      <c r="C38" s="4" t="s">
        <v>570</v>
      </c>
    </row>
    <row r="40" spans="1:3" x14ac:dyDescent="0.15">
      <c r="A40" s="1" t="s">
        <v>590</v>
      </c>
    </row>
    <row r="41" spans="1:3" x14ac:dyDescent="0.15">
      <c r="A41" t="s">
        <v>481</v>
      </c>
      <c r="B41" s="21">
        <f>NuIntAlu * TransPerBasicIntU</f>
        <v>46512.940792499998</v>
      </c>
      <c r="C41" s="4" t="s">
        <v>480</v>
      </c>
    </row>
    <row r="42" spans="1:3" x14ac:dyDescent="0.15">
      <c r="A42" t="s">
        <v>482</v>
      </c>
      <c r="B42" s="21">
        <f>NuIntMul * TransPerBasicCpxIntU</f>
        <v>93025.881584999996</v>
      </c>
      <c r="C42" s="4" t="s">
        <v>485</v>
      </c>
    </row>
    <row r="43" spans="1:3" x14ac:dyDescent="0.15">
      <c r="A43" t="s">
        <v>483</v>
      </c>
      <c r="B43" s="21">
        <f>NuFpAlu * TransPerBasicFpU</f>
        <v>61210.499999999993</v>
      </c>
      <c r="C43" s="4" t="s">
        <v>608</v>
      </c>
    </row>
    <row r="44" spans="1:3" x14ac:dyDescent="0.15">
      <c r="A44" t="s">
        <v>484</v>
      </c>
      <c r="B44" s="21">
        <f>NuFpMul * TransPerBasicCpxFpU</f>
        <v>107118.37499999999</v>
      </c>
      <c r="C44" s="4" t="s">
        <v>609</v>
      </c>
    </row>
    <row r="45" spans="1:3" x14ac:dyDescent="0.15">
      <c r="A45" t="s">
        <v>644</v>
      </c>
      <c r="B45" s="21">
        <f>TransPerBasicLSU * NuMemPort</f>
        <v>183631.49999999997</v>
      </c>
      <c r="C45" s="4" t="s">
        <v>489</v>
      </c>
    </row>
    <row r="46" spans="1:3" s="1" customFormat="1" x14ac:dyDescent="0.15">
      <c r="A46" s="1" t="s">
        <v>208</v>
      </c>
      <c r="B46" s="23">
        <f>TransIntU + TransCpxIntU + TransFpU + TransCpxFpU + TransLSU</f>
        <v>491499.19737750001</v>
      </c>
      <c r="C46" s="1" t="s">
        <v>610</v>
      </c>
    </row>
    <row r="47" spans="1:3" s="1" customFormat="1" x14ac:dyDescent="0.15">
      <c r="B47" s="23"/>
    </row>
    <row r="48" spans="1:3" s="1" customFormat="1" x14ac:dyDescent="0.15">
      <c r="B48" s="23"/>
    </row>
    <row r="49" spans="1:3" x14ac:dyDescent="0.15">
      <c r="A49" s="1" t="s">
        <v>650</v>
      </c>
      <c r="B49" s="14"/>
      <c r="C49"/>
    </row>
    <row r="50" spans="1:3" x14ac:dyDescent="0.15">
      <c r="A50" s="1" t="s">
        <v>663</v>
      </c>
      <c r="B50" s="14">
        <f>(TransPerSRBit + TransPerWrtPort * BtbWrtPort + TransPerReadPort * BtbReadPort)*(bpred_2lev_l2size*2 + bpred_2lev_ll1size*bpred_2lev_hist_size)</f>
        <v>327780</v>
      </c>
      <c r="C50" t="s">
        <v>665</v>
      </c>
    </row>
    <row r="51" spans="1:3" x14ac:dyDescent="0.15">
      <c r="B51" s="14"/>
      <c r="C51"/>
    </row>
    <row r="52" spans="1:3" x14ac:dyDescent="0.15">
      <c r="A52" s="1" t="s">
        <v>656</v>
      </c>
      <c r="B52" s="14"/>
      <c r="C52"/>
    </row>
    <row r="53" spans="1:3" x14ac:dyDescent="0.15">
      <c r="A53" t="s">
        <v>151</v>
      </c>
      <c r="B53" s="23">
        <f>BTBentries*43*(TransPerSRBit + TransPerWrtPort * BtbWrtPort + TransPerReadPort * BtbReadPort)</f>
        <v>110080</v>
      </c>
      <c r="C53" t="s">
        <v>664</v>
      </c>
    </row>
    <row r="54" spans="1:3" x14ac:dyDescent="0.15">
      <c r="A54" s="1"/>
      <c r="B54" s="23"/>
      <c r="C54" s="1"/>
    </row>
    <row r="55" spans="1:3" x14ac:dyDescent="0.15">
      <c r="A55" s="1"/>
      <c r="B55" s="23"/>
      <c r="C55" s="1"/>
    </row>
    <row r="56" spans="1:3" x14ac:dyDescent="0.15">
      <c r="A56" s="1"/>
      <c r="B56" s="23"/>
      <c r="C56" s="1"/>
    </row>
    <row r="58" spans="1:3" x14ac:dyDescent="0.15">
      <c r="A58" s="1" t="s">
        <v>167</v>
      </c>
      <c r="B58" s="22"/>
    </row>
    <row r="59" spans="1:3" s="1" customFormat="1" x14ac:dyDescent="0.15">
      <c r="A59" s="4" t="s">
        <v>87</v>
      </c>
      <c r="B59" s="22">
        <f>TransReg</f>
        <v>30720</v>
      </c>
      <c r="C59" s="4" t="s">
        <v>443</v>
      </c>
    </row>
    <row r="60" spans="1:3" s="1" customFormat="1" x14ac:dyDescent="0.15">
      <c r="A60" t="s">
        <v>241</v>
      </c>
      <c r="B60" s="21">
        <f>TransLsq</f>
        <v>51392</v>
      </c>
      <c r="C60" s="4" t="s">
        <v>444</v>
      </c>
    </row>
    <row r="61" spans="1:3" s="1" customFormat="1" x14ac:dyDescent="0.15">
      <c r="A61" t="s">
        <v>240</v>
      </c>
      <c r="B61" s="21">
        <f xml:space="preserve"> TransRuu</f>
        <v>236544</v>
      </c>
      <c r="C61" s="4" t="s">
        <v>445</v>
      </c>
    </row>
    <row r="62" spans="1:3" s="1" customFormat="1" x14ac:dyDescent="0.15">
      <c r="A62" t="s">
        <v>85</v>
      </c>
      <c r="B62" s="21">
        <f>TransITlb</f>
        <v>16128</v>
      </c>
      <c r="C62" s="4" t="s">
        <v>446</v>
      </c>
    </row>
    <row r="63" spans="1:3" x14ac:dyDescent="0.15">
      <c r="A63" t="s">
        <v>86</v>
      </c>
      <c r="B63" s="21">
        <f>TransDTlb</f>
        <v>44800</v>
      </c>
      <c r="C63" s="4" t="s">
        <v>447</v>
      </c>
    </row>
    <row r="64" spans="1:3" s="4" customFormat="1" x14ac:dyDescent="0.15">
      <c r="A64" t="s">
        <v>131</v>
      </c>
      <c r="B64" s="21">
        <f>TransLev1ICache</f>
        <v>1921024</v>
      </c>
      <c r="C64" s="4" t="s">
        <v>448</v>
      </c>
    </row>
    <row r="65" spans="1:3" s="4" customFormat="1" x14ac:dyDescent="0.15">
      <c r="A65" t="s">
        <v>132</v>
      </c>
      <c r="B65" s="21">
        <f>TransLev1DCache</f>
        <v>22691840</v>
      </c>
      <c r="C65" s="4" t="s">
        <v>449</v>
      </c>
    </row>
    <row r="66" spans="1:3" x14ac:dyDescent="0.15">
      <c r="A66" t="s">
        <v>140</v>
      </c>
      <c r="B66" s="21" t="e">
        <f xml:space="preserve"> TransLev2ICache</f>
        <v>#VALUE!</v>
      </c>
      <c r="C66" s="4" t="s">
        <v>450</v>
      </c>
    </row>
    <row r="67" spans="1:3" x14ac:dyDescent="0.15">
      <c r="A67" t="s">
        <v>141</v>
      </c>
      <c r="B67" s="21">
        <f>TransLev2DCache</f>
        <v>173670400</v>
      </c>
      <c r="C67" s="4" t="s">
        <v>451</v>
      </c>
    </row>
    <row r="69" spans="1:3" x14ac:dyDescent="0.15">
      <c r="A69" t="s">
        <v>647</v>
      </c>
      <c r="B69" s="21">
        <f>SUM(B4,B9,B11,B12,B17,B22,B25,B31,B34,B35,B36,B37,B38,B46,B50,B53)</f>
        <v>199859033.94237751</v>
      </c>
    </row>
  </sheetData>
  <phoneticPr fontId="0" type="noConversion"/>
  <pageMargins left="0.75" right="0.75" top="1" bottom="1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C121"/>
  <sheetViews>
    <sheetView topLeftCell="A27" workbookViewId="0">
      <selection activeCell="C37" sqref="C37"/>
    </sheetView>
  </sheetViews>
  <sheetFormatPr baseColWidth="10" defaultColWidth="11.5" defaultRowHeight="13" x14ac:dyDescent="0.15"/>
  <cols>
    <col min="1" max="1" width="28.5" bestFit="1" customWidth="1"/>
    <col min="2" max="2" width="34.5" style="14" customWidth="1"/>
    <col min="3" max="3" width="122.1640625" customWidth="1"/>
  </cols>
  <sheetData>
    <row r="1" spans="1:3" s="1" customFormat="1" x14ac:dyDescent="0.15">
      <c r="A1" s="1" t="s">
        <v>102</v>
      </c>
      <c r="B1" s="13" t="s">
        <v>271</v>
      </c>
      <c r="C1" s="1" t="s">
        <v>103</v>
      </c>
    </row>
    <row r="4" spans="1:3" x14ac:dyDescent="0.15">
      <c r="A4" s="1" t="s">
        <v>655</v>
      </c>
    </row>
    <row r="5" spans="1:3" x14ac:dyDescent="0.15">
      <c r="A5" t="s">
        <v>613</v>
      </c>
      <c r="B5" s="14">
        <f>SRCellBasicHghtInLam + (BtbReadPort + BtbWrtPort) *WtWidInLam</f>
        <v>56</v>
      </c>
      <c r="C5" t="s">
        <v>616</v>
      </c>
    </row>
    <row r="6" spans="1:3" x14ac:dyDescent="0.15">
      <c r="A6" t="s">
        <v>614</v>
      </c>
      <c r="B6" s="14">
        <f xml:space="preserve"> SRCellBasicWidInLam + (BtbReadPort + 2 * BtbWrtPort) * WtWidInLam</f>
        <v>80</v>
      </c>
      <c r="C6" t="s">
        <v>618</v>
      </c>
    </row>
    <row r="7" spans="1:3" x14ac:dyDescent="0.15">
      <c r="A7" t="s">
        <v>615</v>
      </c>
      <c r="B7" s="14">
        <f xml:space="preserve"> BitPerBtb * BtbCellHght * BtbCellWid</f>
        <v>18350080</v>
      </c>
      <c r="C7" t="s">
        <v>619</v>
      </c>
    </row>
    <row r="9" spans="1:3" x14ac:dyDescent="0.15">
      <c r="A9" s="1" t="s">
        <v>183</v>
      </c>
    </row>
    <row r="10" spans="1:3" x14ac:dyDescent="0.15">
      <c r="A10" t="s">
        <v>492</v>
      </c>
      <c r="B10" s="14">
        <f>SRCellBasicHghtInLam + (IntRegReadPort + IntRegWrtPort) * WtWidInLam</f>
        <v>104</v>
      </c>
      <c r="C10" t="s">
        <v>617</v>
      </c>
    </row>
    <row r="11" spans="1:3" x14ac:dyDescent="0.15">
      <c r="A11" t="s">
        <v>493</v>
      </c>
      <c r="B11" s="14">
        <f>SRCellBasicWidInLam + (IntRegReadPort + 2 * IntRegWrtPort) * WtWidInLam</f>
        <v>128</v>
      </c>
      <c r="C11" t="s">
        <v>508</v>
      </c>
    </row>
    <row r="12" spans="1:3" x14ac:dyDescent="0.15">
      <c r="A12" t="s">
        <v>494</v>
      </c>
      <c r="B12" s="14">
        <f xml:space="preserve"> BitPerIntRegSet * IntRegCellHght * IntRegCellWid</f>
        <v>13631488</v>
      </c>
      <c r="C12" t="s">
        <v>509</v>
      </c>
    </row>
    <row r="13" spans="1:3" x14ac:dyDescent="0.15">
      <c r="A13" t="s">
        <v>495</v>
      </c>
      <c r="B13" s="14">
        <f xml:space="preserve"> SRCellBasicHghtInLam + (FpRegReadPort + FpRegWrtPort) * WtWidInLam</f>
        <v>88</v>
      </c>
      <c r="C13" t="s">
        <v>498</v>
      </c>
    </row>
    <row r="14" spans="1:3" x14ac:dyDescent="0.15">
      <c r="A14" t="s">
        <v>496</v>
      </c>
      <c r="B14" s="14">
        <f>SRCellBasicWidInLam + (FpRegReadPort + 2 * FpRegWrtPort) *WtWidInLam</f>
        <v>112</v>
      </c>
      <c r="C14" t="s">
        <v>499</v>
      </c>
    </row>
    <row r="15" spans="1:3" x14ac:dyDescent="0.15">
      <c r="A15" t="s">
        <v>497</v>
      </c>
      <c r="B15" s="14">
        <f>BitPerFpRegSet * FpRegCellWid * FpRegCellHght</f>
        <v>10092544</v>
      </c>
      <c r="C15" t="s">
        <v>500</v>
      </c>
    </row>
    <row r="16" spans="1:3" s="1" customFormat="1" x14ac:dyDescent="0.15">
      <c r="A16" s="1" t="s">
        <v>491</v>
      </c>
      <c r="B16" s="13">
        <f>IntRegArea + FpRegArea</f>
        <v>23724032</v>
      </c>
      <c r="C16" s="4" t="s">
        <v>501</v>
      </c>
    </row>
    <row r="17" spans="1:3" s="1" customFormat="1" x14ac:dyDescent="0.15">
      <c r="B17" s="13"/>
      <c r="C17" s="4"/>
    </row>
    <row r="18" spans="1:3" s="1" customFormat="1" x14ac:dyDescent="0.15">
      <c r="A18" s="1" t="s">
        <v>241</v>
      </c>
      <c r="B18" s="13"/>
      <c r="C18" s="4"/>
    </row>
    <row r="19" spans="1:3" s="1" customFormat="1" x14ac:dyDescent="0.15">
      <c r="A19" s="4" t="s">
        <v>502</v>
      </c>
      <c r="B19" s="16">
        <f xml:space="preserve"> SRCellBasicHghtInLam + (LsqReadPort + LsqWrtPort) * WtWidInLam</f>
        <v>120</v>
      </c>
      <c r="C19" s="4" t="s">
        <v>505</v>
      </c>
    </row>
    <row r="20" spans="1:3" s="1" customFormat="1" x14ac:dyDescent="0.15">
      <c r="A20" s="4" t="s">
        <v>503</v>
      </c>
      <c r="B20" s="16">
        <f>SRCellBasicWidInLam + (LsqReadPort + 2 * LsqWrtPort) * WtWidInLam</f>
        <v>176</v>
      </c>
      <c r="C20" s="4" t="s">
        <v>506</v>
      </c>
    </row>
    <row r="21" spans="1:3" x14ac:dyDescent="0.15">
      <c r="A21" s="4" t="s">
        <v>504</v>
      </c>
      <c r="B21" s="14">
        <f xml:space="preserve"> BitPerLsq * LsqCellWid * LSQCellHght</f>
        <v>49336320</v>
      </c>
      <c r="C21" t="s">
        <v>507</v>
      </c>
    </row>
    <row r="22" spans="1:3" x14ac:dyDescent="0.15">
      <c r="A22" s="1"/>
    </row>
    <row r="23" spans="1:3" x14ac:dyDescent="0.15">
      <c r="A23" s="1" t="s">
        <v>240</v>
      </c>
    </row>
    <row r="24" spans="1:3" x14ac:dyDescent="0.15">
      <c r="A24" s="4" t="s">
        <v>511</v>
      </c>
      <c r="B24" s="16">
        <f>SRCellBasicHghtInLam + (RuuReadPort + RuuWrtPort) * WtWidInLam</f>
        <v>136</v>
      </c>
      <c r="C24" s="4" t="s">
        <v>514</v>
      </c>
    </row>
    <row r="25" spans="1:3" x14ac:dyDescent="0.15">
      <c r="A25" s="4" t="s">
        <v>512</v>
      </c>
      <c r="B25" s="16">
        <f>SRCellBasicWidInLam + (RuuReadPort + 2 * RuuWrtPort) * WtWidInLam</f>
        <v>192</v>
      </c>
      <c r="C25" s="4" t="s">
        <v>515</v>
      </c>
    </row>
    <row r="26" spans="1:3" x14ac:dyDescent="0.15">
      <c r="A26" s="4" t="s">
        <v>513</v>
      </c>
      <c r="B26" s="16">
        <f xml:space="preserve"> BitPerRuu * RuuCellHght * RuuCellWid</f>
        <v>257359872</v>
      </c>
      <c r="C26" s="4" t="s">
        <v>516</v>
      </c>
    </row>
    <row r="27" spans="1:3" x14ac:dyDescent="0.15">
      <c r="A27" s="4"/>
      <c r="B27" s="16"/>
      <c r="C27" s="4"/>
    </row>
    <row r="28" spans="1:3" x14ac:dyDescent="0.15">
      <c r="A28" s="1" t="s">
        <v>414</v>
      </c>
      <c r="B28" s="16"/>
      <c r="C28" s="4"/>
    </row>
    <row r="29" spans="1:3" x14ac:dyDescent="0.15">
      <c r="A29" s="1" t="s">
        <v>181</v>
      </c>
      <c r="B29" s="16"/>
      <c r="C29" s="4"/>
    </row>
    <row r="30" spans="1:3" x14ac:dyDescent="0.15">
      <c r="A30" s="4" t="s">
        <v>517</v>
      </c>
      <c r="B30" s="16">
        <f>SRCellBasicHghtInLam + (ITlbReadPort + ITlbWrtPort) * WtWidInLam</f>
        <v>40</v>
      </c>
      <c r="C30" s="4" t="s">
        <v>523</v>
      </c>
    </row>
    <row r="31" spans="1:3" x14ac:dyDescent="0.15">
      <c r="A31" s="4" t="s">
        <v>518</v>
      </c>
      <c r="B31" s="16">
        <f>SRCellBasicWidInLam + (ITlbReadPort + 2 * ITlbWrtPort) * WtWidInLam</f>
        <v>56</v>
      </c>
      <c r="C31" s="4" t="s">
        <v>524</v>
      </c>
    </row>
    <row r="32" spans="1:3" x14ac:dyDescent="0.15">
      <c r="A32" s="4" t="s">
        <v>519</v>
      </c>
      <c r="B32" s="16">
        <f>BitPerITlb * ITlbCellWid * ITlbCellHght</f>
        <v>5160960</v>
      </c>
      <c r="C32" s="4" t="s">
        <v>525</v>
      </c>
    </row>
    <row r="33" spans="1:3" x14ac:dyDescent="0.15">
      <c r="A33" s="1" t="s">
        <v>182</v>
      </c>
      <c r="B33" s="16"/>
      <c r="C33" s="4"/>
    </row>
    <row r="34" spans="1:3" x14ac:dyDescent="0.15">
      <c r="A34" s="4" t="s">
        <v>520</v>
      </c>
      <c r="B34" s="16">
        <f>SRCellBasicHghtInLam + (DTlbReadPort + DTlbWrtPort) * WtWidInLam</f>
        <v>56</v>
      </c>
      <c r="C34" s="4" t="s">
        <v>526</v>
      </c>
    </row>
    <row r="35" spans="1:3" x14ac:dyDescent="0.15">
      <c r="A35" s="4" t="s">
        <v>521</v>
      </c>
      <c r="B35" s="16">
        <f>SRCellBasicWidInLam + (DTlbReadPort + 2 * DTlbWrtPort) * WtWidInLam</f>
        <v>80</v>
      </c>
      <c r="C35" s="4" t="s">
        <v>527</v>
      </c>
    </row>
    <row r="36" spans="1:3" x14ac:dyDescent="0.15">
      <c r="A36" s="4" t="s">
        <v>645</v>
      </c>
      <c r="B36" s="16">
        <f>BitPerDTlb * DTlbCellWid * DTlbCellHght</f>
        <v>20070400</v>
      </c>
      <c r="C36" s="4" t="s">
        <v>528</v>
      </c>
    </row>
    <row r="37" spans="1:3" s="1" customFormat="1" x14ac:dyDescent="0.15">
      <c r="A37" s="1" t="s">
        <v>522</v>
      </c>
      <c r="B37" s="13">
        <f xml:space="preserve"> ITlbArea + DTlbArea</f>
        <v>25231360</v>
      </c>
      <c r="C37" s="1" t="s">
        <v>529</v>
      </c>
    </row>
    <row r="38" spans="1:3" x14ac:dyDescent="0.15">
      <c r="A38" s="1"/>
    </row>
    <row r="39" spans="1:3" x14ac:dyDescent="0.15">
      <c r="A39" s="1" t="s">
        <v>84</v>
      </c>
    </row>
    <row r="40" spans="1:3" x14ac:dyDescent="0.15">
      <c r="A40" s="1"/>
    </row>
    <row r="41" spans="1:3" x14ac:dyDescent="0.15">
      <c r="A41" s="1" t="s">
        <v>131</v>
      </c>
    </row>
    <row r="42" spans="1:3" s="4" customFormat="1" x14ac:dyDescent="0.15">
      <c r="A42" s="4" t="s">
        <v>530</v>
      </c>
      <c r="B42" s="16">
        <f xml:space="preserve"> SRCellBasicHghtInLam + (Lev1ICacheReadPort + Lev1ICacheWrtPort) * WtWidInLam</f>
        <v>40</v>
      </c>
      <c r="C42" s="4" t="s">
        <v>550</v>
      </c>
    </row>
    <row r="43" spans="1:3" s="4" customFormat="1" x14ac:dyDescent="0.15">
      <c r="A43" s="4" t="s">
        <v>531</v>
      </c>
      <c r="B43" s="16">
        <f>SRCellBasicWidInLam + (Lev1ICacheReadPort + 2 * Lev1ICacheWrtPort) * WtWidInLam</f>
        <v>56</v>
      </c>
      <c r="C43" s="4" t="s">
        <v>551</v>
      </c>
    </row>
    <row r="44" spans="1:3" s="4" customFormat="1" x14ac:dyDescent="0.15">
      <c r="A44" s="4" t="s">
        <v>532</v>
      </c>
      <c r="B44" s="16">
        <f>Lev1ICacheDataBit * Lev1ICacheCellHght * Lev1ICacheCellWid</f>
        <v>587202560</v>
      </c>
      <c r="C44" s="4" t="s">
        <v>552</v>
      </c>
    </row>
    <row r="45" spans="1:3" s="4" customFormat="1" x14ac:dyDescent="0.15">
      <c r="A45" s="4" t="s">
        <v>533</v>
      </c>
      <c r="B45" s="16">
        <f xml:space="preserve"> Lev1ICacheTagBit * Lev1ICacheCellHght * Lev1ICacheCellWid</f>
        <v>27525120</v>
      </c>
      <c r="C45" s="4" t="s">
        <v>553</v>
      </c>
    </row>
    <row r="46" spans="1:3" s="1" customFormat="1" x14ac:dyDescent="0.15">
      <c r="A46" s="1" t="s">
        <v>534</v>
      </c>
      <c r="B46" s="13">
        <f xml:space="preserve"> Lev1ICacheDataArea + Lev1ICacheTagArea</f>
        <v>614727680</v>
      </c>
      <c r="C46" s="1" t="s">
        <v>554</v>
      </c>
    </row>
    <row r="48" spans="1:3" x14ac:dyDescent="0.15">
      <c r="A48" s="1" t="s">
        <v>132</v>
      </c>
    </row>
    <row r="49" spans="1:3" s="4" customFormat="1" x14ac:dyDescent="0.15">
      <c r="A49" s="4" t="s">
        <v>535</v>
      </c>
      <c r="B49" s="16">
        <f xml:space="preserve"> SRCellBasicHghtInLam + (Lev1DCacheReadPort + Lev1DCacheWrtPort) * WtWidInLam</f>
        <v>56</v>
      </c>
      <c r="C49" s="4" t="s">
        <v>555</v>
      </c>
    </row>
    <row r="50" spans="1:3" s="4" customFormat="1" x14ac:dyDescent="0.15">
      <c r="A50" s="4" t="s">
        <v>536</v>
      </c>
      <c r="B50" s="16">
        <f>SRCellBasicWidInLam + (Lev1DCacheReadPort + 2 * Lev1DCacheWrtPort) * WtWidInLam</f>
        <v>80</v>
      </c>
      <c r="C50" s="4" t="s">
        <v>556</v>
      </c>
    </row>
    <row r="51" spans="1:3" s="4" customFormat="1" x14ac:dyDescent="0.15">
      <c r="A51" s="4" t="s">
        <v>537</v>
      </c>
      <c r="B51" s="16">
        <f>Lev1DCacheDataBit * Lev1DCacheCellHght * Lev1DCacheCellWid</f>
        <v>9395240960</v>
      </c>
      <c r="C51" s="4" t="s">
        <v>557</v>
      </c>
    </row>
    <row r="52" spans="1:3" s="4" customFormat="1" x14ac:dyDescent="0.15">
      <c r="A52" s="4" t="s">
        <v>538</v>
      </c>
      <c r="B52" s="16">
        <f>Lev1DCacheTagBit * Lev1DCacheCellHght * Lev1DCacheCellWid</f>
        <v>770703360</v>
      </c>
      <c r="C52" s="4" t="s">
        <v>558</v>
      </c>
    </row>
    <row r="53" spans="1:3" s="1" customFormat="1" x14ac:dyDescent="0.15">
      <c r="A53" s="1" t="s">
        <v>539</v>
      </c>
      <c r="B53" s="13">
        <f xml:space="preserve"> Lev1DCacheDataArea + Lev1DCacheTagArea</f>
        <v>10165944320</v>
      </c>
      <c r="C53" s="1" t="s">
        <v>559</v>
      </c>
    </row>
    <row r="54" spans="1:3" x14ac:dyDescent="0.15">
      <c r="A54" s="1"/>
    </row>
    <row r="55" spans="1:3" x14ac:dyDescent="0.15">
      <c r="A55" s="1" t="s">
        <v>140</v>
      </c>
    </row>
    <row r="56" spans="1:3" s="4" customFormat="1" x14ac:dyDescent="0.15">
      <c r="A56" s="4" t="s">
        <v>540</v>
      </c>
      <c r="B56" s="16" t="e">
        <f>SRCellBasicHghtInLam + (Lev2ICacheReadPort + Lev2ICacheWrtPort) * WtWidInLam</f>
        <v>#DIV/0!</v>
      </c>
      <c r="C56" s="4" t="s">
        <v>560</v>
      </c>
    </row>
    <row r="57" spans="1:3" s="4" customFormat="1" x14ac:dyDescent="0.15">
      <c r="A57" s="4" t="s">
        <v>541</v>
      </c>
      <c r="B57" s="16" t="e">
        <f xml:space="preserve"> SRCellBasicWidInLam + (Lev2ICacheReadPort + 2 * Lev2ICacheWrtPort) * WtWidInLam</f>
        <v>#DIV/0!</v>
      </c>
      <c r="C57" s="4" t="s">
        <v>561</v>
      </c>
    </row>
    <row r="58" spans="1:3" s="4" customFormat="1" x14ac:dyDescent="0.15">
      <c r="A58" s="4" t="s">
        <v>542</v>
      </c>
      <c r="B58" s="16" t="e">
        <f xml:space="preserve"> Lev2ICacheDataBit * Lev2ICacheCellHght * Lev2ICacheCellWid</f>
        <v>#VALUE!</v>
      </c>
      <c r="C58" s="4" t="s">
        <v>562</v>
      </c>
    </row>
    <row r="59" spans="1:3" s="4" customFormat="1" x14ac:dyDescent="0.15">
      <c r="A59" s="4" t="s">
        <v>543</v>
      </c>
      <c r="B59" s="16" t="e">
        <f xml:space="preserve"> Lev2ICacheTagBit * Lev2ICacheCellHght * Lev2ICacheCellWid</f>
        <v>#NUM!</v>
      </c>
      <c r="C59" s="4" t="s">
        <v>563</v>
      </c>
    </row>
    <row r="60" spans="1:3" s="1" customFormat="1" x14ac:dyDescent="0.15">
      <c r="A60" s="1" t="s">
        <v>549</v>
      </c>
      <c r="B60" s="13" t="e">
        <f xml:space="preserve"> Lev2ICacheDataArea + Lev2ICacheTagArea</f>
        <v>#VALUE!</v>
      </c>
      <c r="C60" s="1" t="s">
        <v>564</v>
      </c>
    </row>
    <row r="61" spans="1:3" x14ac:dyDescent="0.15">
      <c r="A61" s="1"/>
    </row>
    <row r="62" spans="1:3" x14ac:dyDescent="0.15">
      <c r="A62" s="1" t="s">
        <v>141</v>
      </c>
    </row>
    <row r="63" spans="1:3" s="4" customFormat="1" x14ac:dyDescent="0.15">
      <c r="A63" s="4" t="s">
        <v>545</v>
      </c>
      <c r="B63" s="16">
        <f xml:space="preserve"> SRCellBasicHghtInLam + (Lev2DCacheReadPort + Lev2DCacheWrtPort) * WtWidInLam</f>
        <v>56</v>
      </c>
      <c r="C63" s="4" t="s">
        <v>565</v>
      </c>
    </row>
    <row r="64" spans="1:3" s="4" customFormat="1" x14ac:dyDescent="0.15">
      <c r="A64" s="4" t="s">
        <v>546</v>
      </c>
      <c r="B64" s="16">
        <f xml:space="preserve"> SRCellBasicWidInLam + (Lev2DCacheReadPort + 2 * Lev2DCacheWrtPort) * WtWidInLam</f>
        <v>80</v>
      </c>
      <c r="C64" s="4" t="s">
        <v>566</v>
      </c>
    </row>
    <row r="65" spans="1:3" s="4" customFormat="1" x14ac:dyDescent="0.15">
      <c r="A65" s="4" t="s">
        <v>547</v>
      </c>
      <c r="B65" s="16">
        <f>Lev2DCacheDataBit * Lev2DCacheCellHght * Lev2DCacheCellWid</f>
        <v>75161927680</v>
      </c>
      <c r="C65" s="4" t="s">
        <v>567</v>
      </c>
    </row>
    <row r="66" spans="1:3" s="4" customFormat="1" x14ac:dyDescent="0.15">
      <c r="A66" s="4" t="s">
        <v>548</v>
      </c>
      <c r="B66" s="16">
        <f>Lev2DCacheTagBit * Lev2DCacheCellHght * Lev2DCacheCellWid</f>
        <v>2642411520</v>
      </c>
      <c r="C66" s="4" t="s">
        <v>568</v>
      </c>
    </row>
    <row r="67" spans="1:3" s="1" customFormat="1" x14ac:dyDescent="0.15">
      <c r="A67" s="1" t="s">
        <v>544</v>
      </c>
      <c r="B67" s="13">
        <f>Lev2DCacheDataArea + Lev2DCacheTagArea</f>
        <v>77804339200</v>
      </c>
      <c r="C67" s="1" t="s">
        <v>569</v>
      </c>
    </row>
    <row r="68" spans="1:3" s="1" customFormat="1" x14ac:dyDescent="0.15">
      <c r="B68" s="13"/>
    </row>
    <row r="69" spans="1:3" x14ac:dyDescent="0.15">
      <c r="A69" s="1"/>
    </row>
    <row r="70" spans="1:3" x14ac:dyDescent="0.15">
      <c r="A70" t="s">
        <v>210</v>
      </c>
      <c r="B70" s="14">
        <f>FWid * FUBasicSizeInLam</f>
        <v>65000000</v>
      </c>
      <c r="C70" t="s">
        <v>571</v>
      </c>
    </row>
    <row r="71" spans="1:3" x14ac:dyDescent="0.15">
      <c r="A71" t="s">
        <v>217</v>
      </c>
      <c r="B71" s="14">
        <f>DecWid * DecUBasicSizeInLam</f>
        <v>60000000</v>
      </c>
      <c r="C71" t="s">
        <v>572</v>
      </c>
    </row>
    <row r="72" spans="1:3" x14ac:dyDescent="0.15">
      <c r="A72" t="s">
        <v>454</v>
      </c>
      <c r="B72" s="14">
        <f>IssWid * IssUBasicSizeInLam</f>
        <v>80000000</v>
      </c>
      <c r="C72" t="s">
        <v>611</v>
      </c>
    </row>
    <row r="73" spans="1:3" x14ac:dyDescent="0.15">
      <c r="A73" s="4" t="s">
        <v>478</v>
      </c>
      <c r="B73" s="14">
        <f>(NuIntAlu+NuIntMul+NuFpAlu+NuFpMul+NuMemPort) * WbBasicSizeInLam</f>
        <v>120000000</v>
      </c>
      <c r="C73" t="s">
        <v>580</v>
      </c>
    </row>
    <row r="74" spans="1:3" x14ac:dyDescent="0.15">
      <c r="A74" s="4" t="s">
        <v>479</v>
      </c>
      <c r="B74" s="14">
        <f>FWid * CmtUBasicSizeInLam</f>
        <v>44000000</v>
      </c>
      <c r="C74" t="s">
        <v>581</v>
      </c>
    </row>
    <row r="75" spans="1:3" x14ac:dyDescent="0.15">
      <c r="A75" s="1" t="s">
        <v>115</v>
      </c>
    </row>
    <row r="76" spans="1:3" x14ac:dyDescent="0.15">
      <c r="A76" s="1"/>
    </row>
    <row r="77" spans="1:3" x14ac:dyDescent="0.15">
      <c r="A77" s="1" t="s">
        <v>590</v>
      </c>
    </row>
    <row r="78" spans="1:3" s="4" customFormat="1" x14ac:dyDescent="0.15">
      <c r="A78" s="4" t="s">
        <v>223</v>
      </c>
      <c r="B78" s="16">
        <f xml:space="preserve">  NuIntAlu * IntUSizeInLam</f>
        <v>75988500</v>
      </c>
      <c r="C78" s="4" t="s">
        <v>584</v>
      </c>
    </row>
    <row r="79" spans="1:3" s="4" customFormat="1" x14ac:dyDescent="0.15">
      <c r="A79" s="4" t="s">
        <v>224</v>
      </c>
      <c r="B79" s="16">
        <f>NuIntMul * CpxIntUSizeInLam</f>
        <v>151977000</v>
      </c>
      <c r="C79" s="4" t="s">
        <v>585</v>
      </c>
    </row>
    <row r="80" spans="1:3" s="4" customFormat="1" x14ac:dyDescent="0.15">
      <c r="A80" s="4" t="s">
        <v>225</v>
      </c>
      <c r="B80" s="16">
        <f>NuFpAlu * FpUSizeInLam</f>
        <v>100000000</v>
      </c>
      <c r="C80" s="4" t="s">
        <v>586</v>
      </c>
    </row>
    <row r="81" spans="1:3" s="4" customFormat="1" x14ac:dyDescent="0.15">
      <c r="A81" s="4" t="s">
        <v>226</v>
      </c>
      <c r="B81" s="16">
        <f>NuFpMul * CpxFpUSizeInLam</f>
        <v>175000000</v>
      </c>
      <c r="C81" s="4" t="s">
        <v>587</v>
      </c>
    </row>
    <row r="82" spans="1:3" s="4" customFormat="1" x14ac:dyDescent="0.15">
      <c r="A82" s="4" t="s">
        <v>457</v>
      </c>
      <c r="B82" s="16">
        <f xml:space="preserve"> NuMemPort * LsUBasicSizeInLam</f>
        <v>300000000</v>
      </c>
      <c r="C82" s="4" t="s">
        <v>588</v>
      </c>
    </row>
    <row r="83" spans="1:3" s="1" customFormat="1" x14ac:dyDescent="0.15">
      <c r="A83" s="1" t="s">
        <v>208</v>
      </c>
      <c r="B83" s="13">
        <f>IntUArea + CpxIntUArea + FpUArea + CpxFpUArea + LSUArea</f>
        <v>802965500</v>
      </c>
      <c r="C83" s="1" t="s">
        <v>589</v>
      </c>
    </row>
    <row r="86" spans="1:3" x14ac:dyDescent="0.15">
      <c r="A86" s="1" t="s">
        <v>650</v>
      </c>
    </row>
    <row r="87" spans="1:3" x14ac:dyDescent="0.15">
      <c r="A87" t="s">
        <v>651</v>
      </c>
      <c r="B87" s="14">
        <f>SRCellBasicHghtInLam + (BtbReadPort + BtbWrtPort) *WtWidInLam</f>
        <v>56</v>
      </c>
      <c r="C87" t="s">
        <v>616</v>
      </c>
    </row>
    <row r="88" spans="1:3" x14ac:dyDescent="0.15">
      <c r="A88" t="s">
        <v>652</v>
      </c>
      <c r="B88" s="14">
        <f xml:space="preserve"> SRCellBasicWidInLam + (BtbReadPort + 2 * BtbWrtPort) * WtWidInLam</f>
        <v>80</v>
      </c>
      <c r="C88" t="s">
        <v>618</v>
      </c>
    </row>
    <row r="89" spans="1:3" x14ac:dyDescent="0.15">
      <c r="A89" t="s">
        <v>657</v>
      </c>
      <c r="B89" s="14">
        <f>(bpred_2lev_l2size*B87*B88) + (bpred_2lev_ll1size*B87*B88*bpred_2lev_hist_size/2)</f>
        <v>73422720</v>
      </c>
      <c r="C89" t="s">
        <v>660</v>
      </c>
    </row>
    <row r="90" spans="1:3" x14ac:dyDescent="0.15">
      <c r="A90" s="1"/>
    </row>
    <row r="92" spans="1:3" x14ac:dyDescent="0.15">
      <c r="A92" s="1" t="s">
        <v>656</v>
      </c>
    </row>
    <row r="93" spans="1:3" x14ac:dyDescent="0.15">
      <c r="A93" t="s">
        <v>613</v>
      </c>
      <c r="B93" s="14">
        <f>BtbCellHght</f>
        <v>56</v>
      </c>
      <c r="C93" t="s">
        <v>658</v>
      </c>
    </row>
    <row r="94" spans="1:3" x14ac:dyDescent="0.15">
      <c r="A94" t="s">
        <v>614</v>
      </c>
      <c r="B94" s="14">
        <f>BtbCellWid*21.5</f>
        <v>1720</v>
      </c>
      <c r="C94" t="s">
        <v>662</v>
      </c>
    </row>
    <row r="95" spans="1:3" x14ac:dyDescent="0.15">
      <c r="A95" t="s">
        <v>615</v>
      </c>
      <c r="B95" s="14">
        <f>BTBentries*B93*B94</f>
        <v>24657920</v>
      </c>
      <c r="C95" t="s">
        <v>659</v>
      </c>
    </row>
    <row r="99" spans="1:3" x14ac:dyDescent="0.15">
      <c r="A99" s="1" t="s">
        <v>167</v>
      </c>
    </row>
    <row r="100" spans="1:3" x14ac:dyDescent="0.15">
      <c r="A100" s="4" t="s">
        <v>210</v>
      </c>
      <c r="B100" s="14" t="e">
        <f>IFAreaInRbe</f>
        <v>#NAME?</v>
      </c>
      <c r="C100" t="s">
        <v>233</v>
      </c>
    </row>
    <row r="101" spans="1:3" x14ac:dyDescent="0.15">
      <c r="A101" s="4" t="s">
        <v>217</v>
      </c>
      <c r="B101" s="14" t="e">
        <f>IDecAreaInRbe</f>
        <v>#NAME?</v>
      </c>
      <c r="C101" t="s">
        <v>227</v>
      </c>
    </row>
    <row r="102" spans="1:3" x14ac:dyDescent="0.15">
      <c r="A102" s="4" t="s">
        <v>151</v>
      </c>
      <c r="B102" s="14" t="e">
        <f>BimBpredBtbAreaInRbe</f>
        <v>#NAME?</v>
      </c>
      <c r="C102" t="s">
        <v>232</v>
      </c>
    </row>
    <row r="103" spans="1:3" x14ac:dyDescent="0.15">
      <c r="A103" s="4" t="s">
        <v>222</v>
      </c>
      <c r="B103" s="14" t="e">
        <f>TotFuAreaInRbe</f>
        <v>#NAME?</v>
      </c>
      <c r="C103" t="s">
        <v>231</v>
      </c>
    </row>
    <row r="104" spans="1:3" x14ac:dyDescent="0.15">
      <c r="A104" t="s">
        <v>157</v>
      </c>
      <c r="B104" s="14" t="e">
        <f>TotTlbAreaInRbe</f>
        <v>#NAME?</v>
      </c>
      <c r="C104" t="s">
        <v>230</v>
      </c>
    </row>
    <row r="105" spans="1:3" x14ac:dyDescent="0.15">
      <c r="A105" t="s">
        <v>74</v>
      </c>
      <c r="B105" s="14" t="e">
        <f xml:space="preserve"> TotRegAreaInRbe</f>
        <v>#NAME?</v>
      </c>
      <c r="C105" t="s">
        <v>229</v>
      </c>
    </row>
    <row r="106" spans="1:3" x14ac:dyDescent="0.15">
      <c r="A106" t="s">
        <v>228</v>
      </c>
      <c r="B106" s="14" t="e">
        <f xml:space="preserve"> (TotRegAreaInRbe + TotTlbAreaInRbe + TotFuAreaInRbe + IDecAreaInRbe + IFAreaInRbe + BimBpredBtbAreaInRbe) * (BusAndCtrlInPctOfEx / 100)</f>
        <v>#NAME?</v>
      </c>
      <c r="C106" t="s">
        <v>234</v>
      </c>
    </row>
    <row r="107" spans="1:3" x14ac:dyDescent="0.15">
      <c r="A107" t="s">
        <v>199</v>
      </c>
      <c r="B107" s="14" t="e">
        <f xml:space="preserve"> (TotRegAreaInRbe + TotTlbAreaInRbe + TotFuAreaInRbe + IDecAreaInRbe + IFAreaInRbe + BimBpredBtbAreaInRbe) * (LtchInPctOfEx / 100)</f>
        <v>#NAME?</v>
      </c>
      <c r="C107" t="s">
        <v>235</v>
      </c>
    </row>
    <row r="108" spans="1:3" x14ac:dyDescent="0.15">
      <c r="A108" t="s">
        <v>221</v>
      </c>
      <c r="B108" s="14" t="e">
        <f>TotLev1ICacheAreaInRbe + TotLev1DCacheAreaInRbe</f>
        <v>#NAME?</v>
      </c>
      <c r="C108" t="s">
        <v>236</v>
      </c>
    </row>
    <row r="109" spans="1:3" s="1" customFormat="1" x14ac:dyDescent="0.15">
      <c r="A109" s="1" t="s">
        <v>144</v>
      </c>
      <c r="B109" s="13">
        <f>SUM(AreaBtb,AreaReg,LsqArea,RuuArea,TlbArea,Lev1ICacheArea,Lev1DCacheArea,Lev2DCacheArea,IfUArea,DecUArea,IssUArea,WbUArea,CmtUArea,B83,B89,B95)</f>
        <v>90229059004</v>
      </c>
      <c r="C109" s="1" t="s">
        <v>666</v>
      </c>
    </row>
    <row r="110" spans="1:3" x14ac:dyDescent="0.15">
      <c r="A110" t="s">
        <v>115</v>
      </c>
    </row>
    <row r="111" spans="1:3" x14ac:dyDescent="0.15">
      <c r="A111" t="s">
        <v>115</v>
      </c>
    </row>
    <row r="112" spans="1:3" x14ac:dyDescent="0.15">
      <c r="A112" t="s">
        <v>115</v>
      </c>
    </row>
    <row r="113" spans="1:1" x14ac:dyDescent="0.15">
      <c r="A113" t="s">
        <v>115</v>
      </c>
    </row>
    <row r="114" spans="1:1" x14ac:dyDescent="0.15">
      <c r="A114" s="15" t="s">
        <v>115</v>
      </c>
    </row>
    <row r="115" spans="1:1" ht="12" customHeight="1" x14ac:dyDescent="0.15">
      <c r="A115" s="15" t="s">
        <v>115</v>
      </c>
    </row>
    <row r="116" spans="1:1" x14ac:dyDescent="0.15">
      <c r="A116" s="15"/>
    </row>
    <row r="117" spans="1:1" x14ac:dyDescent="0.15">
      <c r="A117" s="15" t="s">
        <v>115</v>
      </c>
    </row>
    <row r="118" spans="1:1" x14ac:dyDescent="0.15">
      <c r="A118" s="15"/>
    </row>
    <row r="119" spans="1:1" x14ac:dyDescent="0.15">
      <c r="A119" s="15"/>
    </row>
    <row r="120" spans="1:1" x14ac:dyDescent="0.15">
      <c r="A120" s="15"/>
    </row>
    <row r="121" spans="1:1" x14ac:dyDescent="0.15">
      <c r="A121" s="15"/>
    </row>
  </sheetData>
  <phoneticPr fontId="0" type="noConversion"/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I32" sqref="I32"/>
    </sheetView>
  </sheetViews>
  <sheetFormatPr baseColWidth="10" defaultColWidth="9.1640625" defaultRowHeight="13" x14ac:dyDescent="0.15"/>
  <cols>
    <col min="1" max="1" width="22" style="1" customWidth="1"/>
    <col min="2" max="2" width="10.6640625" style="8" bestFit="1" customWidth="1"/>
    <col min="3" max="3" width="13" style="26" customWidth="1"/>
  </cols>
  <sheetData>
    <row r="1" spans="1:3" s="1" customFormat="1" ht="15" x14ac:dyDescent="0.15">
      <c r="B1" s="18" t="s">
        <v>72</v>
      </c>
      <c r="C1" s="25" t="s">
        <v>411</v>
      </c>
    </row>
    <row r="3" spans="1:3" x14ac:dyDescent="0.15">
      <c r="A3" s="1" t="s">
        <v>469</v>
      </c>
    </row>
    <row r="5" spans="1:3" x14ac:dyDescent="0.15">
      <c r="A5" s="1" t="s">
        <v>151</v>
      </c>
      <c r="B5" s="8">
        <f>TransBtb</f>
        <v>40960</v>
      </c>
      <c r="C5" s="26">
        <f xml:space="preserve"> AreaBtb / 1000000</f>
        <v>18.350079999999998</v>
      </c>
    </row>
    <row r="6" spans="1:3" x14ac:dyDescent="0.15">
      <c r="A6" s="1" t="s">
        <v>87</v>
      </c>
      <c r="B6" s="8">
        <f>TransReg</f>
        <v>30720</v>
      </c>
      <c r="C6" s="26">
        <f>AreaReg / 1000000</f>
        <v>23.724032000000001</v>
      </c>
    </row>
    <row r="7" spans="1:3" x14ac:dyDescent="0.15">
      <c r="A7" s="1" t="s">
        <v>241</v>
      </c>
      <c r="B7" s="8">
        <f>TransLsq</f>
        <v>51392</v>
      </c>
      <c r="C7" s="26">
        <f>LsqArea / 1000000</f>
        <v>49.336320000000001</v>
      </c>
    </row>
    <row r="8" spans="1:3" x14ac:dyDescent="0.15">
      <c r="A8" s="1" t="s">
        <v>240</v>
      </c>
      <c r="B8" s="8">
        <f xml:space="preserve"> TransRuu</f>
        <v>236544</v>
      </c>
      <c r="C8" s="26">
        <f>RuuArea / 1000000</f>
        <v>257.359872</v>
      </c>
    </row>
    <row r="9" spans="1:3" x14ac:dyDescent="0.15">
      <c r="A9" s="1" t="s">
        <v>414</v>
      </c>
      <c r="B9" s="8">
        <f>TransTlb</f>
        <v>60928</v>
      </c>
      <c r="C9" s="26">
        <f>TlbArea / 1000000</f>
        <v>25.231359999999999</v>
      </c>
    </row>
    <row r="10" spans="1:3" x14ac:dyDescent="0.15">
      <c r="A10" s="1" t="s">
        <v>131</v>
      </c>
      <c r="B10" s="8">
        <f>TransLev1ICache</f>
        <v>1921024</v>
      </c>
      <c r="C10" s="26">
        <f>Lev1ICacheArea/1000000</f>
        <v>614.72767999999996</v>
      </c>
    </row>
    <row r="11" spans="1:3" x14ac:dyDescent="0.15">
      <c r="A11" s="1" t="s">
        <v>132</v>
      </c>
      <c r="B11" s="8">
        <f xml:space="preserve"> TransLev1DCache</f>
        <v>22691840</v>
      </c>
      <c r="C11" s="26">
        <f>Lev1DCacheArea/1000000</f>
        <v>10165.944320000001</v>
      </c>
    </row>
    <row r="12" spans="1:3" x14ac:dyDescent="0.15">
      <c r="A12" s="1" t="s">
        <v>140</v>
      </c>
      <c r="B12" s="8" t="e">
        <f>TransLev2ICache</f>
        <v>#VALUE!</v>
      </c>
      <c r="C12" s="26" t="e">
        <f>Lev2ICacheArea /1000000</f>
        <v>#VALUE!</v>
      </c>
    </row>
    <row r="13" spans="1:3" x14ac:dyDescent="0.15">
      <c r="A13" s="1" t="s">
        <v>141</v>
      </c>
      <c r="B13" s="8">
        <f>TransLev2DCache</f>
        <v>173670400</v>
      </c>
      <c r="C13" s="26">
        <f>Lev2DCacheArea / 1000000</f>
        <v>77804.339200000002</v>
      </c>
    </row>
    <row r="14" spans="1:3" x14ac:dyDescent="0.15">
      <c r="A14" s="1" t="s">
        <v>115</v>
      </c>
    </row>
    <row r="15" spans="1:3" x14ac:dyDescent="0.15">
      <c r="A15" s="1" t="s">
        <v>470</v>
      </c>
    </row>
    <row r="17" spans="1:3" x14ac:dyDescent="0.15">
      <c r="A17" s="1" t="s">
        <v>452</v>
      </c>
      <c r="B17" s="8">
        <f>TransFU</f>
        <v>39786.824999999997</v>
      </c>
      <c r="C17" s="26">
        <f>IfUArea / 1000000</f>
        <v>65</v>
      </c>
    </row>
    <row r="18" spans="1:3" x14ac:dyDescent="0.15">
      <c r="A18" s="1" t="s">
        <v>471</v>
      </c>
      <c r="B18" s="8">
        <f>TransDecU</f>
        <v>36726.299999999996</v>
      </c>
      <c r="C18" s="26">
        <f xml:space="preserve"> DecUArea / 1000000</f>
        <v>60</v>
      </c>
    </row>
    <row r="19" spans="1:3" x14ac:dyDescent="0.15">
      <c r="A19" s="1" t="s">
        <v>474</v>
      </c>
      <c r="B19" s="8">
        <f>TransIssU</f>
        <v>48968.399999999994</v>
      </c>
      <c r="C19" s="26">
        <f xml:space="preserve"> IssUArea / 1000000</f>
        <v>80</v>
      </c>
    </row>
    <row r="20" spans="1:3" x14ac:dyDescent="0.15">
      <c r="A20" s="1" t="s">
        <v>478</v>
      </c>
      <c r="B20" s="8">
        <f>TransWbU</f>
        <v>73452.599999999991</v>
      </c>
      <c r="C20" s="26">
        <f xml:space="preserve"> WbUArea / 1000000</f>
        <v>120</v>
      </c>
    </row>
    <row r="21" spans="1:3" x14ac:dyDescent="0.15">
      <c r="A21" s="1" t="s">
        <v>479</v>
      </c>
      <c r="B21" s="8">
        <f>TransCmtU</f>
        <v>26932.62</v>
      </c>
      <c r="C21" s="26">
        <f xml:space="preserve"> CmtUArea / 1000000</f>
        <v>44</v>
      </c>
    </row>
    <row r="23" spans="1:3" x14ac:dyDescent="0.15">
      <c r="A23" s="1" t="s">
        <v>486</v>
      </c>
      <c r="B23" s="8">
        <f>TransIntU</f>
        <v>46512.940792499998</v>
      </c>
      <c r="C23" s="26">
        <f>(IntUArea + CpxIntUArea) / 1000000</f>
        <v>227.96549999999999</v>
      </c>
    </row>
    <row r="24" spans="1:3" x14ac:dyDescent="0.15">
      <c r="A24" s="1" t="s">
        <v>487</v>
      </c>
      <c r="B24" s="8">
        <f>TransFpU</f>
        <v>61210.499999999993</v>
      </c>
      <c r="C24" s="26">
        <f>(FpUArea + CpxFpUArea)  / 1000000</f>
        <v>275</v>
      </c>
    </row>
    <row r="25" spans="1:3" x14ac:dyDescent="0.15">
      <c r="A25" s="1" t="s">
        <v>488</v>
      </c>
      <c r="B25" s="8">
        <f>TransLSU</f>
        <v>183631.49999999997</v>
      </c>
      <c r="C25" s="26">
        <f>LSUArea / 1000000</f>
        <v>300</v>
      </c>
    </row>
    <row r="27" spans="1:3" x14ac:dyDescent="0.15">
      <c r="A27" s="1" t="s">
        <v>167</v>
      </c>
    </row>
    <row r="28" spans="1:3" x14ac:dyDescent="0.15">
      <c r="A28" s="1" t="s">
        <v>472</v>
      </c>
      <c r="B28" s="8">
        <f>SUM(RangeTransWoutCache)</f>
        <v>937765.68579250004</v>
      </c>
      <c r="C28" s="26">
        <f>SUM(RangeAreaWoutCache)</f>
        <v>1545.9671640000001</v>
      </c>
    </row>
    <row r="29" spans="1:3" x14ac:dyDescent="0.15">
      <c r="A29" s="1" t="s">
        <v>630</v>
      </c>
      <c r="B29" s="8">
        <f>TotalTransWoutCaches+SUM(RangeTransLev1Cache)</f>
        <v>25550629.685792498</v>
      </c>
      <c r="C29" s="26">
        <f>TotalAreaWoutCache + SUM(RangeAreaLev1Cache)</f>
        <v>12326.639164</v>
      </c>
    </row>
    <row r="30" spans="1:3" x14ac:dyDescent="0.15">
      <c r="A30" s="1" t="s">
        <v>473</v>
      </c>
      <c r="B30" s="8" t="e">
        <f>TotalTransWoutLev2Cache + SUM(RangeTransLev2Cache)</f>
        <v>#VALUE!</v>
      </c>
      <c r="C30" s="26" t="e">
        <f xml:space="preserve"> TotalAreaWoutLev2Cache + SUM(RangeAreaLev2Cache)</f>
        <v>#VALUE!</v>
      </c>
    </row>
  </sheetData>
  <phoneticPr fontId="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B72"/>
  <sheetViews>
    <sheetView workbookViewId="0">
      <selection activeCell="E92" sqref="E92"/>
    </sheetView>
  </sheetViews>
  <sheetFormatPr baseColWidth="10" defaultColWidth="11.5" defaultRowHeight="13" x14ac:dyDescent="0.15"/>
  <cols>
    <col min="1" max="1" width="34.83203125" customWidth="1"/>
    <col min="2" max="2" width="14.33203125" customWidth="1"/>
  </cols>
  <sheetData>
    <row r="1" spans="1:2" s="1" customFormat="1" x14ac:dyDescent="0.15">
      <c r="A1" s="1" t="s">
        <v>272</v>
      </c>
      <c r="B1" s="1" t="s">
        <v>83</v>
      </c>
    </row>
    <row r="2" spans="1:2" s="1" customFormat="1" x14ac:dyDescent="0.15"/>
    <row r="3" spans="1:2" s="4" customFormat="1" x14ac:dyDescent="0.15">
      <c r="A3" s="4" t="s">
        <v>259</v>
      </c>
      <c r="B3" s="4" t="s">
        <v>260</v>
      </c>
    </row>
    <row r="4" spans="1:2" x14ac:dyDescent="0.15">
      <c r="A4" t="s">
        <v>76</v>
      </c>
      <c r="B4" t="s">
        <v>118</v>
      </c>
    </row>
    <row r="5" spans="1:2" x14ac:dyDescent="0.15">
      <c r="A5" t="s">
        <v>206</v>
      </c>
      <c r="B5" t="s">
        <v>207</v>
      </c>
    </row>
    <row r="6" spans="1:2" x14ac:dyDescent="0.15">
      <c r="A6" t="s">
        <v>205</v>
      </c>
      <c r="B6" t="s">
        <v>205</v>
      </c>
    </row>
    <row r="7" spans="1:2" x14ac:dyDescent="0.15">
      <c r="A7" t="s">
        <v>90</v>
      </c>
      <c r="B7" t="s">
        <v>90</v>
      </c>
    </row>
    <row r="8" spans="1:2" x14ac:dyDescent="0.15">
      <c r="A8" t="s">
        <v>127</v>
      </c>
      <c r="B8" t="s">
        <v>128</v>
      </c>
    </row>
    <row r="9" spans="1:2" x14ac:dyDescent="0.15">
      <c r="A9" t="s">
        <v>212</v>
      </c>
      <c r="B9" t="s">
        <v>212</v>
      </c>
    </row>
    <row r="10" spans="1:2" x14ac:dyDescent="0.15">
      <c r="A10" t="s">
        <v>305</v>
      </c>
      <c r="B10" t="s">
        <v>305</v>
      </c>
    </row>
    <row r="11" spans="1:2" x14ac:dyDescent="0.15">
      <c r="A11" t="s">
        <v>106</v>
      </c>
      <c r="B11" t="s">
        <v>107</v>
      </c>
    </row>
    <row r="12" spans="1:2" x14ac:dyDescent="0.15">
      <c r="A12" t="s">
        <v>119</v>
      </c>
      <c r="B12" t="s">
        <v>119</v>
      </c>
    </row>
    <row r="13" spans="1:2" x14ac:dyDescent="0.15">
      <c r="A13" t="s">
        <v>108</v>
      </c>
      <c r="B13" t="s">
        <v>109</v>
      </c>
    </row>
    <row r="14" spans="1:2" x14ac:dyDescent="0.15">
      <c r="A14" t="s">
        <v>152</v>
      </c>
      <c r="B14" t="s">
        <v>156</v>
      </c>
    </row>
    <row r="15" spans="1:2" x14ac:dyDescent="0.15">
      <c r="A15" t="s">
        <v>201</v>
      </c>
      <c r="B15" t="s">
        <v>202</v>
      </c>
    </row>
    <row r="16" spans="1:2" s="4" customFormat="1" x14ac:dyDescent="0.15">
      <c r="A16" s="4" t="s">
        <v>263</v>
      </c>
      <c r="B16" s="4" t="s">
        <v>263</v>
      </c>
    </row>
    <row r="17" spans="1:2" x14ac:dyDescent="0.15">
      <c r="A17" t="s">
        <v>120</v>
      </c>
      <c r="B17" t="s">
        <v>120</v>
      </c>
    </row>
    <row r="18" spans="1:2" x14ac:dyDescent="0.15">
      <c r="A18" t="s">
        <v>218</v>
      </c>
      <c r="B18" t="s">
        <v>218</v>
      </c>
    </row>
    <row r="19" spans="1:2" x14ac:dyDescent="0.15">
      <c r="A19" t="s">
        <v>308</v>
      </c>
      <c r="B19" t="s">
        <v>309</v>
      </c>
    </row>
    <row r="20" spans="1:2" x14ac:dyDescent="0.15">
      <c r="A20" t="s">
        <v>203</v>
      </c>
      <c r="B20" t="s">
        <v>204</v>
      </c>
    </row>
    <row r="21" spans="1:2" x14ac:dyDescent="0.15">
      <c r="A21" t="s">
        <v>125</v>
      </c>
      <c r="B21" t="s">
        <v>126</v>
      </c>
    </row>
    <row r="22" spans="1:2" x14ac:dyDescent="0.15">
      <c r="A22" t="s">
        <v>112</v>
      </c>
      <c r="B22" t="s">
        <v>113</v>
      </c>
    </row>
    <row r="23" spans="1:2" x14ac:dyDescent="0.15">
      <c r="A23" t="s">
        <v>251</v>
      </c>
      <c r="B23" t="s">
        <v>252</v>
      </c>
    </row>
    <row r="24" spans="1:2" x14ac:dyDescent="0.15">
      <c r="A24" t="s">
        <v>98</v>
      </c>
      <c r="B24" t="s">
        <v>99</v>
      </c>
    </row>
    <row r="25" spans="1:2" x14ac:dyDescent="0.15">
      <c r="A25" t="s">
        <v>197</v>
      </c>
      <c r="B25" t="s">
        <v>198</v>
      </c>
    </row>
    <row r="26" spans="1:2" x14ac:dyDescent="0.15">
      <c r="A26" t="s">
        <v>104</v>
      </c>
      <c r="B26" t="s">
        <v>211</v>
      </c>
    </row>
    <row r="27" spans="1:2" x14ac:dyDescent="0.15">
      <c r="A27" t="s">
        <v>78</v>
      </c>
      <c r="B27" t="s">
        <v>82</v>
      </c>
    </row>
    <row r="28" spans="1:2" x14ac:dyDescent="0.15">
      <c r="A28" t="s">
        <v>219</v>
      </c>
      <c r="B28" t="s">
        <v>220</v>
      </c>
    </row>
    <row r="29" spans="1:2" x14ac:dyDescent="0.15">
      <c r="A29" t="s">
        <v>110</v>
      </c>
      <c r="B29" t="s">
        <v>111</v>
      </c>
    </row>
    <row r="30" spans="1:2" x14ac:dyDescent="0.15">
      <c r="A30" t="s">
        <v>250</v>
      </c>
      <c r="B30" t="s">
        <v>250</v>
      </c>
    </row>
    <row r="31" spans="1:2" x14ac:dyDescent="0.15">
      <c r="A31" t="s">
        <v>135</v>
      </c>
      <c r="B31" t="s">
        <v>136</v>
      </c>
    </row>
    <row r="32" spans="1:2" x14ac:dyDescent="0.15">
      <c r="A32" t="s">
        <v>123</v>
      </c>
      <c r="B32" t="s">
        <v>124</v>
      </c>
    </row>
    <row r="33" spans="1:2" x14ac:dyDescent="0.15">
      <c r="A33" t="s">
        <v>178</v>
      </c>
      <c r="B33" t="s">
        <v>179</v>
      </c>
    </row>
    <row r="34" spans="1:2" x14ac:dyDescent="0.15">
      <c r="A34" t="s">
        <v>215</v>
      </c>
      <c r="B34" t="s">
        <v>216</v>
      </c>
    </row>
    <row r="35" spans="1:2" x14ac:dyDescent="0.15">
      <c r="A35" t="s">
        <v>184</v>
      </c>
      <c r="B35" t="s">
        <v>185</v>
      </c>
    </row>
    <row r="36" spans="1:2" x14ac:dyDescent="0.15">
      <c r="A36" t="s">
        <v>199</v>
      </c>
      <c r="B36" t="s">
        <v>200</v>
      </c>
    </row>
    <row r="37" spans="1:2" x14ac:dyDescent="0.15">
      <c r="A37" t="s">
        <v>146</v>
      </c>
      <c r="B37" t="s">
        <v>147</v>
      </c>
    </row>
    <row r="38" spans="1:2" x14ac:dyDescent="0.15">
      <c r="A38" t="s">
        <v>121</v>
      </c>
      <c r="B38" t="s">
        <v>122</v>
      </c>
    </row>
    <row r="39" spans="1:2" s="4" customFormat="1" x14ac:dyDescent="0.15">
      <c r="A39" s="4" t="s">
        <v>261</v>
      </c>
      <c r="B39" s="4" t="s">
        <v>262</v>
      </c>
    </row>
    <row r="40" spans="1:2" x14ac:dyDescent="0.15">
      <c r="A40" t="s">
        <v>241</v>
      </c>
      <c r="B40" t="s">
        <v>242</v>
      </c>
    </row>
    <row r="41" spans="1:2" x14ac:dyDescent="0.15">
      <c r="A41" t="s">
        <v>88</v>
      </c>
      <c r="B41" t="s">
        <v>89</v>
      </c>
    </row>
    <row r="42" spans="1:2" x14ac:dyDescent="0.15">
      <c r="A42" t="s">
        <v>77</v>
      </c>
      <c r="B42" t="s">
        <v>173</v>
      </c>
    </row>
    <row r="43" spans="1:2" x14ac:dyDescent="0.15">
      <c r="A43" t="s">
        <v>190</v>
      </c>
      <c r="B43" t="s">
        <v>190</v>
      </c>
    </row>
    <row r="44" spans="1:2" x14ac:dyDescent="0.15">
      <c r="A44" t="s">
        <v>133</v>
      </c>
      <c r="B44" t="s">
        <v>134</v>
      </c>
    </row>
    <row r="45" spans="1:2" x14ac:dyDescent="0.15">
      <c r="A45" t="s">
        <v>158</v>
      </c>
      <c r="B45" t="s">
        <v>159</v>
      </c>
    </row>
    <row r="46" spans="1:2" x14ac:dyDescent="0.15">
      <c r="A46" t="s">
        <v>95</v>
      </c>
      <c r="B46" t="s">
        <v>96</v>
      </c>
    </row>
    <row r="47" spans="1:2" x14ac:dyDescent="0.15">
      <c r="A47" t="s">
        <v>195</v>
      </c>
      <c r="B47" t="s">
        <v>196</v>
      </c>
    </row>
    <row r="48" spans="1:2" x14ac:dyDescent="0.15">
      <c r="A48" t="s">
        <v>73</v>
      </c>
      <c r="B48" t="s">
        <v>73</v>
      </c>
    </row>
    <row r="49" spans="1:2" x14ac:dyDescent="0.15">
      <c r="A49" t="s">
        <v>116</v>
      </c>
      <c r="B49" t="s">
        <v>117</v>
      </c>
    </row>
    <row r="50" spans="1:2" x14ac:dyDescent="0.15">
      <c r="A50" t="s">
        <v>188</v>
      </c>
      <c r="B50" t="s">
        <v>189</v>
      </c>
    </row>
    <row r="51" spans="1:2" x14ac:dyDescent="0.15">
      <c r="A51" t="s">
        <v>258</v>
      </c>
      <c r="B51" t="s">
        <v>258</v>
      </c>
    </row>
    <row r="52" spans="1:2" x14ac:dyDescent="0.15">
      <c r="A52" t="s">
        <v>171</v>
      </c>
      <c r="B52" t="s">
        <v>172</v>
      </c>
    </row>
    <row r="53" spans="1:2" x14ac:dyDescent="0.15">
      <c r="A53" t="s">
        <v>80</v>
      </c>
      <c r="B53" t="s">
        <v>81</v>
      </c>
    </row>
    <row r="54" spans="1:2" x14ac:dyDescent="0.15">
      <c r="A54" t="s">
        <v>91</v>
      </c>
      <c r="B54" t="s">
        <v>92</v>
      </c>
    </row>
    <row r="55" spans="1:2" x14ac:dyDescent="0.15">
      <c r="A55" t="s">
        <v>302</v>
      </c>
      <c r="B55" t="s">
        <v>302</v>
      </c>
    </row>
    <row r="56" spans="1:2" x14ac:dyDescent="0.15">
      <c r="A56" t="s">
        <v>79</v>
      </c>
      <c r="B56" t="s">
        <v>79</v>
      </c>
    </row>
    <row r="57" spans="1:2" x14ac:dyDescent="0.15">
      <c r="A57" t="s">
        <v>193</v>
      </c>
      <c r="B57" t="s">
        <v>194</v>
      </c>
    </row>
    <row r="58" spans="1:2" x14ac:dyDescent="0.15">
      <c r="A58" t="s">
        <v>97</v>
      </c>
      <c r="B58" t="s">
        <v>100</v>
      </c>
    </row>
    <row r="59" spans="1:2" x14ac:dyDescent="0.15">
      <c r="A59" t="s">
        <v>129</v>
      </c>
      <c r="B59" t="s">
        <v>130</v>
      </c>
    </row>
    <row r="60" spans="1:2" x14ac:dyDescent="0.15">
      <c r="A60" t="s">
        <v>138</v>
      </c>
      <c r="B60" t="s">
        <v>138</v>
      </c>
    </row>
    <row r="61" spans="1:2" x14ac:dyDescent="0.15">
      <c r="A61" t="s">
        <v>154</v>
      </c>
      <c r="B61" t="s">
        <v>155</v>
      </c>
    </row>
    <row r="62" spans="1:2" x14ac:dyDescent="0.15">
      <c r="A62" t="s">
        <v>144</v>
      </c>
      <c r="B62" t="s">
        <v>145</v>
      </c>
    </row>
    <row r="63" spans="1:2" x14ac:dyDescent="0.15">
      <c r="A63" t="s">
        <v>93</v>
      </c>
      <c r="B63" t="s">
        <v>94</v>
      </c>
    </row>
    <row r="64" spans="1:2" x14ac:dyDescent="0.15">
      <c r="A64" t="s">
        <v>105</v>
      </c>
      <c r="B64" t="s">
        <v>105</v>
      </c>
    </row>
    <row r="65" spans="1:2" x14ac:dyDescent="0.15">
      <c r="A65" t="s">
        <v>102</v>
      </c>
      <c r="B65" t="s">
        <v>304</v>
      </c>
    </row>
    <row r="66" spans="1:2" x14ac:dyDescent="0.15">
      <c r="A66" t="s">
        <v>160</v>
      </c>
      <c r="B66" t="s">
        <v>161</v>
      </c>
    </row>
    <row r="67" spans="1:2" x14ac:dyDescent="0.15">
      <c r="A67" t="s">
        <v>213</v>
      </c>
      <c r="B67" t="s">
        <v>214</v>
      </c>
    </row>
    <row r="68" spans="1:2" x14ac:dyDescent="0.15">
      <c r="A68" t="s">
        <v>191</v>
      </c>
      <c r="B68" t="s">
        <v>192</v>
      </c>
    </row>
    <row r="69" spans="1:2" x14ac:dyDescent="0.15">
      <c r="A69" t="s">
        <v>187</v>
      </c>
      <c r="B69" t="s">
        <v>186</v>
      </c>
    </row>
    <row r="70" spans="1:2" x14ac:dyDescent="0.15">
      <c r="A70" t="s">
        <v>148</v>
      </c>
      <c r="B70" t="s">
        <v>149</v>
      </c>
    </row>
    <row r="71" spans="1:2" x14ac:dyDescent="0.15">
      <c r="A71" t="s">
        <v>256</v>
      </c>
      <c r="B71" t="s">
        <v>257</v>
      </c>
    </row>
    <row r="72" spans="1:2" x14ac:dyDescent="0.15">
      <c r="A72" t="s">
        <v>306</v>
      </c>
      <c r="B72" t="s">
        <v>307</v>
      </c>
    </row>
  </sheetData>
  <phoneticPr fontId="0" type="noConversion"/>
  <printOptions horizontalCentered="1" gridLines="1"/>
  <pageMargins left="0.75" right="0.75" top="0.78740157480314965" bottom="1" header="0" footer="0"/>
  <pageSetup paperSize="9" scale="11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ConfigFileParams</vt:lpstr>
      <vt:lpstr>Basic Assumptions</vt:lpstr>
      <vt:lpstr>Port Calculation</vt:lpstr>
      <vt:lpstr>Bit Calculation</vt:lpstr>
      <vt:lpstr>Transistor Calculation</vt:lpstr>
      <vt:lpstr>Area Calculation</vt:lpstr>
      <vt:lpstr>Results</vt:lpstr>
      <vt:lpstr>FieldnameConventions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sdo</dc:creator>
  <cp:lastModifiedBy>Nikhil Narang</cp:lastModifiedBy>
  <cp:lastPrinted>2000-09-03T13:01:51Z</cp:lastPrinted>
  <dcterms:created xsi:type="dcterms:W3CDTF">2009-02-14T21:45:07Z</dcterms:created>
  <dcterms:modified xsi:type="dcterms:W3CDTF">2017-01-09T09:40:18Z</dcterms:modified>
</cp:coreProperties>
</file>